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9DCF729-F45A-410D-BEFE-3E93DB0AACCB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46" l="1"/>
  <c r="AJ5" i="46"/>
  <c r="AJ6" i="46"/>
  <c r="AJ7" i="46"/>
  <c r="AJ8" i="46"/>
  <c r="AJ9" i="46"/>
  <c r="AJ10" i="46"/>
  <c r="AJ11" i="46"/>
  <c r="AJ12" i="46"/>
  <c r="AH5" i="46"/>
  <c r="AI5" i="46"/>
  <c r="AK5" i="46"/>
  <c r="AL5" i="46"/>
  <c r="AM5" i="46"/>
  <c r="AH6" i="46"/>
  <c r="AI6" i="46"/>
  <c r="AK6" i="46"/>
  <c r="AL6" i="46"/>
  <c r="AM6" i="46"/>
  <c r="AH7" i="46"/>
  <c r="AI7" i="46"/>
  <c r="AK7" i="46"/>
  <c r="AL7" i="46"/>
  <c r="AM7" i="46"/>
  <c r="AH8" i="46"/>
  <c r="AI8" i="46"/>
  <c r="AK8" i="46"/>
  <c r="AL8" i="46"/>
  <c r="AM8" i="46"/>
  <c r="AH9" i="46"/>
  <c r="AI9" i="46"/>
  <c r="AK9" i="46"/>
  <c r="AL9" i="46"/>
  <c r="AM9" i="46"/>
  <c r="AH10" i="46"/>
  <c r="AI10" i="46"/>
  <c r="AK10" i="46"/>
  <c r="AL10" i="46"/>
  <c r="AM10" i="46"/>
  <c r="AH11" i="46"/>
  <c r="AI11" i="46"/>
  <c r="AK11" i="46"/>
  <c r="AL11" i="46"/>
  <c r="AM11" i="46"/>
  <c r="AH12" i="46"/>
  <c r="AI12" i="46"/>
  <c r="AK12" i="46"/>
  <c r="AL12" i="46"/>
  <c r="AM12" i="46"/>
  <c r="AH13" i="46"/>
  <c r="AI13" i="46"/>
  <c r="AJ13" i="46"/>
  <c r="AK13" i="46"/>
  <c r="AL13" i="46"/>
  <c r="AM13" i="46"/>
  <c r="AH14" i="46"/>
  <c r="AI14" i="46"/>
  <c r="AJ14" i="46"/>
  <c r="AK14" i="46"/>
  <c r="AL14" i="46"/>
  <c r="AM14" i="46"/>
  <c r="AH15" i="46"/>
  <c r="AI15" i="46"/>
  <c r="AJ15" i="46"/>
  <c r="AK15" i="46"/>
  <c r="AL15" i="46"/>
  <c r="AM15" i="46"/>
  <c r="AH16" i="46"/>
  <c r="AI16" i="46"/>
  <c r="AJ16" i="46"/>
  <c r="AK16" i="46"/>
  <c r="AL16" i="46"/>
  <c r="AM16" i="46"/>
  <c r="AH17" i="46"/>
  <c r="AI17" i="46"/>
  <c r="AJ17" i="46"/>
  <c r="AK17" i="46"/>
  <c r="AL17" i="46"/>
  <c r="AM17" i="46"/>
  <c r="AH18" i="46"/>
  <c r="AI18" i="46"/>
  <c r="AJ18" i="46"/>
  <c r="AK18" i="46"/>
  <c r="AL18" i="46"/>
  <c r="AM18" i="46"/>
  <c r="AH19" i="46"/>
  <c r="AI19" i="46"/>
  <c r="AJ19" i="46"/>
  <c r="AK19" i="46"/>
  <c r="AL19" i="46"/>
  <c r="AM19" i="46"/>
  <c r="AH20" i="46"/>
  <c r="AI20" i="46"/>
  <c r="AJ20" i="46"/>
  <c r="AK20" i="46"/>
  <c r="AL20" i="46"/>
  <c r="AM20" i="46"/>
  <c r="AH21" i="46"/>
  <c r="AI21" i="46"/>
  <c r="AJ21" i="46"/>
  <c r="AK21" i="46"/>
  <c r="AL21" i="46"/>
  <c r="AM21" i="46"/>
  <c r="AH22" i="46"/>
  <c r="AI22" i="46"/>
  <c r="AJ22" i="46"/>
  <c r="AK22" i="46"/>
  <c r="AL22" i="46"/>
  <c r="AM22" i="46"/>
  <c r="AH23" i="46"/>
  <c r="AI23" i="46"/>
  <c r="AJ23" i="46"/>
  <c r="AK23" i="46"/>
  <c r="AL23" i="46"/>
  <c r="AM23" i="46"/>
  <c r="AH24" i="46"/>
  <c r="AI24" i="46"/>
  <c r="AJ24" i="46"/>
  <c r="AK24" i="46"/>
  <c r="AL24" i="46"/>
  <c r="AM24" i="46"/>
  <c r="AH25" i="46"/>
  <c r="AI25" i="46"/>
  <c r="AJ25" i="46"/>
  <c r="AK25" i="46"/>
  <c r="AL25" i="46"/>
  <c r="AM25" i="46"/>
  <c r="AH26" i="46"/>
  <c r="AI26" i="46"/>
  <c r="AJ26" i="46"/>
  <c r="AK26" i="46"/>
  <c r="AL26" i="46"/>
  <c r="AM26" i="46"/>
  <c r="AH27" i="46"/>
  <c r="AI27" i="46"/>
  <c r="AJ27" i="46"/>
  <c r="AK27" i="46"/>
  <c r="AL27" i="46"/>
  <c r="AM27" i="46"/>
  <c r="AH28" i="46"/>
  <c r="AI28" i="46"/>
  <c r="AJ28" i="46"/>
  <c r="AK28" i="46"/>
  <c r="AL28" i="46"/>
  <c r="AM28" i="46"/>
  <c r="AH29" i="46"/>
  <c r="AI29" i="46"/>
  <c r="AJ29" i="46"/>
  <c r="AK29" i="46"/>
  <c r="AL29" i="46"/>
  <c r="AM29" i="46"/>
  <c r="AH30" i="46"/>
  <c r="AI30" i="46"/>
  <c r="AJ30" i="46"/>
  <c r="AK30" i="46"/>
  <c r="AL30" i="46"/>
  <c r="AM30" i="46"/>
  <c r="AH31" i="46"/>
  <c r="AI31" i="46"/>
  <c r="AJ31" i="46"/>
  <c r="AK31" i="46"/>
  <c r="AL31" i="46"/>
  <c r="AM31" i="46"/>
  <c r="AH32" i="46"/>
  <c r="AI32" i="46"/>
  <c r="AJ32" i="46"/>
  <c r="AK32" i="46"/>
  <c r="AL32" i="46"/>
  <c r="AM32" i="46"/>
  <c r="AH33" i="46"/>
  <c r="AI33" i="46"/>
  <c r="AJ33" i="46"/>
  <c r="AK33" i="46"/>
  <c r="AL33" i="46"/>
  <c r="AM33" i="46"/>
  <c r="AH34" i="46"/>
  <c r="AI34" i="46"/>
  <c r="AJ34" i="46"/>
  <c r="AK34" i="46"/>
  <c r="AL34" i="46"/>
  <c r="AM34" i="46"/>
  <c r="AH35" i="46"/>
  <c r="AI35" i="46"/>
  <c r="AJ35" i="46"/>
  <c r="AK35" i="46"/>
  <c r="AL35" i="46"/>
  <c r="AM35" i="46"/>
  <c r="AH36" i="46"/>
  <c r="AI36" i="46"/>
  <c r="AJ36" i="46"/>
  <c r="AK36" i="46"/>
  <c r="AL36" i="46"/>
  <c r="AM36" i="46"/>
  <c r="AH37" i="46"/>
  <c r="AI37" i="46"/>
  <c r="AJ37" i="46"/>
  <c r="AK37" i="46"/>
  <c r="AL37" i="46"/>
  <c r="AM37" i="46"/>
  <c r="AH38" i="46"/>
  <c r="AI38" i="46"/>
  <c r="AJ38" i="46"/>
  <c r="AK38" i="46"/>
  <c r="AL38" i="46"/>
  <c r="AM38" i="46"/>
  <c r="AH39" i="46"/>
  <c r="AI39" i="46"/>
  <c r="AJ39" i="46"/>
  <c r="AK39" i="46"/>
  <c r="AL39" i="46"/>
  <c r="AM39" i="46"/>
  <c r="AH40" i="46"/>
  <c r="AI40" i="46"/>
  <c r="AJ40" i="46"/>
  <c r="AK40" i="46"/>
  <c r="AL40" i="46"/>
  <c r="AM40" i="46"/>
  <c r="AH41" i="46"/>
  <c r="AI41" i="46"/>
  <c r="AJ41" i="46"/>
  <c r="AK41" i="46"/>
  <c r="AL41" i="46"/>
  <c r="AM41" i="46"/>
  <c r="AH42" i="46"/>
  <c r="AI42" i="46"/>
  <c r="AJ42" i="46"/>
  <c r="AK42" i="46"/>
  <c r="AL42" i="46"/>
  <c r="AM42" i="46"/>
  <c r="AM4" i="46"/>
  <c r="AL4" i="46"/>
  <c r="AK4" i="46"/>
  <c r="AI4" i="46"/>
  <c r="AH4" i="46"/>
  <c r="AL3" i="46"/>
  <c r="AM3" i="46"/>
  <c r="AK3" i="46"/>
  <c r="AJ3" i="46"/>
  <c r="AI3" i="46"/>
  <c r="AH3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V23" i="46"/>
  <c r="W23" i="46"/>
  <c r="X23" i="46"/>
  <c r="Y23" i="46"/>
  <c r="Z23" i="46"/>
  <c r="AA23" i="46"/>
  <c r="V24" i="46"/>
  <c r="W24" i="46"/>
  <c r="X24" i="46"/>
  <c r="Y24" i="46"/>
  <c r="Z24" i="46"/>
  <c r="AA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W28" i="46"/>
  <c r="X28" i="46"/>
  <c r="Y28" i="46"/>
  <c r="Z28" i="46"/>
  <c r="AA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W32" i="46"/>
  <c r="X32" i="46"/>
  <c r="Y32" i="46"/>
  <c r="Z32" i="46"/>
  <c r="AA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W36" i="46"/>
  <c r="X36" i="46"/>
  <c r="Y36" i="46"/>
  <c r="Z36" i="46"/>
  <c r="AA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W40" i="46"/>
  <c r="X40" i="46"/>
  <c r="Y40" i="46"/>
  <c r="Z40" i="46"/>
  <c r="AA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4" i="46"/>
  <c r="W4" i="46"/>
  <c r="X4" i="46"/>
  <c r="Y4" i="46"/>
  <c r="Z4" i="46"/>
  <c r="AA4" i="46"/>
  <c r="V5" i="46"/>
  <c r="W5" i="46"/>
  <c r="X5" i="46"/>
  <c r="Y5" i="46"/>
  <c r="Z5" i="46"/>
  <c r="AA5" i="46"/>
  <c r="V6" i="46"/>
  <c r="W6" i="46"/>
  <c r="X6" i="46"/>
  <c r="Y6" i="46"/>
  <c r="Z6" i="46"/>
  <c r="AA6" i="46"/>
  <c r="V7" i="46"/>
  <c r="W7" i="46"/>
  <c r="X7" i="46"/>
  <c r="Y7" i="46"/>
  <c r="Z7" i="46"/>
  <c r="AA7" i="46"/>
  <c r="V8" i="46"/>
  <c r="W8" i="46"/>
  <c r="X8" i="46"/>
  <c r="Y8" i="46"/>
  <c r="Z8" i="46"/>
  <c r="AA8" i="46"/>
  <c r="V9" i="46"/>
  <c r="W9" i="46"/>
  <c r="X9" i="46"/>
  <c r="Y9" i="46"/>
  <c r="Z9" i="46"/>
  <c r="AA9" i="46"/>
  <c r="V10" i="46"/>
  <c r="W10" i="46"/>
  <c r="X10" i="46"/>
  <c r="Y10" i="46"/>
  <c r="Z10" i="46"/>
  <c r="AA10" i="46"/>
  <c r="V11" i="46"/>
  <c r="W11" i="46"/>
  <c r="X11" i="46"/>
  <c r="Y11" i="46"/>
  <c r="Z11" i="46"/>
  <c r="AA11" i="46"/>
  <c r="V12" i="46"/>
  <c r="W12" i="46"/>
  <c r="X12" i="46"/>
  <c r="Y12" i="46"/>
  <c r="Z12" i="46"/>
  <c r="AA1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V16" i="46"/>
  <c r="W16" i="46"/>
  <c r="X16" i="46"/>
  <c r="Y16" i="46"/>
  <c r="Z16" i="46"/>
  <c r="AA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V20" i="46"/>
  <c r="W20" i="46"/>
  <c r="X20" i="46"/>
  <c r="Y20" i="46"/>
  <c r="Z20" i="46"/>
  <c r="AA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AA3" i="46"/>
  <c r="Z3" i="46"/>
  <c r="Y3" i="46"/>
  <c r="W3" i="46"/>
  <c r="V3" i="46"/>
  <c r="X3" i="46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Y22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Y44" i="38"/>
  <c r="Y43" i="38"/>
  <c r="Y42" i="38"/>
  <c r="Y41" i="38"/>
  <c r="Y40" i="38"/>
  <c r="Y39" i="38"/>
  <c r="Y38" i="38"/>
  <c r="Y37" i="38"/>
  <c r="Y36" i="38"/>
  <c r="Y35" i="38"/>
  <c r="Y34" i="38"/>
  <c r="Y33" i="38"/>
  <c r="Y32" i="38"/>
  <c r="Y31" i="38"/>
  <c r="Y30" i="38"/>
  <c r="Y29" i="38"/>
  <c r="Y28" i="38"/>
  <c r="Y27" i="38"/>
  <c r="Y26" i="38"/>
  <c r="Y25" i="38"/>
  <c r="Y24" i="38"/>
  <c r="Y23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M26" i="38"/>
  <c r="W69" i="38"/>
  <c r="W65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Y60" i="38"/>
  <c r="Y68" i="38"/>
  <c r="Y66" i="38"/>
  <c r="AA60" i="38"/>
  <c r="N50" i="46"/>
  <c r="N51" i="46" s="1"/>
  <c r="W76" i="38"/>
  <c r="W81" i="38"/>
  <c r="C26" i="38"/>
  <c r="Z26" i="38" s="1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T14" i="46"/>
  <c r="T15" i="46"/>
  <c r="T16" i="46"/>
  <c r="T17" i="46"/>
  <c r="T18" i="46"/>
  <c r="T19" i="46"/>
  <c r="T20" i="46"/>
  <c r="T21" i="46"/>
  <c r="T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9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N16" i="38"/>
  <c r="Y62" i="38"/>
  <c r="L3" i="38"/>
  <c r="O25" i="38"/>
  <c r="N25" i="38"/>
  <c r="M25" i="38"/>
  <c r="L25" i="38"/>
  <c r="K25" i="38"/>
  <c r="J25" i="38"/>
  <c r="I25" i="38"/>
  <c r="H25" i="38"/>
  <c r="G25" i="38"/>
  <c r="F25" i="38"/>
  <c r="AA25" i="38" s="1"/>
  <c r="E25" i="38"/>
  <c r="D25" i="38"/>
  <c r="C25" i="38"/>
  <c r="Z25" i="38" s="1"/>
  <c r="B25" i="38"/>
  <c r="O24" i="38"/>
  <c r="N24" i="38"/>
  <c r="M24" i="38"/>
  <c r="L24" i="38"/>
  <c r="K24" i="38"/>
  <c r="J24" i="38"/>
  <c r="I24" i="38"/>
  <c r="H24" i="38"/>
  <c r="G24" i="38"/>
  <c r="F24" i="38"/>
  <c r="AA24" i="38" s="1"/>
  <c r="E24" i="38"/>
  <c r="D24" i="38"/>
  <c r="C24" i="38"/>
  <c r="Z24" i="38" s="1"/>
  <c r="B24" i="38"/>
  <c r="O23" i="38"/>
  <c r="N23" i="38"/>
  <c r="M23" i="38"/>
  <c r="L23" i="38"/>
  <c r="K23" i="38"/>
  <c r="J23" i="38"/>
  <c r="I23" i="38"/>
  <c r="H23" i="38"/>
  <c r="G23" i="38"/>
  <c r="F23" i="38"/>
  <c r="AA23" i="38" s="1"/>
  <c r="E23" i="38"/>
  <c r="D23" i="38"/>
  <c r="C23" i="38"/>
  <c r="Z23" i="38" s="1"/>
  <c r="B23" i="38"/>
  <c r="O22" i="38"/>
  <c r="N22" i="38"/>
  <c r="M22" i="38"/>
  <c r="L22" i="38"/>
  <c r="K22" i="38"/>
  <c r="J22" i="38"/>
  <c r="I22" i="38"/>
  <c r="H22" i="38"/>
  <c r="G22" i="38"/>
  <c r="F22" i="38"/>
  <c r="AA22" i="38" s="1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L26" i="38"/>
  <c r="K26" i="38"/>
  <c r="J26" i="38"/>
  <c r="I26" i="38"/>
  <c r="H26" i="38"/>
  <c r="G26" i="38"/>
  <c r="F26" i="38"/>
  <c r="AA26" i="38" s="1"/>
  <c r="E26" i="38"/>
  <c r="D26" i="38"/>
  <c r="B26" i="38"/>
  <c r="N4" i="38"/>
  <c r="AA139" i="38"/>
  <c r="Y64" i="38"/>
  <c r="AA68" i="38"/>
  <c r="AA141" i="38"/>
  <c r="AA140" i="38"/>
  <c r="AA138" i="38"/>
  <c r="AA69" i="38"/>
  <c r="Y1" i="38" s="1"/>
  <c r="Y167" i="38" s="1"/>
  <c r="AA62" i="38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Y77" i="38" l="1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70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Z62" i="38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Z19" i="38" l="1"/>
  <c r="AA18" i="38" s="1"/>
  <c r="Y21" i="38"/>
  <c r="Z21" i="38" s="1"/>
  <c r="AA20" i="38" s="1"/>
  <c r="Z93" i="38"/>
  <c r="Z158" i="38"/>
  <c r="Z67" i="38"/>
  <c r="Z72" i="38"/>
  <c r="Z78" i="38"/>
  <c r="Z79" i="38"/>
  <c r="H5" i="38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GI3" i="46"/>
  <c r="ER3" i="46"/>
  <c r="Z2" i="38" l="1"/>
  <c r="Y3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20" i="46" l="1"/>
  <c r="P21" i="46"/>
  <c r="P18" i="46"/>
  <c r="P22" i="46"/>
  <c r="P19" i="46"/>
  <c r="AO19" i="46"/>
  <c r="AB9" i="46"/>
  <c r="AB5" i="46"/>
  <c r="P16" i="46"/>
  <c r="P12" i="46"/>
  <c r="P8" i="46"/>
  <c r="P4" i="46"/>
  <c r="AB12" i="46"/>
  <c r="AB8" i="46"/>
  <c r="AB4" i="46"/>
  <c r="P15" i="46"/>
  <c r="P11" i="46"/>
  <c r="P7" i="46"/>
  <c r="P3" i="46"/>
  <c r="AB11" i="46"/>
  <c r="AB7" i="46"/>
  <c r="AB3" i="46"/>
  <c r="P14" i="46"/>
  <c r="P10" i="46"/>
  <c r="P6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<sst xmlns="http://schemas.openxmlformats.org/spreadsheetml/2006/main" count="1474" uniqueCount="639">
  <si>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</si>
  <si>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</si>
  <si>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</si>
  <si>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</si>
  <si>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</si>
  <si>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</si>
  <si>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</si>
  <si>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</si>
  <si>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</si>
  <si>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</si>
  <si>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</si>
  <si>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</si>
  <si>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</si>
  <si>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</si>
  <si>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</si>
  <si>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</si>
  <si>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</si>
  <si>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</si>
  <si>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</si>
  <si>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</si>
  <si>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</si>
  <si>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</si>
  <si>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</si>
  <si>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</si>
  <si>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</si>
  <si>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</si>
  <si>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</si>
  <si>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</si>
  <si>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</si>
  <si>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</si>
  <si>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</si>
  <si>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</si>
  <si>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</si>
  <si>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</si>
  <si>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</si>
  <si>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</si>
  <si>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</si>
  <si>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</si>
  <si>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</si>
  <si>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</si>
  <si>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</si>
  <si>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</si>
  <si>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</si>
  <si>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</si>
  <si>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</si>
  <si>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</si>
  <si>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</si>
  <si>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</si>
  <si>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</si>
  <si>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</si>
  <si>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</si>
  <si>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</si>
  <si>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</si>
  <si>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</si>
  <si>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</si>
  <si>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</si>
  <si>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</si>
  <si>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</si>
  <si>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</si>
  <si>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</si>
  <si>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</si>
  <si>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</si>
  <si>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</si>
  <si>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</si>
  <si>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</si>
  <si>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</si>
  <si>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</si>
  <si>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</si>
  <si>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</si>
  <si>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</si>
  <si>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</si>
  <si>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</si>
  <si>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</si>
  <si>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</si>
  <si>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</si>
  <si>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</si>
  <si>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</si>
  <si>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</si>
  <si>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</si>
  <si>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</si>
  <si>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</si>
  <si>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</si>
  <si>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</si>
  <si>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</si>
  <si>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</si>
  <si>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</si>
  <si>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</si>
  <si>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</si>
  <si>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</si>
  <si>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</si>
  <si>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</si>
  <si>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</si>
  <si>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</si>
  <si>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</si>
  <si>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</si>
  <si>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</si>
  <si>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</si>
  <si>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</si>
  <si>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</si>
  <si>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</si>
  <si>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</si>
  <si>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</si>
  <si>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</si>
  <si>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</si>
  <si>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</si>
  <si>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</si>
  <si>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</si>
  <si>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</si>
  <si>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</si>
  <si>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</si>
  <si>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</si>
  <si>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</si>
  <si>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</si>
  <si>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</si>
  <si>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</si>
  <si>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</si>
  <si>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</si>
  <si>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</si>
  <si>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</si>
  <si>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</si>
  <si>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</si>
  <si>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</si>
  <si>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</si>
  <si>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</si>
  <si>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</si>
  <si>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</si>
  <si>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</si>
  <si>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</si>
  <si>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</si>
  <si>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</si>
  <si>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</si>
  <si>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</si>
  <si>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</si>
  <si>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</si>
  <si>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</si>
  <si>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</si>
  <si>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</si>
  <si>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</si>
  <si>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</si>
  <si>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</si>
  <si>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</si>
  <si>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</si>
  <si>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</si>
  <si>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</si>
  <si>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</si>
  <si>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</si>
  <si>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</si>
  <si>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</si>
  <si>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</si>
  <si>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</si>
  <si>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</si>
  <si>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</si>
  <si>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</si>
  <si>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</si>
  <si>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</si>
  <si>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</si>
  <si>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</si>
  <si>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</si>
  <si>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</si>
  <si>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</si>
  <si>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</si>
  <si>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</si>
  <si>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</si>
  <si>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</si>
  <si>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</si>
  <si>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</si>
  <si>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</si>
  <si>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</si>
  <si>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</si>
  <si>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</si>
  <si>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</si>
  <si>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</si>
  <si>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</si>
  <si>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</si>
  <si>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</si>
  <si>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</si>
  <si>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</si>
  <si>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</si>
  <si>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</si>
  <si>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</si>
  <si>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</si>
  <si>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</si>
  <si>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</si>
  <si>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</si>
  <si>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</si>
  <si>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</si>
  <si>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</si>
  <si>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</si>
  <si>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</si>
  <si>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</si>
  <si>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</si>
  <si>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</si>
  <si>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</si>
  <si>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</si>
  <si>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</si>
  <si>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</si>
  <si>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</si>
  <si>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</si>
  <si>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</si>
  <si>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</si>
  <si>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</si>
  <si>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</si>
  <si>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</si>
  <si>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</si>
  <si>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</si>
  <si>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</si>
  <si>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</si>
  <si>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</si>
  <si>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</si>
  <si>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</si>
  <si>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</si>
  <si>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</si>
  <si>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</si>
  <si>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</si>
  <si>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</si>
  <si>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</si>
  <si>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</si>
  <si>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</si>
  <si>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</si>
  <si>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</si>
  <si>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</si>
  <si>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</si>
  <si>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</si>
  <si>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</si>
  <si>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</si>
  <si>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</si>
  <si>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</si>
  <si>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</si>
  <si>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</si>
  <si>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</si>
  <si>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</si>
  <si>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</si>
  <si>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</si>
  <si>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</si>
  <si>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</si>
  <si>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</si>
  <si>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</si>
  <si>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</si>
  <si>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</si>
  <si>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</si>
  <si>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</si>
  <si>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</si>
  <si>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</si>
  <si>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</si>
  <si>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</si>
  <si>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</si>
  <si>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</si>
  <si>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</si>
  <si>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</si>
  <si>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</si>
  <si>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</si>
  <si>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</si>
  <si>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</si>
  <si>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</si>
  <si>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</si>
  <si>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</si>
  <si>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</si>
  <si>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</si>
  <si>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</si>
  <si>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</si>
  <si>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</si>
  <si>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</si>
  <si>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</si>
  <si>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</si>
  <si>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</si>
  <si>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</si>
  <si>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</si>
  <si>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</si>
  <si>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</si>
  <si>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</si>
  <si>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</si>
  <si>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</si>
  <si>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</si>
  <si>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</si>
  <si>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</si>
  <si>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</si>
  <si>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</si>
  <si>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</si>
  <si>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</si>
  <si>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</si>
  <si>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</si>
  <si>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</si>
  <si>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</si>
  <si>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</si>
  <si>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</si>
  <si>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</si>
  <si>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</si>
  <si>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</si>
  <si>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</si>
  <si>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</si>
  <si>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</si>
  <si>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</si>
  <si>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</si>
  <si>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</si>
  <si>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</si>
  <si>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</si>
  <si>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</si>
  <si>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</si>
  <si>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</si>
  <si>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</si>
  <si>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</si>
  <si>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</si>
  <si>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</si>
  <si>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</si>
  <si>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</si>
  <si>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</si>
  <si>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</si>
  <si>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</si>
  <si>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</si>
  <si>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</si>
  <si>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</si>
  <si>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</si>
  <si>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</si>
  <si>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</si>
  <si>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</si>
  <si>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</si>
  <si>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</si>
  <si>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</si>
  <si>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</si>
  <si>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</si>
  <si>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</si>
  <si>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</si>
  <si>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</si>
  <si>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</si>
  <si>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</si>
  <si>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</si>
  <si>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</si>
  <si>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</si>
  <si>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</si>
  <si>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</si>
  <si>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</si>
  <si>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</si>
  <si>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</si>
  <si>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</si>
  <si>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</si>
  <si>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</si>
  <si>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</si>
  <si>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</si>
  <si>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</si>
  <si>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</si>
  <si>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</si>
  <si>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</si>
  <si>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</si>
  <si>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</si>
  <si>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</si>
  <si>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</si>
  <si>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</si>
  <si>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</si>
  <si>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</si>
  <si>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</si>
  <si>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</si>
  <si>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</si>
  <si>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</si>
  <si>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</si>
  <si>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</si>
  <si>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</si>
  <si>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</si>
  <si>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</si>
  <si>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</si>
  <si>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</si>
  <si>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</si>
  <si>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</si>
  <si>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</si>
  <si>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</si>
  <si>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</si>
  <si>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</si>
  <si>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</si>
  <si>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</si>
  <si>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</si>
  <si>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</si>
  <si>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</si>
  <si>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</si>
  <si>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</si>
  <si>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</si>
  <si>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</si>
  <si>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</si>
  <si>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</si>
  <si>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</si>
  <si>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</si>
  <si>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</si>
  <si>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</si>
  <si>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</si>
  <si>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</si>
  <si>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</si>
  <si>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</si>
  <si>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</si>
  <si>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</si>
  <si>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</si>
  <si>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</si>
  <si>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</si>
  <si>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</si>
  <si>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</si>
  <si>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</si>
  <si>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</si>
  <si>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</si>
  <si>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</si>
  <si>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</si>
  <si>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</si>
  <si>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</si>
  <si>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</si>
  <si>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</si>
  <si>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</si>
  <si>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</si>
  <si>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</si>
  <si>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</si>
  <si>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</si>
  <si>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</si>
  <si>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</si>
  <si>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</si>
  <si>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</si>
  <si>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</si>
  <si>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</si>
  <si>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</si>
  <si>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</si>
  <si>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</si>
  <si>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</si>
  <si>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</si>
  <si>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</si>
  <si>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</si>
  <si>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</si>
  <si>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</si>
  <si>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</si>
  <si>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</si>
  <si>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</si>
  <si>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</si>
  <si>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</si>
  <si>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</si>
  <si>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</si>
  <si>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</si>
  <si>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</si>
  <si>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</si>
  <si>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</si>
  <si>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</si>
  <si>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</si>
  <si>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</si>
  <si>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</si>
  <si>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</si>
  <si>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</si>
  <si>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</si>
  <si>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</si>
  <si>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</si>
  <si>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</si>
  <si>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</si>
  <si>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</si>
  <si>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</si>
  <si>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</si>
  <si>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</si>
  <si>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</si>
  <si>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</si>
  <si>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</si>
  <si>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</si>
  <si>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</si>
  <si>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</si>
  <si>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</si>
  <si>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</si>
  <si>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</si>
  <si>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</si>
  <si>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</si>
  <si>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</si>
  <si>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</si>
  <si>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</si>
  <si>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</si>
  <si>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</si>
  <si>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</si>
  <si>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</si>
  <si>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</si>
  <si>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</si>
  <si>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</si>
  <si>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</si>
  <si>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</si>
  <si>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</si>
  <si>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</si>
  <si>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</si>
  <si>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</si>
  <si>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</si>
  <si>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</si>
  <si>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</si>
  <si>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</si>
  <si>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</si>
  <si>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</si>
  <si>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</si>
  <si>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</si>
  <si>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</si>
  <si>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</si>
  <si>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</si>
  <si>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</si>
  <si>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</si>
  <si>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</si>
  <si>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</si>
  <si>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</si>
  <si>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</si>
  <si>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</si>
  <si>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</si>
  <si>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</si>
  <si>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</si>
  <si>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</si>
  <si>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</si>
  <si>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</si>
  <si>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</si>
  <si>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</si>
  <si>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</si>
  <si>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</si>
  <si>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</si>
  <si>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</si>
  <si>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</si>
  <si>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</si>
  <si>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</si>
  <si>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</si>
  <si>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</si>
  <si>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</si>
  <si>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</si>
  <si>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</si>
  <si>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</si>
  <si>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</si>
  <si>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</si>
  <si>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</si>
  <si>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</si>
  <si>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</si>
  <si>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</si>
  <si>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</si>
  <si>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</si>
  <si>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</si>
  <si>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</si>
  <si>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</si>
  <si>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</si>
  <si>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</si>
  <si>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</si>
  <si>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</si>
  <si>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</si>
  <si>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</si>
  <si>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</si>
  <si>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</si>
  <si>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</si>
  <si>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</si>
  <si>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</si>
  <si>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</si>
  <si>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</si>
  <si>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</si>
  <si>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</si>
  <si>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</si>
  <si>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</si>
  <si>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</si>
  <si>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</si>
  <si>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</si>
  <si>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</si>
  <si>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</si>
  <si>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</si>
  <si>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</si>
  <si>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</si>
  <si>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</si>
  <si>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</si>
  <si>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</si>
  <si>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</si>
  <si>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</si>
  <si>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</si>
  <si>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</si>
  <si>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</si>
  <si>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</si>
  <si>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</si>
  <si>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</si>
  <si>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</si>
  <si>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</si>
  <si>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</si>
  <si>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</si>
  <si>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</si>
  <si>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</si>
  <si>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</si>
  <si>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</si>
  <si>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</si>
  <si>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</si>
  <si>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</si>
  <si>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</si>
  <si>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</si>
  <si>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</si>
  <si>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</si>
  <si>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</si>
  <si>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</si>
  <si>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</si>
  <si>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</si>
  <si>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</si>
  <si>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</si>
  <si>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</si>
  <si>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</si>
  <si>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</si>
  <si>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</si>
  <si>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</si>
  <si>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</si>
  <si>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</si>
  <si>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</si>
  <si>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</si>
  <si>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</si>
  <si>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</si>
  <si>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</si>
  <si>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</si>
  <si>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</si>
  <si>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</si>
  <si>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</si>
  <si>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</si>
  <si>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</si>
  <si>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</si>
  <si>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</si>
  <si>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</si>
  <si>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</si>
  <si>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</si>
  <si>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</si>
  <si>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</si>
  <si>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</si>
  <si>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</si>
  <si>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</si>
  <si>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</si>
  <si>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</si>
  <si>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</si>
  <si>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</si>
  <si>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</si>
  <si>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</si>
  <si>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</si>
  <si>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</si>
  <si>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STOP</t>
  </si>
  <si>
    <t>S31E5 - spot</t>
  </si>
  <si>
    <t>S31E5 - 48hs</t>
  </si>
  <si>
    <t>SE5C - spot</t>
  </si>
  <si>
    <t>SE5C - 48hs</t>
  </si>
  <si>
    <t>SE5D - spot</t>
  </si>
  <si>
    <t>SE5D - 48hs</t>
  </si>
  <si>
    <t>TRAIL</t>
  </si>
  <si>
    <t>8 días</t>
  </si>
  <si>
    <t>9 días</t>
  </si>
  <si>
    <t>10 días</t>
  </si>
  <si>
    <t>PRC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</si>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</sst>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2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0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theme="1"/>
      </top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4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96" fillId="39" borderId="0" applyNumberFormat="0" applyBorder="0" applyAlignment="0" applyProtection="0"/>
    <xf numFmtId="0" fontId="96" fillId="40" borderId="0" applyNumberFormat="0" applyBorder="0" applyAlignment="0" applyProtection="0"/>
    <xf numFmtId="0" fontId="96" fillId="41" borderId="0" applyNumberFormat="0" applyBorder="0" applyAlignment="0" applyProtection="0"/>
  </cellStyleXfs>
  <cellXfs count="81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6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1" fillId="13" borderId="8" xfId="15" applyNumberFormat="1" applyFont="1" applyFill="1" applyBorder="1" applyAlignment="1">
      <alignment horizontal="center" vertical="center"/>
    </xf>
    <xf numFmtId="0" fontId="42" fillId="13" borderId="8" xfId="15" applyFont="1" applyFill="1" applyBorder="1" applyAlignment="1">
      <alignment horizontal="center" vertical="center"/>
    </xf>
    <xf numFmtId="0" fontId="43" fillId="16" borderId="13" xfId="0" applyFont="1" applyFill="1" applyBorder="1" applyAlignment="1">
      <alignment vertical="center"/>
    </xf>
    <xf numFmtId="0" fontId="44" fillId="16" borderId="14" xfId="0" applyFont="1" applyFill="1" applyBorder="1" applyAlignment="1">
      <alignment horizontal="center" vertical="center"/>
    </xf>
    <xf numFmtId="1" fontId="44" fillId="16" borderId="14" xfId="0" applyNumberFormat="1" applyFont="1" applyFill="1" applyBorder="1" applyAlignment="1">
      <alignment horizontal="center" vertical="center"/>
    </xf>
    <xf numFmtId="0" fontId="44" fillId="16" borderId="14" xfId="0" applyFont="1" applyFill="1" applyBorder="1" applyAlignment="1">
      <alignment vertical="center"/>
    </xf>
    <xf numFmtId="164" fontId="44" fillId="16" borderId="14" xfId="0" applyNumberFormat="1" applyFont="1" applyFill="1" applyBorder="1" applyAlignment="1">
      <alignment vertical="center"/>
    </xf>
    <xf numFmtId="2" fontId="44" fillId="16" borderId="14" xfId="0" applyNumberFormat="1" applyFont="1" applyFill="1" applyBorder="1" applyAlignment="1">
      <alignment vertical="center"/>
    </xf>
    <xf numFmtId="0" fontId="45" fillId="16" borderId="15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46" fillId="16" borderId="2" xfId="0" applyFont="1" applyFill="1" applyBorder="1" applyAlignment="1">
      <alignment vertical="center"/>
    </xf>
    <xf numFmtId="0" fontId="47" fillId="16" borderId="2" xfId="0" applyFont="1" applyFill="1" applyBorder="1" applyAlignment="1">
      <alignment horizontal="center" vertical="center"/>
    </xf>
    <xf numFmtId="0" fontId="43" fillId="16" borderId="2" xfId="0" applyFont="1" applyFill="1" applyBorder="1" applyAlignment="1">
      <alignment vertical="center"/>
    </xf>
    <xf numFmtId="0" fontId="44" fillId="16" borderId="2" xfId="0" applyFont="1" applyFill="1" applyBorder="1" applyAlignment="1">
      <alignment vertical="center"/>
    </xf>
    <xf numFmtId="0" fontId="48" fillId="16" borderId="2" xfId="0" applyFont="1" applyFill="1" applyBorder="1" applyAlignment="1">
      <alignment vertical="center"/>
    </xf>
    <xf numFmtId="0" fontId="43" fillId="16" borderId="2" xfId="0" applyFont="1" applyFill="1" applyBorder="1" applyAlignment="1">
      <alignment horizontal="center" vertical="center"/>
    </xf>
    <xf numFmtId="0" fontId="46" fillId="16" borderId="2" xfId="0" applyFont="1" applyFill="1" applyBorder="1" applyAlignment="1">
      <alignment horizontal="center" vertical="center"/>
    </xf>
    <xf numFmtId="1" fontId="46" fillId="16" borderId="2" xfId="0" applyNumberFormat="1" applyFont="1" applyFill="1" applyBorder="1" applyAlignment="1">
      <alignment horizontal="center" vertical="center"/>
    </xf>
    <xf numFmtId="2" fontId="46" fillId="16" borderId="2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vertical="center"/>
    </xf>
    <xf numFmtId="0" fontId="49" fillId="17" borderId="13" xfId="0" applyFont="1" applyFill="1" applyBorder="1" applyAlignment="1">
      <alignment horizontal="center" vertical="center"/>
    </xf>
    <xf numFmtId="0" fontId="50" fillId="17" borderId="16" xfId="0" applyFont="1" applyFill="1" applyBorder="1" applyAlignment="1">
      <alignment horizontal="center" vertical="center"/>
    </xf>
    <xf numFmtId="1" fontId="49" fillId="17" borderId="17" xfId="0" applyNumberFormat="1" applyFont="1" applyFill="1" applyBorder="1" applyAlignment="1">
      <alignment horizontal="center" vertical="center"/>
    </xf>
    <xf numFmtId="0" fontId="49" fillId="17" borderId="18" xfId="0" applyFont="1" applyFill="1" applyBorder="1" applyAlignment="1">
      <alignment horizontal="center" vertical="center"/>
    </xf>
    <xf numFmtId="164" fontId="49" fillId="17" borderId="19" xfId="0" applyNumberFormat="1" applyFont="1" applyFill="1" applyBorder="1" applyAlignment="1">
      <alignment horizontal="center" vertical="center"/>
    </xf>
    <xf numFmtId="164" fontId="49" fillId="17" borderId="20" xfId="0" applyNumberFormat="1" applyFont="1" applyFill="1" applyBorder="1" applyAlignment="1">
      <alignment horizontal="center" vertical="center"/>
    </xf>
    <xf numFmtId="2" fontId="50" fillId="17" borderId="19" xfId="0" applyNumberFormat="1" applyFont="1" applyFill="1" applyBorder="1" applyAlignment="1">
      <alignment horizontal="center" vertical="center"/>
    </xf>
    <xf numFmtId="0" fontId="49" fillId="17" borderId="17" xfId="0" applyFont="1" applyFill="1" applyBorder="1" applyAlignment="1">
      <alignment horizontal="center" vertical="center"/>
    </xf>
    <xf numFmtId="0" fontId="49" fillId="17" borderId="21" xfId="0" applyFont="1" applyFill="1" applyBorder="1" applyAlignment="1">
      <alignment horizontal="center" vertical="center"/>
    </xf>
    <xf numFmtId="2" fontId="49" fillId="17" borderId="16" xfId="0" applyNumberFormat="1" applyFont="1" applyFill="1" applyBorder="1" applyAlignment="1">
      <alignment horizontal="center" vertical="center"/>
    </xf>
    <xf numFmtId="2" fontId="49" fillId="17" borderId="21" xfId="0" applyNumberFormat="1" applyFont="1" applyFill="1" applyBorder="1" applyAlignment="1">
      <alignment horizontal="center" vertical="center"/>
    </xf>
    <xf numFmtId="3" fontId="50" fillId="17" borderId="22" xfId="0" applyNumberFormat="1" applyFont="1" applyFill="1" applyBorder="1" applyAlignment="1">
      <alignment horizontal="center" vertical="center"/>
    </xf>
    <xf numFmtId="3" fontId="50" fillId="17" borderId="23" xfId="0" applyNumberFormat="1" applyFont="1" applyFill="1" applyBorder="1" applyAlignment="1">
      <alignment horizontal="center" vertical="center"/>
    </xf>
    <xf numFmtId="0" fontId="51" fillId="16" borderId="2" xfId="0" applyFont="1" applyFill="1" applyBorder="1" applyAlignment="1">
      <alignment vertical="center"/>
    </xf>
    <xf numFmtId="0" fontId="49" fillId="18" borderId="24" xfId="0" applyFont="1" applyFill="1" applyBorder="1" applyAlignment="1">
      <alignment horizontal="center" vertical="center"/>
    </xf>
    <xf numFmtId="0" fontId="50" fillId="19" borderId="26" xfId="0" applyFont="1" applyFill="1" applyBorder="1" applyAlignment="1">
      <alignment horizontal="center" vertical="center"/>
    </xf>
    <xf numFmtId="0" fontId="50" fillId="17" borderId="27" xfId="0" applyFont="1" applyFill="1" applyBorder="1" applyAlignment="1">
      <alignment horizontal="center" vertical="center"/>
    </xf>
    <xf numFmtId="0" fontId="49" fillId="17" borderId="28" xfId="0" applyFont="1" applyFill="1" applyBorder="1" applyAlignment="1">
      <alignment horizontal="center" vertical="center"/>
    </xf>
    <xf numFmtId="0" fontId="50" fillId="17" borderId="19" xfId="0" applyFont="1" applyFill="1" applyBorder="1" applyAlignment="1">
      <alignment horizontal="center" vertical="center"/>
    </xf>
    <xf numFmtId="1" fontId="49" fillId="17" borderId="14" xfId="0" applyNumberFormat="1" applyFont="1" applyFill="1" applyBorder="1" applyAlignment="1">
      <alignment horizontal="center" vertical="center"/>
    </xf>
    <xf numFmtId="2" fontId="49" fillId="17" borderId="19" xfId="0" applyNumberFormat="1" applyFont="1" applyFill="1" applyBorder="1" applyAlignment="1">
      <alignment horizontal="center" vertical="center"/>
    </xf>
    <xf numFmtId="2" fontId="49" fillId="17" borderId="18" xfId="0" applyNumberFormat="1" applyFont="1" applyFill="1" applyBorder="1" applyAlignment="1">
      <alignment horizontal="center" vertical="center"/>
    </xf>
    <xf numFmtId="0" fontId="50" fillId="17" borderId="14" xfId="0" applyFont="1" applyFill="1" applyBorder="1" applyAlignment="1">
      <alignment horizontal="center" vertical="center"/>
    </xf>
    <xf numFmtId="0" fontId="50" fillId="17" borderId="18" xfId="0" applyFont="1" applyFill="1" applyBorder="1" applyAlignment="1">
      <alignment horizontal="center" vertical="center"/>
    </xf>
    <xf numFmtId="0" fontId="52" fillId="21" borderId="29" xfId="0" applyFont="1" applyFill="1" applyBorder="1" applyAlignment="1">
      <alignment horizontal="center" vertical="center"/>
    </xf>
    <xf numFmtId="0" fontId="52" fillId="21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2" fillId="23" borderId="29" xfId="0" applyFont="1" applyFill="1" applyBorder="1" applyAlignment="1">
      <alignment horizontal="center" vertical="center"/>
    </xf>
    <xf numFmtId="0" fontId="52" fillId="23" borderId="30" xfId="0" applyFont="1" applyFill="1" applyBorder="1" applyAlignment="1">
      <alignment horizontal="center" vertical="center"/>
    </xf>
    <xf numFmtId="0" fontId="52" fillId="23" borderId="31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2" fontId="54" fillId="24" borderId="34" xfId="0" applyNumberFormat="1" applyFont="1" applyFill="1" applyBorder="1" applyAlignment="1">
      <alignment horizontal="center" vertical="center"/>
    </xf>
    <xf numFmtId="9" fontId="46" fillId="26" borderId="33" xfId="0" applyNumberFormat="1" applyFont="1" applyFill="1" applyBorder="1" applyAlignment="1">
      <alignment horizontal="center" vertical="center"/>
    </xf>
    <xf numFmtId="2" fontId="43" fillId="28" borderId="34" xfId="2" applyNumberFormat="1" applyFont="1" applyFill="1" applyBorder="1" applyAlignment="1">
      <alignment horizontal="center" vertical="center"/>
    </xf>
    <xf numFmtId="0" fontId="55" fillId="29" borderId="34" xfId="0" applyFont="1" applyFill="1" applyBorder="1" applyAlignment="1">
      <alignment horizontal="center" vertical="center"/>
    </xf>
    <xf numFmtId="1" fontId="56" fillId="30" borderId="34" xfId="0" applyNumberFormat="1" applyFont="1" applyFill="1" applyBorder="1" applyAlignment="1">
      <alignment horizontal="center" vertical="center"/>
    </xf>
    <xf numFmtId="14" fontId="43" fillId="24" borderId="41" xfId="0" applyNumberFormat="1" applyFont="1" applyFill="1" applyBorder="1" applyAlignment="1">
      <alignment horizontal="center" vertical="center"/>
    </xf>
    <xf numFmtId="0" fontId="43" fillId="21" borderId="42" xfId="0" applyFont="1" applyFill="1" applyBorder="1" applyAlignment="1">
      <alignment horizontal="center" vertical="center"/>
    </xf>
    <xf numFmtId="0" fontId="57" fillId="24" borderId="37" xfId="0" applyFont="1" applyFill="1" applyBorder="1" applyAlignment="1">
      <alignment horizontal="center" vertical="center"/>
    </xf>
    <xf numFmtId="2" fontId="43" fillId="24" borderId="35" xfId="0" applyNumberFormat="1" applyFont="1" applyFill="1" applyBorder="1" applyAlignment="1">
      <alignment horizontal="center" vertical="center"/>
    </xf>
    <xf numFmtId="0" fontId="43" fillId="32" borderId="45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horizontal="center" vertical="center"/>
    </xf>
    <xf numFmtId="0" fontId="43" fillId="33" borderId="45" xfId="0" applyFont="1" applyFill="1" applyBorder="1" applyAlignment="1">
      <alignment horizontal="center" vertical="center"/>
    </xf>
    <xf numFmtId="2" fontId="47" fillId="22" borderId="47" xfId="0" applyNumberFormat="1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vertical="center"/>
    </xf>
    <xf numFmtId="0" fontId="44" fillId="22" borderId="2" xfId="0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horizontal="center" vertical="center"/>
    </xf>
    <xf numFmtId="4" fontId="47" fillId="23" borderId="47" xfId="0" applyNumberFormat="1" applyFont="1" applyFill="1" applyBorder="1" applyAlignment="1">
      <alignment horizontal="center" vertical="center"/>
    </xf>
    <xf numFmtId="0" fontId="44" fillId="23" borderId="2" xfId="0" applyFont="1" applyFill="1" applyBorder="1" applyAlignment="1">
      <alignment horizontal="center" vertical="center"/>
    </xf>
    <xf numFmtId="4" fontId="47" fillId="23" borderId="37" xfId="0" applyNumberFormat="1" applyFont="1" applyFill="1" applyBorder="1" applyAlignment="1">
      <alignment horizontal="center" vertical="center"/>
    </xf>
    <xf numFmtId="0" fontId="43" fillId="21" borderId="45" xfId="0" applyFont="1" applyFill="1" applyBorder="1" applyAlignment="1">
      <alignment horizontal="center" vertical="center"/>
    </xf>
    <xf numFmtId="1" fontId="54" fillId="24" borderId="34" xfId="0" applyNumberFormat="1" applyFont="1" applyFill="1" applyBorder="1" applyAlignment="1">
      <alignment horizontal="center" vertical="center"/>
    </xf>
    <xf numFmtId="0" fontId="44" fillId="23" borderId="47" xfId="0" applyFont="1" applyFill="1" applyBorder="1" applyAlignment="1">
      <alignment horizontal="center" vertical="center"/>
    </xf>
    <xf numFmtId="1" fontId="54" fillId="24" borderId="2" xfId="0" applyNumberFormat="1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horizontal="center" vertical="center"/>
    </xf>
    <xf numFmtId="2" fontId="54" fillId="24" borderId="2" xfId="0" applyNumberFormat="1" applyFont="1" applyFill="1" applyBorder="1" applyAlignment="1">
      <alignment horizontal="center" vertical="center"/>
    </xf>
    <xf numFmtId="2" fontId="56" fillId="30" borderId="34" xfId="0" applyNumberFormat="1" applyFont="1" applyFill="1" applyBorder="1" applyAlignment="1">
      <alignment horizontal="center" vertical="center"/>
    </xf>
    <xf numFmtId="9" fontId="57" fillId="35" borderId="51" xfId="0" applyNumberFormat="1" applyFont="1" applyFill="1" applyBorder="1" applyAlignment="1">
      <alignment horizontal="center" vertical="center"/>
    </xf>
    <xf numFmtId="4" fontId="59" fillId="23" borderId="37" xfId="0" applyNumberFormat="1" applyFont="1" applyFill="1" applyBorder="1" applyAlignment="1">
      <alignment horizontal="center" vertical="center"/>
    </xf>
    <xf numFmtId="9" fontId="46" fillId="26" borderId="53" xfId="0" applyNumberFormat="1" applyFont="1" applyFill="1" applyBorder="1" applyAlignment="1">
      <alignment horizontal="center" vertical="center"/>
    </xf>
    <xf numFmtId="0" fontId="61" fillId="16" borderId="2" xfId="0" applyFont="1" applyFill="1" applyBorder="1" applyAlignment="1">
      <alignment vertical="center"/>
    </xf>
    <xf numFmtId="0" fontId="44" fillId="23" borderId="5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4" fontId="47" fillId="23" borderId="57" xfId="0" applyNumberFormat="1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2" borderId="47" xfId="0" applyFont="1" applyFill="1" applyBorder="1" applyAlignment="1">
      <alignment horizontal="center" vertical="center"/>
    </xf>
    <xf numFmtId="0" fontId="45" fillId="32" borderId="2" xfId="0" applyFont="1" applyFill="1" applyBorder="1" applyAlignment="1">
      <alignment vertical="center"/>
    </xf>
    <xf numFmtId="0" fontId="45" fillId="33" borderId="2" xfId="0" applyFont="1" applyFill="1" applyBorder="1" applyAlignment="1">
      <alignment vertical="center"/>
    </xf>
    <xf numFmtId="0" fontId="55" fillId="32" borderId="37" xfId="0" applyFont="1" applyFill="1" applyBorder="1" applyAlignment="1">
      <alignment horizontal="center" vertical="center"/>
    </xf>
    <xf numFmtId="2" fontId="44" fillId="22" borderId="37" xfId="0" applyNumberFormat="1" applyFont="1" applyFill="1" applyBorder="1" applyAlignment="1">
      <alignment horizontal="center" vertical="center"/>
    </xf>
    <xf numFmtId="0" fontId="57" fillId="24" borderId="33" xfId="0" applyFont="1" applyFill="1" applyBorder="1" applyAlignment="1">
      <alignment horizontal="center" vertical="center"/>
    </xf>
    <xf numFmtId="1" fontId="54" fillId="21" borderId="61" xfId="0" applyNumberFormat="1" applyFont="1" applyFill="1" applyBorder="1" applyAlignment="1">
      <alignment vertical="center"/>
    </xf>
    <xf numFmtId="14" fontId="43" fillId="24" borderId="41" xfId="0" applyNumberFormat="1" applyFont="1" applyFill="1" applyBorder="1" applyAlignment="1">
      <alignment horizontal="center" vertical="center" wrapText="1"/>
    </xf>
    <xf numFmtId="0" fontId="43" fillId="21" borderId="45" xfId="0" applyFont="1" applyFill="1" applyBorder="1" applyAlignment="1">
      <alignment horizontal="center" vertical="center" wrapText="1"/>
    </xf>
    <xf numFmtId="0" fontId="43" fillId="32" borderId="45" xfId="0" applyFont="1" applyFill="1" applyBorder="1" applyAlignment="1">
      <alignment horizontal="center" vertical="center" wrapText="1"/>
    </xf>
    <xf numFmtId="0" fontId="43" fillId="33" borderId="45" xfId="0" applyFont="1" applyFill="1" applyBorder="1" applyAlignment="1">
      <alignment horizontal="center" vertical="center" wrapText="1"/>
    </xf>
    <xf numFmtId="1" fontId="54" fillId="32" borderId="61" xfId="0" applyNumberFormat="1" applyFont="1" applyFill="1" applyBorder="1" applyAlignment="1">
      <alignment vertical="center"/>
    </xf>
    <xf numFmtId="1" fontId="54" fillId="33" borderId="61" xfId="0" applyNumberFormat="1" applyFont="1" applyFill="1" applyBorder="1" applyAlignment="1">
      <alignment vertical="center"/>
    </xf>
    <xf numFmtId="0" fontId="62" fillId="36" borderId="0" xfId="0" applyFont="1" applyFill="1" applyAlignment="1">
      <alignment vertical="center"/>
    </xf>
    <xf numFmtId="9" fontId="54" fillId="24" borderId="60" xfId="0" applyNumberFormat="1" applyFont="1" applyFill="1" applyBorder="1" applyAlignment="1">
      <alignment horizontal="center" vertical="center"/>
    </xf>
    <xf numFmtId="0" fontId="43" fillId="38" borderId="66" xfId="0" applyFont="1" applyFill="1" applyBorder="1" applyAlignment="1">
      <alignment horizontal="center" vertical="center"/>
    </xf>
    <xf numFmtId="0" fontId="54" fillId="25" borderId="61" xfId="0" applyFont="1" applyFill="1" applyBorder="1" applyAlignment="1">
      <alignment horizontal="center" vertical="center"/>
    </xf>
    <xf numFmtId="0" fontId="43" fillId="38" borderId="61" xfId="0" applyFont="1" applyFill="1" applyBorder="1" applyAlignment="1">
      <alignment horizontal="center" vertical="center"/>
    </xf>
    <xf numFmtId="3" fontId="54" fillId="24" borderId="61" xfId="0" applyNumberFormat="1" applyFont="1" applyFill="1" applyBorder="1" applyAlignment="1">
      <alignment horizontal="center" vertical="center"/>
    </xf>
    <xf numFmtId="0" fontId="46" fillId="16" borderId="0" xfId="0" applyFont="1" applyFill="1" applyAlignment="1">
      <alignment vertical="center"/>
    </xf>
    <xf numFmtId="0" fontId="45" fillId="16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10" fontId="54" fillId="24" borderId="61" xfId="0" applyNumberFormat="1" applyFont="1" applyFill="1" applyBorder="1" applyAlignment="1">
      <alignment horizontal="center" vertical="center"/>
    </xf>
    <xf numFmtId="14" fontId="43" fillId="37" borderId="61" xfId="0" applyNumberFormat="1" applyFont="1" applyFill="1" applyBorder="1" applyAlignment="1">
      <alignment horizontal="center" vertical="center"/>
    </xf>
    <xf numFmtId="3" fontId="43" fillId="37" borderId="61" xfId="0" applyNumberFormat="1" applyFont="1" applyFill="1" applyBorder="1" applyAlignment="1">
      <alignment horizontal="center" vertical="center"/>
    </xf>
    <xf numFmtId="169" fontId="43" fillId="37" borderId="61" xfId="0" applyNumberFormat="1" applyFont="1" applyFill="1" applyBorder="1" applyAlignment="1">
      <alignment horizontal="center" vertical="center"/>
    </xf>
    <xf numFmtId="10" fontId="54" fillId="24" borderId="70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vertical="center"/>
    </xf>
    <xf numFmtId="2" fontId="47" fillId="22" borderId="56" xfId="0" applyNumberFormat="1" applyFont="1" applyFill="1" applyBorder="1" applyAlignment="1">
      <alignment horizontal="center" vertical="center"/>
    </xf>
    <xf numFmtId="1" fontId="44" fillId="22" borderId="1" xfId="0" applyNumberFormat="1" applyFont="1" applyFill="1" applyBorder="1" applyAlignment="1">
      <alignment vertical="center"/>
    </xf>
    <xf numFmtId="0" fontId="44" fillId="22" borderId="1" xfId="0" applyFont="1" applyFill="1" applyBorder="1" applyAlignment="1">
      <alignment horizontal="center" vertical="center"/>
    </xf>
    <xf numFmtId="2" fontId="44" fillId="22" borderId="5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47" fillId="21" borderId="29" xfId="0" applyFont="1" applyFill="1" applyBorder="1" applyAlignment="1">
      <alignment horizontal="center" vertical="center"/>
    </xf>
    <xf numFmtId="0" fontId="45" fillId="21" borderId="30" xfId="0" applyFont="1" applyFill="1" applyBorder="1" applyAlignment="1">
      <alignment vertical="center"/>
    </xf>
    <xf numFmtId="0" fontId="63" fillId="21" borderId="30" xfId="0" applyFont="1" applyFill="1" applyBorder="1" applyAlignment="1">
      <alignment vertical="center"/>
    </xf>
    <xf numFmtId="0" fontId="55" fillId="21" borderId="31" xfId="0" applyFont="1" applyFill="1" applyBorder="1" applyAlignment="1">
      <alignment horizontal="center" vertical="center"/>
    </xf>
    <xf numFmtId="0" fontId="64" fillId="16" borderId="0" xfId="0" applyFont="1" applyFill="1" applyAlignment="1">
      <alignment vertical="center"/>
    </xf>
    <xf numFmtId="2" fontId="47" fillId="22" borderId="37" xfId="0" applyNumberFormat="1" applyFont="1" applyFill="1" applyBorder="1" applyAlignment="1">
      <alignment horizontal="center" vertical="center"/>
    </xf>
    <xf numFmtId="0" fontId="57" fillId="24" borderId="53" xfId="0" applyFont="1" applyFill="1" applyBorder="1" applyAlignment="1">
      <alignment horizontal="center" vertical="center"/>
    </xf>
    <xf numFmtId="0" fontId="57" fillId="24" borderId="74" xfId="0" applyFont="1" applyFill="1" applyBorder="1" applyAlignment="1">
      <alignment horizontal="center" vertical="center"/>
    </xf>
    <xf numFmtId="1" fontId="54" fillId="24" borderId="75" xfId="0" applyNumberFormat="1" applyFont="1" applyFill="1" applyBorder="1" applyAlignment="1">
      <alignment horizontal="center" vertical="center"/>
    </xf>
    <xf numFmtId="2" fontId="54" fillId="33" borderId="44" xfId="0" applyNumberFormat="1" applyFont="1" applyFill="1" applyBorder="1" applyAlignment="1">
      <alignment vertical="center"/>
    </xf>
    <xf numFmtId="2" fontId="54" fillId="33" borderId="35" xfId="0" applyNumberFormat="1" applyFont="1" applyFill="1" applyBorder="1" applyAlignment="1">
      <alignment vertical="center"/>
    </xf>
    <xf numFmtId="1" fontId="54" fillId="24" borderId="71" xfId="0" applyNumberFormat="1" applyFont="1" applyFill="1" applyBorder="1" applyAlignment="1">
      <alignment horizontal="center" vertical="center"/>
    </xf>
    <xf numFmtId="2" fontId="54" fillId="33" borderId="78" xfId="0" applyNumberFormat="1" applyFont="1" applyFill="1" applyBorder="1" applyAlignment="1">
      <alignment vertical="center"/>
    </xf>
    <xf numFmtId="0" fontId="54" fillId="37" borderId="80" xfId="0" applyFont="1" applyFill="1" applyBorder="1" applyAlignment="1">
      <alignment horizontal="center" vertical="center"/>
    </xf>
    <xf numFmtId="1" fontId="54" fillId="37" borderId="71" xfId="0" applyNumberFormat="1" applyFont="1" applyFill="1" applyBorder="1" applyAlignment="1">
      <alignment horizontal="center" vertical="center"/>
    </xf>
    <xf numFmtId="0" fontId="54" fillId="37" borderId="72" xfId="0" applyFont="1" applyFill="1" applyBorder="1" applyAlignment="1">
      <alignment horizontal="center" vertical="center"/>
    </xf>
    <xf numFmtId="2" fontId="54" fillId="37" borderId="81" xfId="0" applyNumberFormat="1" applyFont="1" applyFill="1" applyBorder="1" applyAlignment="1">
      <alignment vertical="center"/>
    </xf>
    <xf numFmtId="1" fontId="54" fillId="37" borderId="71" xfId="0" applyNumberFormat="1" applyFont="1" applyFill="1" applyBorder="1" applyAlignment="1">
      <alignment vertical="center"/>
    </xf>
    <xf numFmtId="0" fontId="45" fillId="32" borderId="0" xfId="0" applyFont="1" applyFill="1" applyAlignment="1">
      <alignment vertical="center"/>
    </xf>
    <xf numFmtId="2" fontId="47" fillId="22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6" fillId="30" borderId="34" xfId="55" applyNumberFormat="1" applyFont="1" applyFill="1" applyBorder="1" applyAlignment="1">
      <alignment horizontal="center" vertical="center"/>
    </xf>
    <xf numFmtId="0" fontId="49" fillId="20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3" fillId="28" borderId="34" xfId="2" applyNumberFormat="1" applyFont="1" applyFill="1" applyBorder="1" applyAlignment="1">
      <alignment horizontal="center" vertical="center"/>
    </xf>
    <xf numFmtId="0" fontId="43" fillId="28" borderId="37" xfId="0" applyFont="1" applyFill="1" applyBorder="1" applyAlignment="1">
      <alignment horizontal="center" vertical="center"/>
    </xf>
    <xf numFmtId="0" fontId="54" fillId="24" borderId="34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vertical="center"/>
    </xf>
    <xf numFmtId="0" fontId="54" fillId="25" borderId="37" xfId="0" applyFont="1" applyFill="1" applyBorder="1" applyAlignment="1">
      <alignment vertical="center"/>
    </xf>
    <xf numFmtId="0" fontId="53" fillId="24" borderId="33" xfId="0" applyFont="1" applyFill="1" applyBorder="1" applyAlignment="1">
      <alignment horizontal="center" vertical="center"/>
    </xf>
    <xf numFmtId="0" fontId="58" fillId="24" borderId="33" xfId="0" applyFont="1" applyFill="1" applyBorder="1" applyAlignment="1">
      <alignment horizontal="center" vertical="center"/>
    </xf>
    <xf numFmtId="0" fontId="60" fillId="24" borderId="33" xfId="0" applyFont="1" applyFill="1" applyBorder="1" applyAlignment="1">
      <alignment horizontal="center" vertical="center"/>
    </xf>
    <xf numFmtId="0" fontId="54" fillId="25" borderId="62" xfId="0" applyFont="1" applyFill="1" applyBorder="1" applyAlignment="1">
      <alignment vertical="center"/>
    </xf>
    <xf numFmtId="0" fontId="54" fillId="24" borderId="71" xfId="0" applyFont="1" applyFill="1" applyBorder="1" applyAlignment="1">
      <alignment horizontal="center" vertical="center"/>
    </xf>
    <xf numFmtId="0" fontId="54" fillId="24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5" fillId="15" borderId="3" xfId="55" applyNumberFormat="1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4" fillId="33" borderId="37" xfId="0" applyFont="1" applyFill="1" applyBorder="1" applyAlignment="1">
      <alignment vertical="center"/>
    </xf>
    <xf numFmtId="0" fontId="54" fillId="33" borderId="62" xfId="0" applyFont="1" applyFill="1" applyBorder="1" applyAlignment="1">
      <alignment vertical="center"/>
    </xf>
    <xf numFmtId="0" fontId="54" fillId="21" borderId="43" xfId="0" applyFont="1" applyFill="1" applyBorder="1" applyAlignment="1">
      <alignment horizontal="right" vertical="center"/>
    </xf>
    <xf numFmtId="0" fontId="54" fillId="21" borderId="44" xfId="0" applyFont="1" applyFill="1" applyBorder="1" applyAlignment="1">
      <alignment horizontal="right" vertical="center"/>
    </xf>
    <xf numFmtId="0" fontId="54" fillId="21" borderId="2" xfId="0" applyFont="1" applyFill="1" applyBorder="1" applyAlignment="1">
      <alignment horizontal="right" vertical="center"/>
    </xf>
    <xf numFmtId="0" fontId="54" fillId="21" borderId="35" xfId="0" applyFont="1" applyFill="1" applyBorder="1" applyAlignment="1">
      <alignment horizontal="right" vertical="center"/>
    </xf>
    <xf numFmtId="0" fontId="54" fillId="32" borderId="2" xfId="0" applyFont="1" applyFill="1" applyBorder="1" applyAlignment="1">
      <alignment horizontal="right" vertical="center"/>
    </xf>
    <xf numFmtId="0" fontId="54" fillId="32" borderId="46" xfId="0" applyFont="1" applyFill="1" applyBorder="1" applyAlignment="1">
      <alignment horizontal="right" vertical="center"/>
    </xf>
    <xf numFmtId="0" fontId="54" fillId="32" borderId="35" xfId="0" applyFont="1" applyFill="1" applyBorder="1" applyAlignment="1">
      <alignment horizontal="right" vertical="center"/>
    </xf>
    <xf numFmtId="0" fontId="54" fillId="33" borderId="2" xfId="0" applyFont="1" applyFill="1" applyBorder="1" applyAlignment="1">
      <alignment horizontal="right" vertical="center"/>
    </xf>
    <xf numFmtId="0" fontId="54" fillId="33" borderId="35" xfId="0" applyFont="1" applyFill="1" applyBorder="1" applyAlignment="1">
      <alignment horizontal="right" vertical="center"/>
    </xf>
    <xf numFmtId="0" fontId="49" fillId="18" borderId="25" xfId="0" applyFont="1" applyFill="1" applyBorder="1" applyAlignment="1">
      <alignment horizontal="center" vertical="center"/>
    </xf>
    <xf numFmtId="0" fontId="50" fillId="20" borderId="25" xfId="0" applyFont="1" applyFill="1" applyBorder="1" applyAlignment="1">
      <alignment horizontal="center" vertical="center"/>
    </xf>
    <xf numFmtId="0" fontId="49" fillId="20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8" fillId="10" borderId="92" xfId="0" applyFont="1" applyFill="1" applyBorder="1" applyAlignment="1">
      <alignment horizontal="right" vertical="center"/>
    </xf>
    <xf numFmtId="0" fontId="38" fillId="10" borderId="97" xfId="0" applyFont="1" applyFill="1" applyBorder="1" applyAlignment="1">
      <alignment horizontal="right" vertical="center"/>
    </xf>
    <xf numFmtId="0" fontId="38" fillId="10" borderId="99" xfId="0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0" fontId="36" fillId="10" borderId="92" xfId="0" applyFont="1" applyFill="1" applyBorder="1" applyAlignment="1">
      <alignment horizontal="right" vertical="center"/>
    </xf>
    <xf numFmtId="0" fontId="36" fillId="10" borderId="97" xfId="0" applyFont="1" applyFill="1" applyBorder="1" applyAlignment="1">
      <alignment horizontal="right" vertical="center"/>
    </xf>
    <xf numFmtId="0" fontId="36" fillId="10" borderId="99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3" fontId="36" fillId="10" borderId="97" xfId="0" applyNumberFormat="1" applyFont="1" applyFill="1" applyBorder="1" applyAlignment="1">
      <alignment horizontal="right" vertical="center"/>
    </xf>
    <xf numFmtId="0" fontId="38" fillId="10" borderId="93" xfId="0" applyFont="1" applyFill="1" applyBorder="1" applyAlignment="1">
      <alignment horizontal="right" vertical="center"/>
    </xf>
    <xf numFmtId="0" fontId="38" fillId="10" borderId="89" xfId="0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65" fillId="10" borderId="97" xfId="0" applyFont="1" applyFill="1" applyBorder="1" applyAlignment="1">
      <alignment horizontal="right" vertical="center"/>
    </xf>
    <xf numFmtId="0" fontId="66" fillId="10" borderId="90" xfId="55" applyNumberFormat="1" applyFont="1" applyFill="1" applyBorder="1" applyAlignment="1">
      <alignment horizontal="right" vertical="center"/>
    </xf>
    <xf numFmtId="0" fontId="38" fillId="10" borderId="101" xfId="0" applyFont="1" applyFill="1" applyBorder="1" applyAlignment="1">
      <alignment horizontal="right" vertical="center"/>
    </xf>
    <xf numFmtId="0" fontId="68" fillId="10" borderId="98" xfId="0" applyFont="1" applyFill="1" applyBorder="1" applyAlignment="1">
      <alignment horizontal="left" vertical="center"/>
    </xf>
    <xf numFmtId="0" fontId="36" fillId="10" borderId="102" xfId="0" applyFont="1" applyFill="1" applyBorder="1" applyAlignment="1">
      <alignment horizontal="right" vertical="center"/>
    </xf>
    <xf numFmtId="0" fontId="38" fillId="10" borderId="105" xfId="0" applyFont="1" applyFill="1" applyBorder="1" applyAlignment="1">
      <alignment horizontal="right" vertical="center"/>
    </xf>
    <xf numFmtId="0" fontId="38" fillId="10" borderId="104" xfId="0" applyFont="1" applyFill="1" applyBorder="1" applyAlignment="1">
      <alignment horizontal="right" vertical="center"/>
    </xf>
    <xf numFmtId="0" fontId="36" fillId="10" borderId="104" xfId="0" applyFont="1" applyFill="1" applyBorder="1" applyAlignment="1">
      <alignment horizontal="right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1" fontId="25" fillId="9" borderId="108" xfId="0" applyNumberFormat="1" applyFont="1" applyFill="1" applyBorder="1" applyAlignment="1">
      <alignment horizontal="center" vertical="center"/>
    </xf>
    <xf numFmtId="3" fontId="36" fillId="10" borderId="99" xfId="0" applyNumberFormat="1" applyFont="1" applyFill="1" applyBorder="1" applyAlignment="1">
      <alignment horizontal="right" vertical="center"/>
    </xf>
    <xf numFmtId="0" fontId="66" fillId="10" borderId="91" xfId="55" applyNumberFormat="1" applyFont="1" applyFill="1" applyBorder="1" applyAlignment="1">
      <alignment horizontal="right" vertical="center"/>
    </xf>
    <xf numFmtId="0" fontId="36" fillId="10" borderId="91" xfId="55" applyNumberFormat="1" applyFont="1" applyFill="1" applyBorder="1" applyAlignment="1">
      <alignment horizontal="right" vertical="center"/>
    </xf>
    <xf numFmtId="0" fontId="69" fillId="19" borderId="25" xfId="0" applyFont="1" applyFill="1" applyBorder="1" applyAlignment="1">
      <alignment horizontal="center" vertical="center"/>
    </xf>
    <xf numFmtId="0" fontId="65" fillId="10" borderId="96" xfId="0" applyFont="1" applyFill="1" applyBorder="1" applyAlignment="1">
      <alignment horizontal="right" vertical="center"/>
    </xf>
    <xf numFmtId="3" fontId="36" fillId="10" borderId="96" xfId="0" applyNumberFormat="1" applyFont="1" applyFill="1" applyBorder="1" applyAlignment="1">
      <alignment horizontal="right" vertical="center"/>
    </xf>
    <xf numFmtId="0" fontId="38" fillId="10" borderId="112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0" fontId="36" fillId="10" borderId="111" xfId="0" applyFont="1" applyFill="1" applyBorder="1" applyAlignment="1">
      <alignment horizontal="right" vertical="center"/>
    </xf>
    <xf numFmtId="0" fontId="65" fillId="10" borderId="91" xfId="0" applyFont="1" applyFill="1" applyBorder="1" applyAlignment="1">
      <alignment horizontal="right" vertical="center"/>
    </xf>
    <xf numFmtId="3" fontId="36" fillId="10" borderId="111" xfId="0" applyNumberFormat="1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3" fontId="36" fillId="10" borderId="92" xfId="0" applyNumberFormat="1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36" fillId="10" borderId="101" xfId="0" applyFont="1" applyFill="1" applyBorder="1" applyAlignment="1">
      <alignment horizontal="right" vertical="center"/>
    </xf>
    <xf numFmtId="3" fontId="36" fillId="10" borderId="104" xfId="0" applyNumberFormat="1" applyFont="1" applyFill="1" applyBorder="1" applyAlignment="1">
      <alignment horizontal="right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9" xfId="0" applyFont="1" applyFill="1" applyBorder="1" applyAlignment="1">
      <alignment horizontal="center" vertical="center"/>
    </xf>
    <xf numFmtId="0" fontId="23" fillId="9" borderId="96" xfId="0" applyFont="1" applyFill="1" applyBorder="1" applyAlignment="1">
      <alignment horizontal="center" vertical="center"/>
    </xf>
    <xf numFmtId="0" fontId="71" fillId="12" borderId="110" xfId="55" applyNumberFormat="1" applyFont="1" applyFill="1" applyBorder="1" applyAlignment="1">
      <alignment horizontal="center" vertical="center"/>
    </xf>
    <xf numFmtId="0" fontId="71" fillId="12" borderId="109" xfId="55" applyNumberFormat="1" applyFont="1" applyFill="1" applyBorder="1" applyAlignment="1">
      <alignment horizontal="center" vertical="center"/>
    </xf>
    <xf numFmtId="1" fontId="23" fillId="11" borderId="116" xfId="77" applyNumberFormat="1" applyFont="1" applyFill="1" applyBorder="1" applyAlignment="1">
      <alignment horizontal="center" vertical="center"/>
    </xf>
    <xf numFmtId="1" fontId="23" fillId="11" borderId="117" xfId="77" applyNumberFormat="1" applyFont="1" applyFill="1" applyBorder="1" applyAlignment="1">
      <alignment horizontal="center" vertical="center"/>
    </xf>
    <xf numFmtId="0" fontId="65" fillId="10" borderId="94" xfId="0" applyFont="1" applyFill="1" applyBorder="1" applyAlignment="1">
      <alignment horizontal="right" vertical="center"/>
    </xf>
    <xf numFmtId="0" fontId="72" fillId="10" borderId="103" xfId="0" applyFont="1" applyFill="1" applyBorder="1" applyAlignment="1">
      <alignment horizontal="left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100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0" fontId="75" fillId="13" borderId="8" xfId="15" applyFont="1" applyFill="1" applyBorder="1" applyAlignment="1">
      <alignment horizontal="center" vertical="center"/>
    </xf>
    <xf numFmtId="0" fontId="76" fillId="13" borderId="8" xfId="15" applyFont="1" applyFill="1" applyBorder="1" applyAlignment="1">
      <alignment horizontal="center" vertical="center"/>
    </xf>
    <xf numFmtId="0" fontId="77" fillId="13" borderId="8" xfId="15" applyFont="1" applyFill="1" applyBorder="1" applyAlignment="1">
      <alignment horizontal="center" vertical="center"/>
    </xf>
    <xf numFmtId="166" fontId="36" fillId="10" borderId="90" xfId="0" applyNumberFormat="1" applyFont="1" applyFill="1" applyBorder="1" applyAlignment="1">
      <alignment horizontal="center" vertical="center"/>
    </xf>
    <xf numFmtId="166" fontId="36" fillId="10" borderId="124" xfId="0" applyNumberFormat="1" applyFont="1" applyFill="1" applyBorder="1" applyAlignment="1">
      <alignment horizontal="center" vertical="center"/>
    </xf>
    <xf numFmtId="166" fontId="36" fillId="10" borderId="91" xfId="0" applyNumberFormat="1" applyFont="1" applyFill="1" applyBorder="1" applyAlignment="1">
      <alignment horizontal="center" vertical="center"/>
    </xf>
    <xf numFmtId="166" fontId="36" fillId="10" borderId="125" xfId="0" applyNumberFormat="1" applyFont="1" applyFill="1" applyBorder="1" applyAlignment="1">
      <alignment horizontal="center" vertical="center"/>
    </xf>
    <xf numFmtId="166" fontId="36" fillId="10" borderId="3" xfId="0" applyNumberFormat="1" applyFont="1" applyFill="1" applyBorder="1" applyAlignment="1">
      <alignment horizontal="center" vertical="center"/>
    </xf>
    <xf numFmtId="166" fontId="36" fillId="10" borderId="89" xfId="0" applyNumberFormat="1" applyFont="1" applyFill="1" applyBorder="1" applyAlignment="1">
      <alignment horizontal="center" vertical="center"/>
    </xf>
    <xf numFmtId="166" fontId="36" fillId="10" borderId="101" xfId="0" applyNumberFormat="1" applyFont="1" applyFill="1" applyBorder="1" applyAlignment="1">
      <alignment horizontal="center" vertical="center"/>
    </xf>
    <xf numFmtId="166" fontId="36" fillId="10" borderId="112" xfId="0" applyNumberFormat="1" applyFont="1" applyFill="1" applyBorder="1" applyAlignment="1">
      <alignment horizontal="center" vertical="center"/>
    </xf>
    <xf numFmtId="0" fontId="38" fillId="10" borderId="90" xfId="0" applyFont="1" applyFill="1" applyBorder="1" applyAlignment="1">
      <alignment horizontal="right" vertical="center"/>
    </xf>
    <xf numFmtId="0" fontId="38" fillId="10" borderId="124" xfId="0" applyFont="1" applyFill="1" applyBorder="1" applyAlignment="1">
      <alignment horizontal="right" vertical="center"/>
    </xf>
    <xf numFmtId="0" fontId="38" fillId="10" borderId="91" xfId="0" applyFont="1" applyFill="1" applyBorder="1" applyAlignment="1">
      <alignment horizontal="right" vertical="center"/>
    </xf>
    <xf numFmtId="0" fontId="38" fillId="10" borderId="125" xfId="0" applyFont="1" applyFill="1" applyBorder="1" applyAlignment="1">
      <alignment horizontal="right" vertical="center"/>
    </xf>
    <xf numFmtId="0" fontId="38" fillId="10" borderId="115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24" xfId="0" applyFont="1" applyFill="1" applyBorder="1" applyAlignment="1">
      <alignment horizontal="center" vertical="center"/>
    </xf>
    <xf numFmtId="0" fontId="67" fillId="10" borderId="94" xfId="0" applyFont="1" applyFill="1" applyBorder="1" applyAlignment="1">
      <alignment horizontal="right" vertical="center"/>
    </xf>
    <xf numFmtId="167" fontId="36" fillId="10" borderId="127" xfId="55" applyNumberFormat="1" applyFont="1" applyFill="1" applyBorder="1" applyAlignment="1">
      <alignment horizontal="right" vertical="center"/>
    </xf>
    <xf numFmtId="10" fontId="30" fillId="10" borderId="127" xfId="114" applyNumberFormat="1" applyFont="1" applyFill="1" applyBorder="1" applyAlignment="1">
      <alignment horizontal="right" vertical="center"/>
    </xf>
    <xf numFmtId="0" fontId="13" fillId="14" borderId="128" xfId="15" applyFont="1" applyFill="1" applyBorder="1" applyAlignment="1">
      <alignment horizontal="center" vertical="center"/>
    </xf>
    <xf numFmtId="167" fontId="36" fillId="10" borderId="129" xfId="55" applyNumberFormat="1" applyFont="1" applyFill="1" applyBorder="1" applyAlignment="1">
      <alignment horizontal="right" vertical="center"/>
    </xf>
    <xf numFmtId="10" fontId="30" fillId="10" borderId="129" xfId="114" applyNumberFormat="1" applyFont="1" applyFill="1" applyBorder="1" applyAlignment="1">
      <alignment horizontal="right" vertical="center"/>
    </xf>
    <xf numFmtId="10" fontId="75" fillId="10" borderId="127" xfId="114" applyNumberFormat="1" applyFont="1" applyFill="1" applyBorder="1" applyAlignment="1">
      <alignment horizontal="right" vertical="center"/>
    </xf>
    <xf numFmtId="10" fontId="75" fillId="10" borderId="10" xfId="114" applyNumberFormat="1" applyFont="1" applyFill="1" applyBorder="1" applyAlignment="1">
      <alignment horizontal="right" vertical="center"/>
    </xf>
    <xf numFmtId="10" fontId="75" fillId="10" borderId="129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6" fillId="10" borderId="90" xfId="55" applyNumberFormat="1" applyFont="1" applyFill="1" applyBorder="1" applyAlignment="1">
      <alignment horizontal="right" vertical="center"/>
    </xf>
    <xf numFmtId="1" fontId="78" fillId="11" borderId="117" xfId="77" applyNumberFormat="1" applyFont="1" applyFill="1" applyBorder="1" applyAlignment="1">
      <alignment horizontal="center" vertical="center"/>
    </xf>
    <xf numFmtId="1" fontId="78" fillId="11" borderId="116" xfId="77" applyNumberFormat="1" applyFont="1" applyFill="1" applyBorder="1" applyAlignment="1">
      <alignment horizontal="center" vertical="center"/>
    </xf>
    <xf numFmtId="1" fontId="79" fillId="11" borderId="116" xfId="77" applyNumberFormat="1" applyFont="1" applyFill="1" applyBorder="1" applyAlignment="1">
      <alignment horizontal="center" vertical="center"/>
    </xf>
    <xf numFmtId="1" fontId="80" fillId="11" borderId="117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74" fillId="9" borderId="96" xfId="55" applyNumberFormat="1" applyFont="1" applyFill="1" applyBorder="1" applyAlignment="1">
      <alignment horizontal="center" vertical="center"/>
    </xf>
    <xf numFmtId="2" fontId="74" fillId="9" borderId="95" xfId="55" applyNumberFormat="1" applyFont="1" applyFill="1" applyBorder="1" applyAlignment="1">
      <alignment horizontal="center" vertical="center"/>
    </xf>
    <xf numFmtId="2" fontId="74" fillId="9" borderId="99" xfId="55" applyNumberFormat="1" applyFont="1" applyFill="1" applyBorder="1" applyAlignment="1">
      <alignment horizontal="center" vertical="center"/>
    </xf>
    <xf numFmtId="0" fontId="65" fillId="10" borderId="92" xfId="0" applyFont="1" applyFill="1" applyBorder="1" applyAlignment="1">
      <alignment horizontal="right" vertical="center"/>
    </xf>
    <xf numFmtId="0" fontId="65" fillId="10" borderId="104" xfId="0" applyFont="1" applyFill="1" applyBorder="1" applyAlignment="1">
      <alignment horizontal="right" vertical="center"/>
    </xf>
    <xf numFmtId="0" fontId="66" fillId="10" borderId="96" xfId="55" applyNumberFormat="1" applyFont="1" applyFill="1" applyBorder="1" applyAlignment="1">
      <alignment horizontal="right" vertical="center"/>
    </xf>
    <xf numFmtId="0" fontId="74" fillId="9" borderId="121" xfId="55" applyNumberFormat="1" applyFont="1" applyFill="1" applyBorder="1" applyAlignment="1">
      <alignment horizontal="right" vertical="center"/>
    </xf>
    <xf numFmtId="0" fontId="66" fillId="10" borderId="104" xfId="55" applyNumberFormat="1" applyFont="1" applyFill="1" applyBorder="1" applyAlignment="1">
      <alignment horizontal="right" vertical="center"/>
    </xf>
    <xf numFmtId="0" fontId="74" fillId="9" borderId="95" xfId="55" applyNumberFormat="1" applyFont="1" applyFill="1" applyBorder="1" applyAlignment="1">
      <alignment horizontal="right" vertical="center"/>
    </xf>
    <xf numFmtId="0" fontId="66" fillId="10" borderId="92" xfId="55" applyNumberFormat="1" applyFont="1" applyFill="1" applyBorder="1" applyAlignment="1">
      <alignment horizontal="right" vertical="center"/>
    </xf>
    <xf numFmtId="0" fontId="82" fillId="9" borderId="95" xfId="55" applyNumberFormat="1" applyFont="1" applyFill="1" applyBorder="1" applyAlignment="1">
      <alignment horizontal="right" vertical="center"/>
    </xf>
    <xf numFmtId="0" fontId="82" fillId="9" borderId="121" xfId="55" applyNumberFormat="1" applyFont="1" applyFill="1" applyBorder="1" applyAlignment="1">
      <alignment horizontal="right" vertical="center"/>
    </xf>
    <xf numFmtId="10" fontId="83" fillId="10" borderId="96" xfId="114" applyNumberFormat="1" applyFont="1" applyFill="1" applyBorder="1" applyAlignment="1">
      <alignment horizontal="center" vertical="center"/>
    </xf>
    <xf numFmtId="10" fontId="83" fillId="10" borderId="95" xfId="114" applyNumberFormat="1" applyFont="1" applyFill="1" applyBorder="1" applyAlignment="1">
      <alignment horizontal="center" vertical="center"/>
    </xf>
    <xf numFmtId="10" fontId="83" fillId="10" borderId="97" xfId="114" applyNumberFormat="1" applyFont="1" applyFill="1" applyBorder="1" applyAlignment="1">
      <alignment horizontal="center" vertical="center"/>
    </xf>
    <xf numFmtId="10" fontId="83" fillId="10" borderId="99" xfId="114" applyNumberFormat="1" applyFont="1" applyFill="1" applyBorder="1" applyAlignment="1">
      <alignment horizontal="center" vertical="center"/>
    </xf>
    <xf numFmtId="0" fontId="86" fillId="0" borderId="0" xfId="0" applyFont="1" applyAlignment="1">
      <alignment vertical="top"/>
    </xf>
    <xf numFmtId="0" fontId="35" fillId="9" borderId="126" xfId="0" applyFont="1" applyFill="1" applyBorder="1" applyAlignment="1">
      <alignment vertical="center"/>
    </xf>
    <xf numFmtId="0" fontId="35" fillId="9" borderId="97" xfId="0" applyFont="1" applyFill="1" applyBorder="1" applyAlignment="1">
      <alignment vertical="center"/>
    </xf>
    <xf numFmtId="0" fontId="66" fillId="10" borderId="111" xfId="55" applyNumberFormat="1" applyFont="1" applyFill="1" applyBorder="1" applyAlignment="1">
      <alignment horizontal="right" vertical="center"/>
    </xf>
    <xf numFmtId="0" fontId="65" fillId="10" borderId="111" xfId="0" applyFont="1" applyFill="1" applyBorder="1" applyAlignment="1">
      <alignment horizontal="right" vertical="center"/>
    </xf>
    <xf numFmtId="0" fontId="74" fillId="9" borderId="135" xfId="55" applyNumberFormat="1" applyFont="1" applyFill="1" applyBorder="1" applyAlignment="1">
      <alignment horizontal="right" vertical="center"/>
    </xf>
    <xf numFmtId="0" fontId="82" fillId="9" borderId="135" xfId="55" applyNumberFormat="1" applyFont="1" applyFill="1" applyBorder="1" applyAlignment="1">
      <alignment horizontal="right" vertical="center"/>
    </xf>
    <xf numFmtId="10" fontId="83" fillId="10" borderId="114" xfId="114" applyNumberFormat="1" applyFont="1" applyFill="1" applyBorder="1" applyAlignment="1">
      <alignment horizontal="center" vertical="center"/>
    </xf>
    <xf numFmtId="166" fontId="36" fillId="10" borderId="115" xfId="0" applyNumberFormat="1" applyFont="1" applyFill="1" applyBorder="1" applyAlignment="1">
      <alignment horizontal="center" vertical="center"/>
    </xf>
    <xf numFmtId="2" fontId="81" fillId="9" borderId="121" xfId="55" applyNumberFormat="1" applyFont="1" applyFill="1" applyBorder="1" applyAlignment="1">
      <alignment horizontal="right" vertical="center"/>
    </xf>
    <xf numFmtId="2" fontId="81" fillId="9" borderId="122" xfId="55" applyNumberFormat="1" applyFont="1" applyFill="1" applyBorder="1" applyAlignment="1">
      <alignment horizontal="right" vertical="center"/>
    </xf>
    <xf numFmtId="0" fontId="87" fillId="9" borderId="121" xfId="55" applyNumberFormat="1" applyFont="1" applyFill="1" applyBorder="1" applyAlignment="1">
      <alignment horizontal="right" vertical="center"/>
    </xf>
    <xf numFmtId="0" fontId="88" fillId="9" borderId="121" xfId="55" applyNumberFormat="1" applyFont="1" applyFill="1" applyBorder="1" applyAlignment="1">
      <alignment horizontal="right" vertical="center"/>
    </xf>
    <xf numFmtId="0" fontId="88" fillId="10" borderId="96" xfId="0" applyFont="1" applyFill="1" applyBorder="1" applyAlignment="1">
      <alignment horizontal="right" vertical="center"/>
    </xf>
    <xf numFmtId="0" fontId="87" fillId="10" borderId="96" xfId="55" applyNumberFormat="1" applyFont="1" applyFill="1" applyBorder="1" applyAlignment="1">
      <alignment horizontal="right" vertical="center"/>
    </xf>
    <xf numFmtId="10" fontId="90" fillId="10" borderId="96" xfId="114" applyNumberFormat="1" applyFont="1" applyFill="1" applyBorder="1" applyAlignment="1">
      <alignment horizontal="center" vertical="center"/>
    </xf>
    <xf numFmtId="0" fontId="91" fillId="10" borderId="3" xfId="0" applyFont="1" applyFill="1" applyBorder="1" applyAlignment="1">
      <alignment horizontal="right" vertical="center"/>
    </xf>
    <xf numFmtId="0" fontId="91" fillId="10" borderId="96" xfId="0" applyFont="1" applyFill="1" applyBorder="1" applyAlignment="1">
      <alignment horizontal="right" vertical="center"/>
    </xf>
    <xf numFmtId="0" fontId="91" fillId="10" borderId="91" xfId="0" applyFont="1" applyFill="1" applyBorder="1" applyAlignment="1">
      <alignment horizontal="right" vertical="center"/>
    </xf>
    <xf numFmtId="0" fontId="92" fillId="10" borderId="96" xfId="0" applyFont="1" applyFill="1" applyBorder="1" applyAlignment="1">
      <alignment horizontal="right" vertical="center"/>
    </xf>
    <xf numFmtId="3" fontId="92" fillId="10" borderId="96" xfId="0" applyNumberFormat="1" applyFont="1" applyFill="1" applyBorder="1" applyAlignment="1">
      <alignment horizontal="right" vertical="center"/>
    </xf>
    <xf numFmtId="0" fontId="87" fillId="10" borderId="104" xfId="55" applyNumberFormat="1" applyFont="1" applyFill="1" applyBorder="1" applyAlignment="1">
      <alignment horizontal="right" vertical="center"/>
    </xf>
    <xf numFmtId="0" fontId="88" fillId="10" borderId="104" xfId="0" applyFont="1" applyFill="1" applyBorder="1" applyAlignment="1">
      <alignment horizontal="right" vertical="center"/>
    </xf>
    <xf numFmtId="0" fontId="88" fillId="9" borderId="95" xfId="55" applyNumberFormat="1" applyFont="1" applyFill="1" applyBorder="1" applyAlignment="1">
      <alignment horizontal="right" vertical="center"/>
    </xf>
    <xf numFmtId="0" fontId="87" fillId="9" borderId="95" xfId="55" applyNumberFormat="1" applyFont="1" applyFill="1" applyBorder="1" applyAlignment="1">
      <alignment horizontal="right" vertical="center"/>
    </xf>
    <xf numFmtId="10" fontId="90" fillId="10" borderId="95" xfId="114" applyNumberFormat="1" applyFont="1" applyFill="1" applyBorder="1" applyAlignment="1">
      <alignment horizontal="center" vertical="center"/>
    </xf>
    <xf numFmtId="0" fontId="91" fillId="10" borderId="105" xfId="0" applyFont="1" applyFill="1" applyBorder="1" applyAlignment="1">
      <alignment horizontal="right" vertical="center"/>
    </xf>
    <xf numFmtId="0" fontId="91" fillId="10" borderId="104" xfId="0" applyFont="1" applyFill="1" applyBorder="1" applyAlignment="1">
      <alignment horizontal="right" vertical="center"/>
    </xf>
    <xf numFmtId="0" fontId="91" fillId="10" borderId="125" xfId="0" applyFont="1" applyFill="1" applyBorder="1" applyAlignment="1">
      <alignment horizontal="right" vertical="center"/>
    </xf>
    <xf numFmtId="0" fontId="92" fillId="10" borderId="104" xfId="0" applyFont="1" applyFill="1" applyBorder="1" applyAlignment="1">
      <alignment horizontal="right" vertical="center"/>
    </xf>
    <xf numFmtId="3" fontId="92" fillId="10" borderId="104" xfId="0" applyNumberFormat="1" applyFont="1" applyFill="1" applyBorder="1" applyAlignment="1">
      <alignment horizontal="right" vertical="center"/>
    </xf>
    <xf numFmtId="0" fontId="88" fillId="10" borderId="92" xfId="0" applyFont="1" applyFill="1" applyBorder="1" applyAlignment="1">
      <alignment horizontal="right" vertical="center"/>
    </xf>
    <xf numFmtId="0" fontId="87" fillId="10" borderId="92" xfId="55" applyNumberFormat="1" applyFont="1" applyFill="1" applyBorder="1" applyAlignment="1">
      <alignment horizontal="right" vertical="center"/>
    </xf>
    <xf numFmtId="0" fontId="91" fillId="10" borderId="93" xfId="0" applyFont="1" applyFill="1" applyBorder="1" applyAlignment="1">
      <alignment horizontal="right" vertical="center"/>
    </xf>
    <xf numFmtId="0" fontId="91" fillId="10" borderId="92" xfId="0" applyFont="1" applyFill="1" applyBorder="1" applyAlignment="1">
      <alignment horizontal="right" vertical="center"/>
    </xf>
    <xf numFmtId="0" fontId="91" fillId="10" borderId="124" xfId="0" applyFont="1" applyFill="1" applyBorder="1" applyAlignment="1">
      <alignment horizontal="right" vertical="center"/>
    </xf>
    <xf numFmtId="0" fontId="92" fillId="10" borderId="92" xfId="0" applyFont="1" applyFill="1" applyBorder="1" applyAlignment="1">
      <alignment horizontal="right" vertical="center"/>
    </xf>
    <xf numFmtId="3" fontId="92" fillId="10" borderId="92" xfId="0" applyNumberFormat="1" applyFont="1" applyFill="1" applyBorder="1" applyAlignment="1">
      <alignment horizontal="right" vertical="center"/>
    </xf>
    <xf numFmtId="0" fontId="91" fillId="10" borderId="89" xfId="0" applyFont="1" applyFill="1" applyBorder="1" applyAlignment="1">
      <alignment horizontal="right" vertical="center"/>
    </xf>
    <xf numFmtId="0" fontId="91" fillId="10" borderId="97" xfId="0" applyFont="1" applyFill="1" applyBorder="1" applyAlignment="1">
      <alignment horizontal="right" vertical="center"/>
    </xf>
    <xf numFmtId="0" fontId="91" fillId="10" borderId="90" xfId="0" applyFont="1" applyFill="1" applyBorder="1" applyAlignment="1">
      <alignment horizontal="right" vertical="center"/>
    </xf>
    <xf numFmtId="0" fontId="92" fillId="10" borderId="97" xfId="0" applyFont="1" applyFill="1" applyBorder="1" applyAlignment="1">
      <alignment horizontal="right" vertical="center"/>
    </xf>
    <xf numFmtId="3" fontId="92" fillId="10" borderId="97" xfId="0" applyNumberFormat="1" applyFont="1" applyFill="1" applyBorder="1" applyAlignment="1">
      <alignment horizontal="right" vertical="center"/>
    </xf>
    <xf numFmtId="0" fontId="93" fillId="28" borderId="34" xfId="0" applyFont="1" applyFill="1" applyBorder="1" applyAlignment="1">
      <alignment horizontal="center" vertical="center"/>
    </xf>
    <xf numFmtId="4" fontId="93" fillId="31" borderId="34" xfId="0" applyNumberFormat="1" applyFont="1" applyFill="1" applyBorder="1" applyAlignment="1">
      <alignment horizontal="center" vertical="center"/>
    </xf>
    <xf numFmtId="0" fontId="93" fillId="24" borderId="34" xfId="0" applyFont="1" applyFill="1" applyBorder="1" applyAlignment="1">
      <alignment horizontal="center" vertical="center"/>
    </xf>
    <xf numFmtId="0" fontId="93" fillId="28" borderId="86" xfId="0" applyFont="1" applyFill="1" applyBorder="1" applyAlignment="1">
      <alignment horizontal="center" vertical="center"/>
    </xf>
    <xf numFmtId="2" fontId="65" fillId="9" borderId="99" xfId="0" applyNumberFormat="1" applyFont="1" applyFill="1" applyBorder="1" applyAlignment="1">
      <alignment horizontal="center" vertical="center"/>
    </xf>
    <xf numFmtId="2" fontId="65" fillId="9" borderId="96" xfId="0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89" xfId="0" applyNumberFormat="1" applyFont="1" applyFill="1" applyBorder="1" applyAlignment="1">
      <alignment horizontal="center" vertical="center"/>
    </xf>
    <xf numFmtId="1" fontId="23" fillId="9" borderId="93" xfId="0" applyNumberFormat="1" applyFont="1" applyFill="1" applyBorder="1" applyAlignment="1">
      <alignment horizontal="center" vertical="center"/>
    </xf>
    <xf numFmtId="1" fontId="23" fillId="9" borderId="112" xfId="0" applyNumberFormat="1" applyFont="1" applyFill="1" applyBorder="1" applyAlignment="1">
      <alignment horizontal="center" vertical="center"/>
    </xf>
    <xf numFmtId="1" fontId="23" fillId="9" borderId="105" xfId="0" applyNumberFormat="1" applyFont="1" applyFill="1" applyBorder="1" applyAlignment="1">
      <alignment horizontal="center" vertical="center"/>
    </xf>
    <xf numFmtId="1" fontId="70" fillId="9" borderId="137" xfId="0" applyNumberFormat="1" applyFont="1" applyFill="1" applyBorder="1" applyAlignment="1">
      <alignment horizontal="center" vertical="center"/>
    </xf>
    <xf numFmtId="167" fontId="66" fillId="10" borderId="91" xfId="55" applyNumberFormat="1" applyFont="1" applyFill="1" applyBorder="1" applyAlignment="1">
      <alignment horizontal="right" vertical="center"/>
    </xf>
    <xf numFmtId="1" fontId="81" fillId="9" borderId="138" xfId="55" applyNumberFormat="1" applyFont="1" applyFill="1" applyBorder="1" applyAlignment="1">
      <alignment vertical="center"/>
    </xf>
    <xf numFmtId="0" fontId="71" fillId="12" borderId="133" xfId="55" applyNumberFormat="1" applyFont="1" applyFill="1" applyBorder="1" applyAlignment="1">
      <alignment horizontal="center" vertical="center"/>
    </xf>
    <xf numFmtId="0" fontId="71" fillId="12" borderId="134" xfId="55" applyNumberFormat="1" applyFont="1" applyFill="1" applyBorder="1" applyAlignment="1">
      <alignment horizontal="center" vertical="center"/>
    </xf>
    <xf numFmtId="0" fontId="35" fillId="41" borderId="0" xfId="185" applyFont="1" applyAlignment="1">
      <alignment horizontal="center" vertical="center"/>
    </xf>
    <xf numFmtId="0" fontId="97" fillId="10" borderId="98" xfId="0" applyFont="1" applyFill="1" applyBorder="1" applyAlignment="1">
      <alignment horizontal="left" vertical="center"/>
    </xf>
    <xf numFmtId="0" fontId="87" fillId="10" borderId="139" xfId="55" applyNumberFormat="1" applyFont="1" applyFill="1" applyBorder="1" applyAlignment="1">
      <alignment horizontal="right" vertical="center"/>
    </xf>
    <xf numFmtId="0" fontId="88" fillId="10" borderId="139" xfId="0" applyFont="1" applyFill="1" applyBorder="1" applyAlignment="1">
      <alignment horizontal="right" vertical="center"/>
    </xf>
    <xf numFmtId="0" fontId="88" fillId="9" borderId="140" xfId="55" applyNumberFormat="1" applyFont="1" applyFill="1" applyBorder="1" applyAlignment="1">
      <alignment horizontal="right" vertical="center"/>
    </xf>
    <xf numFmtId="0" fontId="87" fillId="9" borderId="140" xfId="55" applyNumberFormat="1" applyFont="1" applyFill="1" applyBorder="1" applyAlignment="1">
      <alignment horizontal="right" vertical="center"/>
    </xf>
    <xf numFmtId="10" fontId="90" fillId="10" borderId="140" xfId="114" applyNumberFormat="1" applyFont="1" applyFill="1" applyBorder="1" applyAlignment="1">
      <alignment horizontal="center" vertical="center"/>
    </xf>
    <xf numFmtId="0" fontId="91" fillId="10" borderId="142" xfId="0" applyFont="1" applyFill="1" applyBorder="1" applyAlignment="1">
      <alignment horizontal="right" vertical="center"/>
    </xf>
    <xf numFmtId="0" fontId="91" fillId="10" borderId="139" xfId="0" applyFont="1" applyFill="1" applyBorder="1" applyAlignment="1">
      <alignment horizontal="right" vertical="center"/>
    </xf>
    <xf numFmtId="0" fontId="91" fillId="10" borderId="143" xfId="0" applyFont="1" applyFill="1" applyBorder="1" applyAlignment="1">
      <alignment horizontal="right" vertical="center"/>
    </xf>
    <xf numFmtId="0" fontId="92" fillId="10" borderId="139" xfId="0" applyFont="1" applyFill="1" applyBorder="1" applyAlignment="1">
      <alignment horizontal="right" vertical="center"/>
    </xf>
    <xf numFmtId="3" fontId="92" fillId="10" borderId="139" xfId="0" applyNumberFormat="1" applyFont="1" applyFill="1" applyBorder="1" applyAlignment="1">
      <alignment horizontal="right" vertical="center"/>
    </xf>
    <xf numFmtId="3" fontId="36" fillId="10" borderId="139" xfId="0" applyNumberFormat="1" applyFont="1" applyFill="1" applyBorder="1" applyAlignment="1">
      <alignment horizontal="right" vertical="center"/>
    </xf>
    <xf numFmtId="166" fontId="36" fillId="10" borderId="142" xfId="0" applyNumberFormat="1" applyFont="1" applyFill="1" applyBorder="1" applyAlignment="1">
      <alignment horizontal="center" vertical="center"/>
    </xf>
    <xf numFmtId="0" fontId="23" fillId="9" borderId="139" xfId="0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5" fillId="9" borderId="145" xfId="0" applyNumberFormat="1" applyFont="1" applyFill="1" applyBorder="1" applyAlignment="1">
      <alignment horizontal="center" vertical="center"/>
    </xf>
    <xf numFmtId="0" fontId="65" fillId="10" borderId="139" xfId="0" applyFont="1" applyFill="1" applyBorder="1" applyAlignment="1">
      <alignment horizontal="right" vertical="center"/>
    </xf>
    <xf numFmtId="10" fontId="83" fillId="10" borderId="140" xfId="114" applyNumberFormat="1" applyFont="1" applyFill="1" applyBorder="1" applyAlignment="1">
      <alignment horizontal="center" vertical="center"/>
    </xf>
    <xf numFmtId="0" fontId="38" fillId="10" borderId="142" xfId="0" applyFont="1" applyFill="1" applyBorder="1" applyAlignment="1">
      <alignment horizontal="right" vertical="center"/>
    </xf>
    <xf numFmtId="0" fontId="38" fillId="10" borderId="139" xfId="0" applyFont="1" applyFill="1" applyBorder="1" applyAlignment="1">
      <alignment horizontal="right" vertical="center"/>
    </xf>
    <xf numFmtId="0" fontId="38" fillId="10" borderId="143" xfId="0" applyFont="1" applyFill="1" applyBorder="1" applyAlignment="1">
      <alignment horizontal="right" vertical="center"/>
    </xf>
    <xf numFmtId="0" fontId="36" fillId="10" borderId="139" xfId="0" applyFont="1" applyFill="1" applyBorder="1" applyAlignment="1">
      <alignment horizontal="right" vertical="center"/>
    </xf>
    <xf numFmtId="166" fontId="36" fillId="10" borderId="143" xfId="0" applyNumberFormat="1" applyFont="1" applyFill="1" applyBorder="1" applyAlignment="1">
      <alignment horizontal="center" vertical="center"/>
    </xf>
    <xf numFmtId="1" fontId="23" fillId="9" borderId="142" xfId="0" applyNumberFormat="1" applyFont="1" applyFill="1" applyBorder="1" applyAlignment="1">
      <alignment horizontal="center" vertical="center"/>
    </xf>
    <xf numFmtId="1" fontId="25" fillId="9" borderId="148" xfId="0" applyNumberFormat="1" applyFont="1" applyFill="1" applyBorder="1" applyAlignment="1">
      <alignment horizontal="center" vertical="center"/>
    </xf>
    <xf numFmtId="0" fontId="66" fillId="10" borderId="139" xfId="55" applyNumberFormat="1" applyFont="1" applyFill="1" applyBorder="1" applyAlignment="1">
      <alignment horizontal="right" vertical="center"/>
    </xf>
    <xf numFmtId="3" fontId="36" fillId="10" borderId="140" xfId="0" applyNumberFormat="1" applyFont="1" applyFill="1" applyBorder="1" applyAlignment="1">
      <alignment horizontal="right" vertical="center"/>
    </xf>
    <xf numFmtId="2" fontId="74" fillId="9" borderId="140" xfId="55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5" fillId="40" borderId="0" xfId="184" applyNumberFormat="1" applyFont="1" applyAlignment="1">
      <alignment horizontal="center" vertical="center"/>
    </xf>
    <xf numFmtId="0" fontId="65" fillId="10" borderId="150" xfId="0" applyFont="1" applyFill="1" applyBorder="1" applyAlignment="1">
      <alignment horizontal="right" vertical="center"/>
    </xf>
    <xf numFmtId="0" fontId="66" fillId="10" borderId="143" xfId="55" applyNumberFormat="1" applyFont="1" applyFill="1" applyBorder="1" applyAlignment="1">
      <alignment horizontal="right" vertical="center"/>
    </xf>
    <xf numFmtId="10" fontId="83" fillId="10" borderId="139" xfId="114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2" fontId="65" fillId="9" borderId="140" xfId="0" applyNumberFormat="1" applyFont="1" applyFill="1" applyBorder="1" applyAlignment="1">
      <alignment horizontal="center" vertical="center"/>
    </xf>
    <xf numFmtId="0" fontId="36" fillId="10" borderId="14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9" fillId="11" borderId="117" xfId="77" applyNumberFormat="1" applyFont="1" applyFill="1" applyBorder="1" applyAlignment="1">
      <alignment horizontal="center" vertical="center"/>
    </xf>
    <xf numFmtId="1" fontId="73" fillId="11" borderId="151" xfId="77" applyNumberFormat="1" applyFont="1" applyFill="1" applyBorder="1" applyAlignment="1">
      <alignment horizontal="center" vertical="center"/>
    </xf>
    <xf numFmtId="1" fontId="94" fillId="11" borderId="116" xfId="77" applyNumberFormat="1" applyFont="1" applyFill="1" applyBorder="1" applyAlignment="1">
      <alignment horizontal="center" vertical="center"/>
    </xf>
    <xf numFmtId="1" fontId="78" fillId="11" borderId="149" xfId="77" applyNumberFormat="1" applyFont="1" applyFill="1" applyBorder="1" applyAlignment="1">
      <alignment horizontal="center" vertical="center"/>
    </xf>
    <xf numFmtId="3" fontId="36" fillId="10" borderId="114" xfId="0" applyNumberFormat="1" applyFont="1" applyFill="1" applyBorder="1" applyAlignment="1">
      <alignment horizontal="right" vertical="center"/>
    </xf>
    <xf numFmtId="1" fontId="23" fillId="9" borderId="1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04" fillId="9" borderId="0" xfId="0" applyNumberFormat="1" applyFont="1" applyFill="1"/>
    <xf numFmtId="0" fontId="104" fillId="9" borderId="0" xfId="0" applyFont="1" applyFill="1" applyAlignment="1">
      <alignment horizontal="center"/>
    </xf>
    <xf numFmtId="1" fontId="100" fillId="11" borderId="116" xfId="77" applyNumberFormat="1" applyFont="1" applyFill="1" applyBorder="1" applyAlignment="1">
      <alignment horizontal="center" vertical="center"/>
    </xf>
    <xf numFmtId="1" fontId="106" fillId="11" borderId="116" xfId="77" applyNumberFormat="1" applyFont="1" applyFill="1" applyBorder="1" applyAlignment="1">
      <alignment horizontal="center" vertical="center"/>
    </xf>
    <xf numFmtId="1" fontId="98" fillId="11" borderId="151" xfId="77" applyNumberFormat="1" applyFont="1" applyFill="1" applyBorder="1" applyAlignment="1">
      <alignment horizontal="center" vertical="center"/>
    </xf>
    <xf numFmtId="1" fontId="100" fillId="11" borderId="149" xfId="77" applyNumberFormat="1" applyFont="1" applyFill="1" applyBorder="1" applyAlignment="1">
      <alignment horizontal="center" vertical="center"/>
    </xf>
    <xf numFmtId="1" fontId="106" fillId="11" borderId="117" xfId="77" applyNumberFormat="1" applyFont="1" applyFill="1" applyBorder="1" applyAlignment="1">
      <alignment horizontal="center" vertical="center"/>
    </xf>
    <xf numFmtId="1" fontId="98" fillId="11" borderId="117" xfId="77" applyNumberFormat="1" applyFont="1" applyFill="1" applyBorder="1" applyAlignment="1">
      <alignment horizontal="center" vertical="center"/>
    </xf>
    <xf numFmtId="0" fontId="97" fillId="10" borderId="94" xfId="0" applyFont="1" applyFill="1" applyBorder="1" applyAlignment="1">
      <alignment horizontal="right" vertical="center"/>
    </xf>
    <xf numFmtId="2" fontId="81" fillId="9" borderId="154" xfId="55" applyNumberFormat="1" applyFont="1" applyFill="1" applyBorder="1" applyAlignment="1">
      <alignment horizontal="center" vertical="center"/>
    </xf>
    <xf numFmtId="0" fontId="65" fillId="10" borderId="143" xfId="0" applyFont="1" applyFill="1" applyBorder="1" applyAlignment="1">
      <alignment horizontal="right" vertical="center"/>
    </xf>
    <xf numFmtId="0" fontId="65" fillId="10" borderId="90" xfId="0" applyFont="1" applyFill="1" applyBorder="1" applyAlignment="1">
      <alignment horizontal="right" vertical="center"/>
    </xf>
    <xf numFmtId="0" fontId="66" fillId="10" borderId="97" xfId="55" applyNumberFormat="1" applyFont="1" applyFill="1" applyBorder="1" applyAlignment="1">
      <alignment horizontal="right" vertical="center"/>
    </xf>
    <xf numFmtId="0" fontId="107" fillId="0" borderId="0" xfId="0" applyFont="1"/>
    <xf numFmtId="0" fontId="2" fillId="0" borderId="0" xfId="0" applyFont="1"/>
    <xf numFmtId="0" fontId="65" fillId="10" borderId="155" xfId="0" applyFont="1" applyFill="1" applyBorder="1" applyAlignment="1">
      <alignment horizontal="right" vertical="center"/>
    </xf>
    <xf numFmtId="0" fontId="36" fillId="10" borderId="143" xfId="55" applyNumberFormat="1" applyFont="1" applyFill="1" applyBorder="1" applyAlignment="1">
      <alignment horizontal="right" vertical="center"/>
    </xf>
    <xf numFmtId="166" fontId="36" fillId="10" borderId="156" xfId="0" applyNumberFormat="1" applyFont="1" applyFill="1" applyBorder="1" applyAlignment="1">
      <alignment horizontal="center" vertical="center"/>
    </xf>
    <xf numFmtId="2" fontId="81" fillId="9" borderId="157" xfId="55" applyNumberFormat="1" applyFont="1" applyFill="1" applyBorder="1" applyAlignment="1">
      <alignment horizontal="center" vertical="center"/>
    </xf>
    <xf numFmtId="1" fontId="81" fillId="9" borderId="158" xfId="55" applyNumberFormat="1" applyFont="1" applyFill="1" applyBorder="1" applyAlignment="1">
      <alignment vertical="center"/>
    </xf>
    <xf numFmtId="2" fontId="81" fillId="9" borderId="159" xfId="55" applyNumberFormat="1" applyFont="1" applyFill="1" applyBorder="1" applyAlignment="1">
      <alignment horizontal="center" vertical="center"/>
    </xf>
    <xf numFmtId="0" fontId="39" fillId="9" borderId="123" xfId="0" applyNumberFormat="1" applyFont="1" applyFill="1" applyBorder="1" applyAlignment="1">
      <alignment vertical="center"/>
    </xf>
    <xf numFmtId="0" fontId="39" fillId="9" borderId="156" xfId="0" applyNumberFormat="1" applyFont="1" applyFill="1" applyBorder="1" applyAlignment="1">
      <alignment vertical="center"/>
    </xf>
    <xf numFmtId="3" fontId="103" fillId="7" borderId="152" xfId="0" applyNumberFormat="1" applyFont="1" applyFill="1" applyBorder="1" applyAlignment="1">
      <alignment horizontal="center" vertical="center"/>
    </xf>
    <xf numFmtId="3" fontId="85" fillId="7" borderId="152" xfId="0" applyNumberFormat="1" applyFont="1" applyFill="1" applyBorder="1" applyAlignment="1">
      <alignment horizontal="center" vertical="center"/>
    </xf>
    <xf numFmtId="3" fontId="85" fillId="7" borderId="153" xfId="0" applyNumberFormat="1" applyFont="1" applyFill="1" applyBorder="1" applyAlignment="1">
      <alignment horizontal="center" vertical="center"/>
    </xf>
    <xf numFmtId="0" fontId="65" fillId="10" borderId="92" xfId="0" applyNumberFormat="1" applyFont="1" applyFill="1" applyBorder="1" applyAlignment="1">
      <alignment horizontal="right" vertical="center"/>
    </xf>
    <xf numFmtId="0" fontId="65" fillId="10" borderId="91" xfId="0" applyNumberFormat="1" applyFont="1" applyFill="1" applyBorder="1" applyAlignment="1">
      <alignment horizontal="right" vertical="center"/>
    </xf>
    <xf numFmtId="0" fontId="65" fillId="10" borderId="143" xfId="0" applyNumberFormat="1" applyFont="1" applyFill="1" applyBorder="1" applyAlignment="1">
      <alignment horizontal="right" vertical="center"/>
    </xf>
    <xf numFmtId="1" fontId="81" fillId="9" borderId="156" xfId="55" applyNumberFormat="1" applyFont="1" applyFill="1" applyBorder="1" applyAlignment="1">
      <alignment vertical="center"/>
    </xf>
    <xf numFmtId="1" fontId="73" fillId="11" borderId="161" xfId="77" applyNumberFormat="1" applyFont="1" applyFill="1" applyBorder="1" applyAlignment="1">
      <alignment horizontal="center" vertical="center"/>
    </xf>
    <xf numFmtId="0" fontId="8" fillId="4" borderId="163" xfId="31" applyFont="1" applyFill="1" applyBorder="1" applyAlignment="1">
      <alignment horizontal="center"/>
    </xf>
    <xf numFmtId="0" fontId="55" fillId="29" borderId="34" xfId="0" applyNumberFormat="1" applyFont="1" applyFill="1" applyBorder="1" applyAlignment="1">
      <alignment horizontal="center" vertical="center"/>
    </xf>
    <xf numFmtId="0" fontId="93" fillId="28" borderId="34" xfId="0" applyNumberFormat="1" applyFont="1" applyFill="1" applyBorder="1" applyAlignment="1">
      <alignment horizontal="center" vertical="center"/>
    </xf>
    <xf numFmtId="0" fontId="81" fillId="9" borderId="167" xfId="55" applyNumberFormat="1" applyFont="1" applyFill="1" applyBorder="1" applyAlignment="1">
      <alignment horizontal="center" vertical="center"/>
    </xf>
    <xf numFmtId="0" fontId="85" fillId="9" borderId="156" xfId="0" applyNumberFormat="1" applyFont="1" applyFill="1" applyBorder="1" applyAlignment="1">
      <alignment vertical="top"/>
    </xf>
    <xf numFmtId="0" fontId="85" fillId="9" borderId="123" xfId="0" applyNumberFormat="1" applyFont="1" applyFill="1" applyBorder="1" applyAlignment="1">
      <alignment vertical="top"/>
    </xf>
    <xf numFmtId="0" fontId="100" fillId="9" borderId="138" xfId="0" applyNumberFormat="1" applyFont="1" applyFill="1" applyBorder="1" applyAlignment="1">
      <alignment vertical="top"/>
    </xf>
    <xf numFmtId="0" fontId="31" fillId="9" borderId="123" xfId="0" applyNumberFormat="1" applyFont="1" applyFill="1" applyBorder="1" applyAlignment="1">
      <alignment vertical="center"/>
    </xf>
    <xf numFmtId="2" fontId="102" fillId="9" borderId="138" xfId="0" applyNumberFormat="1" applyFont="1" applyFill="1" applyBorder="1" applyAlignment="1">
      <alignment vertical="center"/>
    </xf>
    <xf numFmtId="0" fontId="73" fillId="9" borderId="123" xfId="0" applyNumberFormat="1" applyFont="1" applyFill="1" applyBorder="1" applyAlignment="1">
      <alignment vertical="center"/>
    </xf>
    <xf numFmtId="2" fontId="74" fillId="9" borderId="146" xfId="0" applyNumberFormat="1" applyFont="1" applyFill="1" applyBorder="1" applyAlignment="1">
      <alignment horizontal="center" vertical="top"/>
    </xf>
    <xf numFmtId="0" fontId="94" fillId="9" borderId="123" xfId="0" applyNumberFormat="1" applyFont="1" applyFill="1" applyBorder="1" applyAlignment="1">
      <alignment vertical="center"/>
    </xf>
    <xf numFmtId="2" fontId="101" fillId="9" borderId="146" xfId="0" applyNumberFormat="1" applyFont="1" applyFill="1" applyBorder="1" applyAlignment="1">
      <alignment vertical="center"/>
    </xf>
    <xf numFmtId="2" fontId="108" fillId="9" borderId="146" xfId="0" applyNumberFormat="1" applyFont="1" applyFill="1" applyBorder="1" applyAlignment="1">
      <alignment vertical="center"/>
    </xf>
    <xf numFmtId="1" fontId="99" fillId="11" borderId="116" xfId="77" applyNumberFormat="1" applyFont="1" applyFill="1" applyBorder="1" applyAlignment="1">
      <alignment horizontal="center" vertical="center"/>
    </xf>
    <xf numFmtId="0" fontId="84" fillId="9" borderId="123" xfId="0" applyNumberFormat="1" applyFont="1" applyFill="1" applyBorder="1" applyAlignment="1">
      <alignment horizontal="center" vertical="top"/>
    </xf>
    <xf numFmtId="0" fontId="84" fillId="9" borderId="140" xfId="0" applyNumberFormat="1" applyFont="1" applyFill="1" applyBorder="1" applyAlignment="1">
      <alignment horizontal="center" vertical="top"/>
    </xf>
    <xf numFmtId="0" fontId="110" fillId="9" borderId="146" xfId="0" applyNumberFormat="1" applyFont="1" applyFill="1" applyBorder="1" applyAlignment="1">
      <alignment horizontal="center" vertical="center"/>
    </xf>
    <xf numFmtId="0" fontId="110" fillId="9" borderId="123" xfId="0" applyNumberFormat="1" applyFont="1" applyFill="1" applyBorder="1" applyAlignment="1">
      <alignment horizontal="center" vertical="center"/>
    </xf>
    <xf numFmtId="167" fontId="66" fillId="10" borderId="143" xfId="55" applyNumberFormat="1" applyFont="1" applyFill="1" applyBorder="1" applyAlignment="1">
      <alignment horizontal="right" vertical="center"/>
    </xf>
    <xf numFmtId="167" fontId="66" fillId="10" borderId="97" xfId="55" applyNumberFormat="1" applyFont="1" applyFill="1" applyBorder="1" applyAlignment="1">
      <alignment horizontal="right" vertical="center"/>
    </xf>
    <xf numFmtId="167" fontId="66" fillId="10" borderId="139" xfId="55" applyNumberFormat="1" applyFont="1" applyFill="1" applyBorder="1" applyAlignment="1">
      <alignment horizontal="right" vertical="center"/>
    </xf>
    <xf numFmtId="9" fontId="46" fillId="21" borderId="51" xfId="0" applyNumberFormat="1" applyFont="1" applyFill="1" applyBorder="1" applyAlignment="1">
      <alignment horizontal="center" vertical="center"/>
    </xf>
    <xf numFmtId="9" fontId="46" fillId="21" borderId="33" xfId="0" applyNumberFormat="1" applyFont="1" applyFill="1" applyBorder="1" applyAlignment="1">
      <alignment horizontal="center" vertical="center"/>
    </xf>
    <xf numFmtId="9" fontId="46" fillId="34" borderId="51" xfId="0" applyNumberFormat="1" applyFont="1" applyFill="1" applyBorder="1" applyAlignment="1">
      <alignment horizontal="center" vertical="center"/>
    </xf>
    <xf numFmtId="9" fontId="46" fillId="34" borderId="33" xfId="0" applyNumberFormat="1" applyFont="1" applyFill="1" applyBorder="1" applyAlignment="1">
      <alignment horizontal="center" vertical="center"/>
    </xf>
    <xf numFmtId="9" fontId="46" fillId="21" borderId="52" xfId="0" applyNumberFormat="1" applyFont="1" applyFill="1" applyBorder="1" applyAlignment="1">
      <alignment horizontal="center" vertical="center"/>
    </xf>
    <xf numFmtId="0" fontId="65" fillId="10" borderId="99" xfId="0" applyFont="1" applyFill="1" applyBorder="1" applyAlignment="1">
      <alignment horizontal="right" vertical="center"/>
    </xf>
    <xf numFmtId="0" fontId="84" fillId="9" borderId="169" xfId="0" applyNumberFormat="1" applyFont="1" applyFill="1" applyBorder="1" applyAlignment="1">
      <alignment horizontal="center" vertical="top"/>
    </xf>
    <xf numFmtId="0" fontId="8" fillId="4" borderId="172" xfId="31" applyFont="1" applyFill="1" applyBorder="1" applyAlignment="1">
      <alignment horizontal="center"/>
    </xf>
    <xf numFmtId="3" fontId="54" fillId="42" borderId="61" xfId="0" applyNumberFormat="1" applyFont="1" applyFill="1" applyBorder="1" applyAlignment="1">
      <alignment horizontal="right" vertical="center"/>
    </xf>
    <xf numFmtId="3" fontId="54" fillId="43" borderId="61" xfId="0" applyNumberFormat="1" applyFont="1" applyFill="1" applyBorder="1" applyAlignment="1">
      <alignment vertical="center"/>
    </xf>
    <xf numFmtId="0" fontId="60" fillId="24" borderId="174" xfId="0" applyFont="1" applyFill="1" applyBorder="1" applyAlignment="1">
      <alignment horizontal="center" vertical="center"/>
    </xf>
    <xf numFmtId="0" fontId="54" fillId="24" borderId="175" xfId="0" applyFont="1" applyFill="1" applyBorder="1" applyAlignment="1">
      <alignment horizontal="center" vertical="center"/>
    </xf>
    <xf numFmtId="0" fontId="54" fillId="25" borderId="174" xfId="0" applyFont="1" applyFill="1" applyBorder="1" applyAlignment="1">
      <alignment vertical="center"/>
    </xf>
    <xf numFmtId="0" fontId="54" fillId="24" borderId="61" xfId="0" applyNumberFormat="1" applyFont="1" applyFill="1" applyBorder="1" applyAlignment="1">
      <alignment horizontal="center" vertical="center"/>
    </xf>
    <xf numFmtId="0" fontId="54" fillId="37" borderId="82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center" vertical="center"/>
    </xf>
    <xf numFmtId="0" fontId="111" fillId="25" borderId="81" xfId="0" applyFont="1" applyFill="1" applyBorder="1" applyAlignment="1">
      <alignment horizontal="center" vertical="center"/>
    </xf>
    <xf numFmtId="0" fontId="113" fillId="21" borderId="32" xfId="0" applyFont="1" applyFill="1" applyBorder="1" applyAlignment="1">
      <alignment horizontal="center" vertical="center"/>
    </xf>
    <xf numFmtId="0" fontId="113" fillId="21" borderId="173" xfId="0" applyFont="1" applyFill="1" applyBorder="1" applyAlignment="1">
      <alignment horizontal="center" vertical="center"/>
    </xf>
    <xf numFmtId="0" fontId="112" fillId="32" borderId="32" xfId="0" applyFont="1" applyFill="1" applyBorder="1" applyAlignment="1">
      <alignment horizontal="center" vertical="center" wrapText="1"/>
    </xf>
    <xf numFmtId="0" fontId="114" fillId="31" borderId="34" xfId="0" applyNumberFormat="1" applyFont="1" applyFill="1" applyBorder="1" applyAlignment="1">
      <alignment horizontal="center" vertical="center"/>
    </xf>
    <xf numFmtId="4" fontId="114" fillId="31" borderId="34" xfId="0" applyNumberFormat="1" applyFont="1" applyFill="1" applyBorder="1" applyAlignment="1">
      <alignment horizontal="center" vertical="center"/>
    </xf>
    <xf numFmtId="0" fontId="115" fillId="28" borderId="34" xfId="0" applyFont="1" applyFill="1" applyBorder="1" applyAlignment="1">
      <alignment horizontal="center" vertical="center"/>
    </xf>
    <xf numFmtId="0" fontId="115" fillId="28" borderId="34" xfId="0" applyNumberFormat="1" applyFont="1" applyFill="1" applyBorder="1" applyAlignment="1">
      <alignment horizontal="center" vertical="center"/>
    </xf>
    <xf numFmtId="0" fontId="93" fillId="28" borderId="178" xfId="0" applyFont="1" applyFill="1" applyBorder="1" applyAlignment="1">
      <alignment horizontal="center" vertical="center"/>
    </xf>
    <xf numFmtId="0" fontId="93" fillId="28" borderId="179" xfId="0" applyFont="1" applyFill="1" applyBorder="1" applyAlignment="1">
      <alignment horizontal="center" vertical="center"/>
    </xf>
    <xf numFmtId="0" fontId="54" fillId="30" borderId="34" xfId="55" applyNumberFormat="1" applyFont="1" applyFill="1" applyBorder="1" applyAlignment="1">
      <alignment horizontal="center" vertical="center"/>
    </xf>
    <xf numFmtId="0" fontId="116" fillId="29" borderId="34" xfId="0" applyNumberFormat="1" applyFont="1" applyFill="1" applyBorder="1" applyAlignment="1">
      <alignment horizontal="center" vertical="center"/>
    </xf>
    <xf numFmtId="0" fontId="116" fillId="29" borderId="34" xfId="0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vertical="center"/>
    </xf>
    <xf numFmtId="0" fontId="43" fillId="21" borderId="2" xfId="0" applyFont="1" applyFill="1" applyBorder="1" applyAlignment="1">
      <alignment vertical="center"/>
    </xf>
    <xf numFmtId="0" fontId="43" fillId="21" borderId="36" xfId="0" applyFont="1" applyFill="1" applyBorder="1" applyAlignment="1">
      <alignment vertical="center"/>
    </xf>
    <xf numFmtId="0" fontId="43" fillId="24" borderId="176" xfId="0" applyFont="1" applyFill="1" applyBorder="1" applyAlignment="1">
      <alignment vertical="center"/>
    </xf>
    <xf numFmtId="0" fontId="43" fillId="21" borderId="89" xfId="0" applyFont="1" applyFill="1" applyBorder="1" applyAlignment="1">
      <alignment vertical="center"/>
    </xf>
    <xf numFmtId="0" fontId="43" fillId="21" borderId="177" xfId="0" applyFont="1" applyFill="1" applyBorder="1" applyAlignment="1">
      <alignment vertical="center"/>
    </xf>
    <xf numFmtId="0" fontId="43" fillId="21" borderId="34" xfId="0" applyFont="1" applyFill="1" applyBorder="1" applyAlignment="1">
      <alignment vertical="center"/>
    </xf>
    <xf numFmtId="0" fontId="43" fillId="21" borderId="38" xfId="0" applyFont="1" applyFill="1" applyBorder="1" applyAlignment="1">
      <alignment vertical="center"/>
    </xf>
    <xf numFmtId="0" fontId="43" fillId="21" borderId="175" xfId="0" applyFont="1" applyFill="1" applyBorder="1" applyAlignment="1">
      <alignment vertical="center"/>
    </xf>
    <xf numFmtId="0" fontId="43" fillId="32" borderId="2" xfId="0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3" fillId="32" borderId="15" xfId="0" applyFont="1" applyFill="1" applyBorder="1" applyAlignment="1">
      <alignment vertical="center"/>
    </xf>
    <xf numFmtId="0" fontId="43" fillId="32" borderId="73" xfId="0" applyFont="1" applyFill="1" applyBorder="1" applyAlignment="1">
      <alignment vertical="center"/>
    </xf>
    <xf numFmtId="164" fontId="43" fillId="33" borderId="43" xfId="0" applyNumberFormat="1" applyFont="1" applyFill="1" applyBorder="1" applyAlignment="1">
      <alignment vertical="center"/>
    </xf>
    <xf numFmtId="164" fontId="43" fillId="33" borderId="76" xfId="0" applyNumberFormat="1" applyFont="1" applyFill="1" applyBorder="1" applyAlignment="1">
      <alignment vertical="center"/>
    </xf>
    <xf numFmtId="164" fontId="43" fillId="33" borderId="2" xfId="0" applyNumberFormat="1" applyFont="1" applyFill="1" applyBorder="1" applyAlignment="1">
      <alignment vertical="center"/>
    </xf>
    <xf numFmtId="164" fontId="43" fillId="33" borderId="36" xfId="0" applyNumberFormat="1" applyFont="1" applyFill="1" applyBorder="1" applyAlignment="1">
      <alignment vertical="center"/>
    </xf>
    <xf numFmtId="164" fontId="43" fillId="33" borderId="15" xfId="0" applyNumberFormat="1" applyFont="1" applyFill="1" applyBorder="1" applyAlignment="1">
      <alignment vertical="center"/>
    </xf>
    <xf numFmtId="164" fontId="43" fillId="33" borderId="73" xfId="0" applyNumberFormat="1" applyFont="1" applyFill="1" applyBorder="1" applyAlignment="1">
      <alignment vertical="center"/>
    </xf>
    <xf numFmtId="0" fontId="43" fillId="32" borderId="37" xfId="0" applyFont="1" applyFill="1" applyBorder="1" applyAlignment="1">
      <alignment vertical="center"/>
    </xf>
    <xf numFmtId="0" fontId="43" fillId="32" borderId="38" xfId="0" applyFont="1" applyFill="1" applyBorder="1" applyAlignment="1">
      <alignment vertical="center"/>
    </xf>
    <xf numFmtId="0" fontId="43" fillId="32" borderId="63" xfId="0" applyFont="1" applyFill="1" applyBorder="1" applyAlignment="1">
      <alignment vertical="center"/>
    </xf>
    <xf numFmtId="0" fontId="43" fillId="32" borderId="64" xfId="0" applyFont="1" applyFill="1" applyBorder="1" applyAlignment="1">
      <alignment vertical="center"/>
    </xf>
    <xf numFmtId="1" fontId="43" fillId="33" borderId="34" xfId="0" applyNumberFormat="1" applyFont="1" applyFill="1" applyBorder="1" applyAlignment="1">
      <alignment vertical="center"/>
    </xf>
    <xf numFmtId="1" fontId="43" fillId="33" borderId="38" xfId="0" applyNumberFormat="1" applyFont="1" applyFill="1" applyBorder="1" applyAlignment="1">
      <alignment vertical="center"/>
    </xf>
    <xf numFmtId="1" fontId="43" fillId="33" borderId="63" xfId="0" applyNumberFormat="1" applyFont="1" applyFill="1" applyBorder="1" applyAlignment="1">
      <alignment vertical="center"/>
    </xf>
    <xf numFmtId="1" fontId="43" fillId="33" borderId="79" xfId="0" applyNumberFormat="1" applyFont="1" applyFill="1" applyBorder="1" applyAlignment="1">
      <alignment vertical="center"/>
    </xf>
    <xf numFmtId="0" fontId="117" fillId="19" borderId="25" xfId="0" applyFont="1" applyFill="1" applyBorder="1" applyAlignment="1">
      <alignment horizontal="center" vertical="center"/>
    </xf>
    <xf numFmtId="0" fontId="118" fillId="19" borderId="25" xfId="0" applyFont="1" applyFill="1" applyBorder="1" applyAlignment="1">
      <alignment horizontal="center" vertical="center"/>
    </xf>
    <xf numFmtId="3" fontId="119" fillId="27" borderId="40" xfId="0" applyNumberFormat="1" applyFont="1" applyFill="1" applyBorder="1" applyAlignment="1">
      <alignment horizontal="right" vertical="center"/>
    </xf>
    <xf numFmtId="3" fontId="119" fillId="27" borderId="49" xfId="0" applyNumberFormat="1" applyFont="1" applyFill="1" applyBorder="1" applyAlignment="1">
      <alignment horizontal="right" vertical="center"/>
    </xf>
    <xf numFmtId="3" fontId="119" fillId="27" borderId="50" xfId="0" applyNumberFormat="1" applyFont="1" applyFill="1" applyBorder="1" applyAlignment="1">
      <alignment horizontal="right" vertical="center"/>
    </xf>
    <xf numFmtId="3" fontId="119" fillId="27" borderId="55" xfId="0" applyNumberFormat="1" applyFont="1" applyFill="1" applyBorder="1" applyAlignment="1">
      <alignment horizontal="right" vertical="center"/>
    </xf>
    <xf numFmtId="0" fontId="65" fillId="10" borderId="103" xfId="0" applyFont="1" applyFill="1" applyBorder="1" applyAlignment="1">
      <alignment horizontal="left" vertical="center"/>
    </xf>
    <xf numFmtId="0" fontId="65" fillId="10" borderId="160" xfId="0" applyFont="1" applyFill="1" applyBorder="1" applyAlignment="1">
      <alignment horizontal="left" vertical="center"/>
    </xf>
    <xf numFmtId="0" fontId="65" fillId="10" borderId="98" xfId="0" applyFont="1" applyFill="1" applyBorder="1" applyAlignment="1">
      <alignment horizontal="left" vertical="center"/>
    </xf>
    <xf numFmtId="0" fontId="65" fillId="10" borderId="170" xfId="0" applyFont="1" applyFill="1" applyBorder="1" applyAlignment="1">
      <alignment horizontal="left" vertical="center"/>
    </xf>
    <xf numFmtId="0" fontId="65" fillId="10" borderId="171" xfId="0" applyFont="1" applyFill="1" applyBorder="1" applyAlignment="1">
      <alignment horizontal="left" vertical="center"/>
    </xf>
    <xf numFmtId="0" fontId="66" fillId="10" borderId="95" xfId="55" applyNumberFormat="1" applyFont="1" applyFill="1" applyBorder="1" applyAlignment="1">
      <alignment horizontal="right" vertical="center"/>
    </xf>
    <xf numFmtId="0" fontId="49" fillId="20" borderId="180" xfId="0" applyFont="1" applyFill="1" applyBorder="1" applyAlignment="1">
      <alignment horizontal="center" vertical="center"/>
    </xf>
    <xf numFmtId="0" fontId="49" fillId="18" borderId="181" xfId="0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1" fontId="25" fillId="9" borderId="186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165" fontId="74" fillId="9" borderId="123" xfId="55" applyNumberFormat="1" applyFont="1" applyFill="1" applyBorder="1" applyAlignment="1">
      <alignment horizontal="center" vertical="center"/>
    </xf>
    <xf numFmtId="165" fontId="74" fillId="9" borderId="169" xfId="55" applyNumberFormat="1" applyFont="1" applyFill="1" applyBorder="1" applyAlignment="1">
      <alignment horizontal="center" vertical="center"/>
    </xf>
    <xf numFmtId="2" fontId="74" fillId="9" borderId="165" xfId="55" applyNumberFormat="1" applyFont="1" applyFill="1" applyBorder="1" applyAlignment="1">
      <alignment horizontal="center" vertical="center"/>
    </xf>
    <xf numFmtId="2" fontId="74" fillId="9" borderId="123" xfId="55" applyNumberFormat="1" applyFont="1" applyFill="1" applyBorder="1" applyAlignment="1">
      <alignment horizontal="center" vertical="center"/>
    </xf>
    <xf numFmtId="2" fontId="74" fillId="9" borderId="169" xfId="55" applyNumberFormat="1" applyFont="1" applyFill="1" applyBorder="1" applyAlignment="1">
      <alignment horizontal="center" vertical="center"/>
    </xf>
    <xf numFmtId="0" fontId="66" fillId="10" borderId="99" xfId="55" applyNumberFormat="1" applyFont="1" applyFill="1" applyBorder="1" applyAlignment="1">
      <alignment horizontal="right" vertical="center"/>
    </xf>
    <xf numFmtId="0" fontId="65" fillId="10" borderId="100" xfId="0" applyFont="1" applyFill="1" applyBorder="1" applyAlignment="1">
      <alignment horizontal="right" vertical="center"/>
    </xf>
    <xf numFmtId="3" fontId="36" fillId="10" borderId="123" xfId="0" applyNumberFormat="1" applyFont="1" applyFill="1" applyBorder="1" applyAlignment="1">
      <alignment horizontal="right" vertical="center"/>
    </xf>
    <xf numFmtId="3" fontId="36" fillId="10" borderId="138" xfId="0" applyNumberFormat="1" applyFont="1" applyFill="1" applyBorder="1" applyAlignment="1">
      <alignment horizontal="right" vertical="center"/>
    </xf>
    <xf numFmtId="3" fontId="36" fillId="10" borderId="165" xfId="0" applyNumberFormat="1" applyFont="1" applyFill="1" applyBorder="1" applyAlignment="1">
      <alignment horizontal="right" vertical="center"/>
    </xf>
    <xf numFmtId="0" fontId="84" fillId="9" borderId="192" xfId="0" applyNumberFormat="1" applyFont="1" applyFill="1" applyBorder="1" applyAlignment="1">
      <alignment horizontal="center" vertical="center"/>
    </xf>
    <xf numFmtId="0" fontId="84" fillId="9" borderId="140" xfId="0" applyNumberFormat="1" applyFont="1" applyFill="1" applyBorder="1" applyAlignment="1">
      <alignment horizontal="center" vertical="center"/>
    </xf>
    <xf numFmtId="0" fontId="84" fillId="9" borderId="95" xfId="0" applyNumberFormat="1" applyFont="1" applyFill="1" applyBorder="1" applyAlignment="1">
      <alignment horizontal="center" vertical="center"/>
    </xf>
    <xf numFmtId="0" fontId="84" fillId="9" borderId="99" xfId="0" applyNumberFormat="1" applyFont="1" applyFill="1" applyBorder="1" applyAlignment="1">
      <alignment horizontal="center" vertical="center"/>
    </xf>
    <xf numFmtId="2" fontId="74" fillId="9" borderId="146" xfId="55" applyNumberFormat="1" applyFont="1" applyFill="1" applyBorder="1" applyAlignment="1">
      <alignment horizontal="center" vertical="center"/>
    </xf>
    <xf numFmtId="0" fontId="121" fillId="12" borderId="109" xfId="55" applyNumberFormat="1" applyFont="1" applyFill="1" applyBorder="1" applyAlignment="1">
      <alignment horizontal="center" vertical="center"/>
    </xf>
    <xf numFmtId="0" fontId="121" fillId="12" borderId="133" xfId="55" applyNumberFormat="1" applyFont="1" applyFill="1" applyBorder="1" applyAlignment="1">
      <alignment horizontal="center" vertical="center"/>
    </xf>
    <xf numFmtId="0" fontId="38" fillId="10" borderId="193" xfId="0" applyFont="1" applyFill="1" applyBorder="1" applyAlignment="1">
      <alignment horizontal="right" vertical="center"/>
    </xf>
    <xf numFmtId="0" fontId="38" fillId="10" borderId="95" xfId="0" applyFont="1" applyFill="1" applyBorder="1" applyAlignment="1">
      <alignment horizontal="right" vertical="center"/>
    </xf>
    <xf numFmtId="0" fontId="38" fillId="10" borderId="194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3" fontId="36" fillId="10" borderId="95" xfId="0" applyNumberFormat="1" applyFont="1" applyFill="1" applyBorder="1" applyAlignment="1">
      <alignment horizontal="right" vertical="center"/>
    </xf>
    <xf numFmtId="166" fontId="36" fillId="10" borderId="194" xfId="0" applyNumberFormat="1" applyFont="1" applyFill="1" applyBorder="1" applyAlignment="1">
      <alignment horizontal="center" vertical="center"/>
    </xf>
    <xf numFmtId="1" fontId="23" fillId="9" borderId="193" xfId="0" applyNumberFormat="1" applyFont="1" applyFill="1" applyBorder="1" applyAlignment="1">
      <alignment horizontal="center" vertical="center"/>
    </xf>
    <xf numFmtId="0" fontId="120" fillId="9" borderId="89" xfId="55" applyNumberFormat="1" applyFont="1" applyFill="1" applyBorder="1" applyAlignment="1">
      <alignment horizontal="center" vertical="center"/>
    </xf>
    <xf numFmtId="0" fontId="120" fillId="9" borderId="138" xfId="55" applyNumberFormat="1" applyFont="1" applyFill="1" applyBorder="1" applyAlignment="1">
      <alignment horizontal="center" vertical="center"/>
    </xf>
    <xf numFmtId="0" fontId="120" fillId="9" borderId="156" xfId="55" applyNumberFormat="1" applyFont="1" applyFill="1" applyBorder="1" applyAlignment="1">
      <alignment horizontal="center" vertical="center"/>
    </xf>
    <xf numFmtId="0" fontId="120" fillId="9" borderId="195" xfId="55" applyNumberFormat="1" applyFont="1" applyFill="1" applyBorder="1" applyAlignment="1">
      <alignment horizontal="center" vertical="center"/>
    </xf>
    <xf numFmtId="2" fontId="74" fillId="9" borderId="197" xfId="55" applyNumberFormat="1" applyFont="1" applyFill="1" applyBorder="1" applyAlignment="1">
      <alignment horizontal="center" vertical="center"/>
    </xf>
    <xf numFmtId="167" fontId="36" fillId="10" borderId="96" xfId="55" applyNumberFormat="1" applyFont="1" applyFill="1" applyBorder="1" applyAlignment="1">
      <alignment horizontal="right" vertical="center"/>
    </xf>
    <xf numFmtId="167" fontId="36" fillId="10" borderId="92" xfId="55" applyNumberFormat="1" applyFont="1" applyFill="1" applyBorder="1" applyAlignment="1">
      <alignment horizontal="right" vertical="center"/>
    </xf>
    <xf numFmtId="167" fontId="36" fillId="10" borderId="95" xfId="55" applyNumberFormat="1" applyFont="1" applyFill="1" applyBorder="1" applyAlignment="1">
      <alignment horizontal="right" vertical="center"/>
    </xf>
    <xf numFmtId="167" fontId="36" fillId="10" borderId="139" xfId="55" applyNumberFormat="1" applyFont="1" applyFill="1" applyBorder="1" applyAlignment="1">
      <alignment horizontal="right" vertical="center"/>
    </xf>
    <xf numFmtId="3" fontId="36" fillId="10" borderId="192" xfId="0" applyNumberFormat="1" applyFont="1" applyFill="1" applyBorder="1" applyAlignment="1">
      <alignment horizontal="right" vertical="center"/>
    </xf>
    <xf numFmtId="1" fontId="78" fillId="11" borderId="142" xfId="77" applyNumberFormat="1" applyFont="1" applyFill="1" applyBorder="1" applyAlignment="1">
      <alignment horizontal="center" vertical="center"/>
    </xf>
    <xf numFmtId="0" fontId="100" fillId="9" borderId="169" xfId="0" applyNumberFormat="1" applyFont="1" applyFill="1" applyBorder="1" applyAlignment="1">
      <alignment horizontal="center" vertical="center"/>
    </xf>
    <xf numFmtId="0" fontId="100" fillId="9" borderId="138" xfId="0" applyNumberFormat="1" applyFont="1" applyFill="1" applyBorder="1" applyAlignment="1">
      <alignment horizontal="center" vertical="center"/>
    </xf>
    <xf numFmtId="0" fontId="94" fillId="9" borderId="164" xfId="0" applyNumberFormat="1" applyFont="1" applyFill="1" applyBorder="1" applyAlignment="1">
      <alignment horizontal="center" vertical="center"/>
    </xf>
    <xf numFmtId="0" fontId="31" fillId="9" borderId="123" xfId="0" applyNumberFormat="1" applyFont="1" applyFill="1" applyBorder="1" applyAlignment="1">
      <alignment horizontal="center" vertical="center"/>
    </xf>
    <xf numFmtId="2" fontId="102" fillId="9" borderId="138" xfId="0" applyNumberFormat="1" applyFont="1" applyFill="1" applyBorder="1" applyAlignment="1">
      <alignment horizontal="center" vertical="center"/>
    </xf>
    <xf numFmtId="0" fontId="73" fillId="9" borderId="123" xfId="0" applyNumberFormat="1" applyFont="1" applyFill="1" applyBorder="1" applyAlignment="1">
      <alignment horizontal="center" vertical="center"/>
    </xf>
    <xf numFmtId="2" fontId="74" fillId="9" borderId="146" xfId="0" applyNumberFormat="1" applyFont="1" applyFill="1" applyBorder="1" applyAlignment="1">
      <alignment horizontal="center" vertical="center"/>
    </xf>
    <xf numFmtId="0" fontId="13" fillId="12" borderId="110" xfId="55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34" xfId="55" applyNumberFormat="1" applyFont="1" applyFill="1" applyBorder="1" applyAlignment="1">
      <alignment horizontal="center" vertical="center"/>
    </xf>
    <xf numFmtId="1" fontId="70" fillId="9" borderId="3" xfId="0" applyNumberFormat="1" applyFont="1" applyFill="1" applyBorder="1" applyAlignment="1">
      <alignment horizontal="center" vertical="center"/>
    </xf>
    <xf numFmtId="0" fontId="124" fillId="10" borderId="155" xfId="0" applyFont="1" applyFill="1" applyBorder="1" applyAlignment="1">
      <alignment horizontal="right" vertical="center"/>
    </xf>
    <xf numFmtId="0" fontId="123" fillId="10" borderId="103" xfId="0" applyFont="1" applyFill="1" applyBorder="1" applyAlignment="1">
      <alignment horizontal="left" vertical="center"/>
    </xf>
    <xf numFmtId="170" fontId="109" fillId="10" borderId="162" xfId="0" applyNumberFormat="1" applyFont="1" applyFill="1" applyBorder="1" applyAlignment="1">
      <alignment vertical="center"/>
    </xf>
    <xf numFmtId="168" fontId="109" fillId="9" borderId="200" xfId="0" applyNumberFormat="1" applyFont="1" applyFill="1" applyBorder="1" applyAlignment="1">
      <alignment horizontal="center" vertical="center" wrapText="1"/>
    </xf>
    <xf numFmtId="0" fontId="109" fillId="9" borderId="96" xfId="55" applyNumberFormat="1" applyFont="1" applyFill="1" applyBorder="1" applyAlignment="1">
      <alignment horizontal="center" vertical="center" wrapText="1"/>
    </xf>
    <xf numFmtId="3" fontId="125" fillId="10" borderId="199" xfId="0" applyNumberFormat="1" applyFont="1" applyFill="1" applyBorder="1" applyAlignment="1">
      <alignment horizontal="center" vertical="center"/>
    </xf>
    <xf numFmtId="0" fontId="81" fillId="9" borderId="166" xfId="55" applyNumberFormat="1" applyFont="1" applyFill="1" applyBorder="1" applyAlignment="1">
      <alignment horizontal="center" vertical="center"/>
    </xf>
    <xf numFmtId="0" fontId="65" fillId="10" borderId="202" xfId="0" applyFont="1" applyFill="1" applyBorder="1" applyAlignment="1">
      <alignment horizontal="left" vertical="center"/>
    </xf>
    <xf numFmtId="3" fontId="126" fillId="10" borderId="201" xfId="0" applyNumberFormat="1" applyFont="1" applyFill="1" applyBorder="1" applyAlignment="1">
      <alignment horizontal="center" vertical="center"/>
    </xf>
    <xf numFmtId="3" fontId="126" fillId="10" borderId="198" xfId="0" applyNumberFormat="1" applyFont="1" applyFill="1" applyBorder="1" applyAlignment="1">
      <alignment horizontal="center" vertical="center"/>
    </xf>
    <xf numFmtId="0" fontId="110" fillId="9" borderId="164" xfId="0" applyNumberFormat="1" applyFont="1" applyFill="1" applyBorder="1" applyAlignment="1">
      <alignment horizontal="center" vertical="center"/>
    </xf>
    <xf numFmtId="0" fontId="81" fillId="9" borderId="192" xfId="55" applyNumberFormat="1" applyFont="1" applyFill="1" applyBorder="1" applyAlignment="1">
      <alignment horizontal="center" vertical="center"/>
    </xf>
    <xf numFmtId="0" fontId="110" fillId="9" borderId="169" xfId="0" applyNumberFormat="1" applyFont="1" applyFill="1" applyBorder="1" applyAlignment="1">
      <alignment horizontal="center" vertical="center"/>
    </xf>
    <xf numFmtId="0" fontId="110" fillId="9" borderId="138" xfId="0" applyNumberFormat="1" applyFont="1" applyFill="1" applyBorder="1" applyAlignment="1">
      <alignment horizontal="center" vertical="center"/>
    </xf>
    <xf numFmtId="0" fontId="84" fillId="9" borderId="96" xfId="0" applyNumberFormat="1" applyFont="1" applyFill="1" applyBorder="1" applyAlignment="1">
      <alignment horizontal="center" vertical="center"/>
    </xf>
    <xf numFmtId="0" fontId="81" fillId="9" borderId="96" xfId="55" applyNumberFormat="1" applyFont="1" applyFill="1" applyBorder="1" applyAlignment="1">
      <alignment horizontal="center" vertical="center"/>
    </xf>
    <xf numFmtId="0" fontId="84" fillId="9" borderId="95" xfId="0" applyNumberFormat="1" applyFont="1" applyFill="1" applyBorder="1" applyAlignment="1">
      <alignment horizontal="center" vertical="top"/>
    </xf>
    <xf numFmtId="0" fontId="84" fillId="9" borderId="96" xfId="0" applyNumberFormat="1" applyFont="1" applyFill="1" applyBorder="1" applyAlignment="1">
      <alignment horizontal="center" vertical="top"/>
    </xf>
    <xf numFmtId="0" fontId="23" fillId="9" borderId="192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1" fontId="25" fillId="9" borderId="203" xfId="0" applyNumberFormat="1" applyFont="1" applyFill="1" applyBorder="1" applyAlignment="1">
      <alignment horizontal="center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" fontId="25" fillId="9" borderId="205" xfId="0" applyNumberFormat="1" applyFont="1" applyFill="1" applyBorder="1" applyAlignment="1">
      <alignment horizontal="center" vertical="center"/>
    </xf>
    <xf numFmtId="0" fontId="110" fillId="9" borderId="206" xfId="0" applyNumberFormat="1" applyFont="1" applyFill="1" applyBorder="1" applyAlignment="1">
      <alignment horizontal="center" vertical="center"/>
    </xf>
    <xf numFmtId="0" fontId="23" fillId="9" borderId="164" xfId="0" applyFont="1" applyFill="1" applyBorder="1" applyAlignment="1">
      <alignment horizontal="center" vertical="center"/>
    </xf>
    <xf numFmtId="0" fontId="23" fillId="9" borderId="169" xfId="0" applyFont="1" applyFill="1" applyBorder="1" applyAlignment="1">
      <alignment horizontal="center" vertical="center"/>
    </xf>
    <xf numFmtId="0" fontId="23" fillId="9" borderId="165" xfId="0" applyFont="1" applyFill="1" applyBorder="1" applyAlignment="1">
      <alignment horizontal="center" vertical="center"/>
    </xf>
    <xf numFmtId="0" fontId="23" fillId="9" borderId="156" xfId="0" applyFont="1" applyFill="1" applyBorder="1" applyAlignment="1">
      <alignment horizontal="center" vertical="center"/>
    </xf>
    <xf numFmtId="1" fontId="25" fillId="9" borderId="207" xfId="0" applyNumberFormat="1" applyFont="1" applyFill="1" applyBorder="1" applyAlignment="1">
      <alignment horizontal="center" vertical="center"/>
    </xf>
    <xf numFmtId="1" fontId="122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0" fontId="85" fillId="9" borderId="192" xfId="0" applyNumberFormat="1" applyFont="1" applyFill="1" applyBorder="1" applyAlignment="1">
      <alignment horizontal="center"/>
    </xf>
    <xf numFmtId="0" fontId="85" fillId="9" borderId="97" xfId="0" applyNumberFormat="1" applyFont="1" applyFill="1" applyBorder="1" applyAlignment="1">
      <alignment horizontal="center"/>
    </xf>
    <xf numFmtId="0" fontId="85" fillId="9" borderId="99" xfId="0" applyNumberFormat="1" applyFont="1" applyFill="1" applyBorder="1" applyAlignment="1">
      <alignment horizontal="center"/>
    </xf>
    <xf numFmtId="0" fontId="85" fillId="9" borderId="95" xfId="0" applyNumberFormat="1" applyFont="1" applyFill="1" applyBorder="1" applyAlignment="1">
      <alignment horizontal="center"/>
    </xf>
    <xf numFmtId="0" fontId="85" fillId="9" borderId="96" xfId="0" applyNumberFormat="1" applyFont="1" applyFill="1" applyBorder="1" applyAlignment="1">
      <alignment horizontal="center"/>
    </xf>
    <xf numFmtId="0" fontId="74" fillId="9" borderId="138" xfId="0" applyNumberFormat="1" applyFont="1" applyFill="1" applyBorder="1" applyAlignment="1">
      <alignment horizontal="center"/>
    </xf>
    <xf numFmtId="0" fontId="74" fillId="9" borderId="165" xfId="0" applyNumberFormat="1" applyFont="1" applyFill="1" applyBorder="1" applyAlignment="1">
      <alignment horizontal="center"/>
    </xf>
    <xf numFmtId="0" fontId="74" fillId="9" borderId="169" xfId="0" applyNumberFormat="1" applyFont="1" applyFill="1" applyBorder="1" applyAlignment="1">
      <alignment horizontal="center"/>
    </xf>
    <xf numFmtId="0" fontId="23" fillId="9" borderId="206" xfId="0" applyFont="1" applyFill="1" applyBorder="1" applyAlignment="1">
      <alignment horizontal="center" vertical="center"/>
    </xf>
    <xf numFmtId="0" fontId="23" fillId="9" borderId="138" xfId="0" applyFont="1" applyFill="1" applyBorder="1" applyAlignment="1">
      <alignment horizontal="center" vertical="center"/>
    </xf>
    <xf numFmtId="0" fontId="26" fillId="9" borderId="102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110" fillId="9" borderId="209" xfId="0" applyNumberFormat="1" applyFont="1" applyFill="1" applyBorder="1" applyAlignment="1">
      <alignment horizontal="center" vertical="center"/>
    </xf>
    <xf numFmtId="0" fontId="110" fillId="9" borderId="197" xfId="0" applyNumberFormat="1" applyFont="1" applyFill="1" applyBorder="1" applyAlignment="1">
      <alignment horizontal="center" vertical="center"/>
    </xf>
    <xf numFmtId="0" fontId="84" fillId="9" borderId="210" xfId="0" applyNumberFormat="1" applyFont="1" applyFill="1" applyBorder="1" applyAlignment="1">
      <alignment horizontal="center" vertical="center"/>
    </xf>
    <xf numFmtId="0" fontId="84" fillId="9" borderId="114" xfId="0" applyNumberFormat="1" applyFont="1" applyFill="1" applyBorder="1" applyAlignment="1">
      <alignment horizontal="center" vertical="center"/>
    </xf>
    <xf numFmtId="0" fontId="81" fillId="9" borderId="210" xfId="55" applyNumberFormat="1" applyFont="1" applyFill="1" applyBorder="1" applyAlignment="1">
      <alignment horizontal="center" vertical="center"/>
    </xf>
    <xf numFmtId="0" fontId="81" fillId="9" borderId="97" xfId="0" applyNumberFormat="1" applyFont="1" applyFill="1" applyBorder="1" applyAlignment="1">
      <alignment horizontal="center" vertical="center"/>
    </xf>
    <xf numFmtId="0" fontId="81" fillId="9" borderId="99" xfId="0" applyNumberFormat="1" applyFont="1" applyFill="1" applyBorder="1" applyAlignment="1">
      <alignment horizontal="center" vertical="center"/>
    </xf>
    <xf numFmtId="0" fontId="81" fillId="9" borderId="99" xfId="55" applyNumberFormat="1" applyFont="1" applyFill="1" applyBorder="1" applyAlignment="1">
      <alignment horizontal="center" vertical="center"/>
    </xf>
    <xf numFmtId="1" fontId="25" fillId="9" borderId="211" xfId="0" applyNumberFormat="1" applyFont="1" applyFill="1" applyBorder="1" applyAlignment="1">
      <alignment horizontal="center" vertical="center"/>
    </xf>
    <xf numFmtId="1" fontId="25" fillId="9" borderId="212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1" fontId="25" fillId="9" borderId="213" xfId="0" applyNumberFormat="1" applyFont="1" applyFill="1" applyBorder="1" applyAlignment="1">
      <alignment horizontal="center" vertical="center"/>
    </xf>
    <xf numFmtId="0" fontId="23" fillId="9" borderId="214" xfId="0" applyFont="1" applyFill="1" applyBorder="1" applyAlignment="1">
      <alignment horizontal="center" vertical="center"/>
    </xf>
    <xf numFmtId="0" fontId="23" fillId="9" borderId="111" xfId="0" applyFont="1" applyFill="1" applyBorder="1" applyAlignment="1">
      <alignment horizontal="center" vertical="center"/>
    </xf>
    <xf numFmtId="0" fontId="23" fillId="9" borderId="104" xfId="0" applyFont="1" applyFill="1" applyBorder="1" applyAlignment="1">
      <alignment horizontal="center" vertical="center"/>
    </xf>
    <xf numFmtId="0" fontId="23" fillId="9" borderId="215" xfId="0" applyFont="1" applyFill="1" applyBorder="1" applyAlignment="1">
      <alignment horizontal="center" vertical="center"/>
    </xf>
    <xf numFmtId="0" fontId="82" fillId="9" borderId="122" xfId="55" applyNumberFormat="1" applyFont="1" applyFill="1" applyBorder="1" applyAlignment="1">
      <alignment horizontal="right" vertical="center"/>
    </xf>
    <xf numFmtId="0" fontId="108" fillId="9" borderId="121" xfId="55" applyNumberFormat="1" applyFont="1" applyFill="1" applyBorder="1" applyAlignment="1">
      <alignment horizontal="left" vertical="center"/>
    </xf>
    <xf numFmtId="0" fontId="108" fillId="9" borderId="122" xfId="55" applyNumberFormat="1" applyFont="1" applyFill="1" applyBorder="1" applyAlignment="1">
      <alignment horizontal="left" vertical="center"/>
    </xf>
    <xf numFmtId="0" fontId="82" fillId="9" borderId="147" xfId="55" applyNumberFormat="1" applyFont="1" applyFill="1" applyBorder="1" applyAlignment="1">
      <alignment horizontal="right" vertical="center"/>
    </xf>
    <xf numFmtId="0" fontId="74" fillId="9" borderId="147" xfId="55" applyNumberFormat="1" applyFont="1" applyFill="1" applyBorder="1" applyAlignment="1">
      <alignment horizontal="right" vertical="center"/>
    </xf>
    <xf numFmtId="0" fontId="74" fillId="9" borderId="122" xfId="55" applyNumberFormat="1" applyFont="1" applyFill="1" applyBorder="1" applyAlignment="1">
      <alignment horizontal="right" vertical="center"/>
    </xf>
    <xf numFmtId="0" fontId="82" fillId="9" borderId="140" xfId="55" applyNumberFormat="1" applyFont="1" applyFill="1" applyBorder="1" applyAlignment="1">
      <alignment horizontal="right" vertical="center"/>
    </xf>
    <xf numFmtId="167" fontId="81" fillId="9" borderId="169" xfId="55" applyNumberFormat="1" applyFont="1" applyFill="1" applyBorder="1" applyAlignment="1">
      <alignment horizontal="center" vertical="center"/>
    </xf>
    <xf numFmtId="167" fontId="81" fillId="9" borderId="123" xfId="55" applyNumberFormat="1" applyFont="1" applyFill="1" applyBorder="1" applyAlignment="1">
      <alignment horizontal="center" vertical="center"/>
    </xf>
    <xf numFmtId="167" fontId="81" fillId="9" borderId="146" xfId="55" applyNumberFormat="1" applyFont="1" applyFill="1" applyBorder="1" applyAlignment="1">
      <alignment horizontal="center" vertical="center"/>
    </xf>
    <xf numFmtId="3" fontId="103" fillId="7" borderId="152" xfId="0" applyNumberFormat="1" applyFont="1" applyFill="1" applyBorder="1" applyAlignment="1">
      <alignment horizontal="right" vertical="center"/>
    </xf>
    <xf numFmtId="0" fontId="30" fillId="9" borderId="92" xfId="0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right" vertical="center"/>
    </xf>
    <xf numFmtId="0" fontId="30" fillId="9" borderId="135" xfId="0" applyFont="1" applyFill="1" applyBorder="1" applyAlignment="1">
      <alignment horizontal="right" vertical="center"/>
    </xf>
    <xf numFmtId="0" fontId="89" fillId="9" borderId="92" xfId="0" applyFont="1" applyFill="1" applyBorder="1" applyAlignment="1">
      <alignment horizontal="right" vertical="center"/>
    </xf>
    <xf numFmtId="0" fontId="89" fillId="9" borderId="90" xfId="0" applyFont="1" applyFill="1" applyBorder="1" applyAlignment="1">
      <alignment horizontal="right" vertical="center"/>
    </xf>
    <xf numFmtId="0" fontId="89" fillId="9" borderId="141" xfId="0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right" vertical="center"/>
    </xf>
    <xf numFmtId="0" fontId="30" fillId="9" borderId="139" xfId="0" applyFont="1" applyFill="1" applyBorder="1" applyAlignment="1">
      <alignment horizontal="right" vertical="center"/>
    </xf>
    <xf numFmtId="0" fontId="30" fillId="9" borderId="143" xfId="0" applyFont="1" applyFill="1" applyBorder="1" applyAlignment="1">
      <alignment horizontal="right" vertical="center"/>
    </xf>
    <xf numFmtId="0" fontId="30" fillId="9" borderId="100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5" fillId="7" borderId="152" xfId="0" applyNumberFormat="1" applyFont="1" applyFill="1" applyBorder="1" applyAlignment="1">
      <alignment horizontal="right" vertical="center"/>
    </xf>
    <xf numFmtId="2" fontId="81" fillId="9" borderId="136" xfId="55" applyNumberFormat="1" applyFont="1" applyFill="1" applyBorder="1" applyAlignment="1">
      <alignment horizontal="left" vertical="center"/>
    </xf>
    <xf numFmtId="2" fontId="81" fillId="9" borderId="204" xfId="55" applyNumberFormat="1" applyFont="1" applyFill="1" applyBorder="1" applyAlignment="1">
      <alignment horizontal="left" vertical="center"/>
    </xf>
    <xf numFmtId="2" fontId="81" fillId="9" borderId="147" xfId="55" applyNumberFormat="1" applyFont="1" applyFill="1" applyBorder="1" applyAlignment="1">
      <alignment horizontal="left" vertical="center"/>
    </xf>
    <xf numFmtId="0" fontId="13" fillId="39" borderId="3" xfId="183" applyNumberFormat="1" applyFont="1" applyBorder="1" applyAlignment="1">
      <alignment horizontal="center" vertical="center"/>
    </xf>
    <xf numFmtId="0" fontId="81" fillId="9" borderId="95" xfId="0" applyNumberFormat="1" applyFont="1" applyFill="1" applyBorder="1" applyAlignment="1">
      <alignment horizontal="center" vertical="center"/>
    </xf>
    <xf numFmtId="0" fontId="81" fillId="9" borderId="114" xfId="0" applyNumberFormat="1" applyFont="1" applyFill="1" applyBorder="1" applyAlignment="1">
      <alignment horizontal="center" vertical="center"/>
    </xf>
    <xf numFmtId="0" fontId="81" fillId="9" borderId="140" xfId="0" applyNumberFormat="1" applyFont="1" applyFill="1" applyBorder="1" applyAlignment="1">
      <alignment horizontal="center" vertical="center"/>
    </xf>
    <xf numFmtId="0" fontId="81" fillId="9" borderId="95" xfId="55" applyNumberFormat="1" applyFont="1" applyFill="1" applyBorder="1" applyAlignment="1">
      <alignment horizontal="center" vertical="center"/>
    </xf>
    <xf numFmtId="0" fontId="81" fillId="9" borderId="140" xfId="55" applyNumberFormat="1" applyFont="1" applyFill="1" applyBorder="1" applyAlignment="1">
      <alignment horizontal="center" vertical="center"/>
    </xf>
    <xf numFmtId="0" fontId="74" fillId="9" borderId="164" xfId="0" applyNumberFormat="1" applyFont="1" applyFill="1" applyBorder="1" applyAlignment="1">
      <alignment horizontal="center"/>
    </xf>
    <xf numFmtId="0" fontId="74" fillId="9" borderId="123" xfId="0" applyNumberFormat="1" applyFont="1" applyFill="1" applyBorder="1" applyAlignment="1">
      <alignment horizontal="center"/>
    </xf>
    <xf numFmtId="0" fontId="95" fillId="9" borderId="168" xfId="55" applyNumberFormat="1" applyFont="1" applyFill="1" applyBorder="1" applyAlignment="1">
      <alignment vertical="center"/>
    </xf>
    <xf numFmtId="0" fontId="95" fillId="9" borderId="168" xfId="55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3" fillId="12" borderId="133" xfId="55" applyNumberFormat="1" applyFont="1" applyFill="1" applyBorder="1" applyAlignment="1">
      <alignment horizontal="center" vertical="center"/>
    </xf>
    <xf numFmtId="167" fontId="82" fillId="9" borderId="121" xfId="55" applyNumberFormat="1" applyFont="1" applyFill="1" applyBorder="1" applyAlignment="1">
      <alignment horizontal="right" vertical="center"/>
    </xf>
    <xf numFmtId="167" fontId="82" fillId="9" borderId="122" xfId="55" applyNumberFormat="1" applyFont="1" applyFill="1" applyBorder="1" applyAlignment="1">
      <alignment horizontal="right" vertical="center"/>
    </xf>
    <xf numFmtId="167" fontId="82" fillId="9" borderId="147" xfId="55" applyNumberFormat="1" applyFont="1" applyFill="1" applyBorder="1" applyAlignment="1">
      <alignment horizontal="right" vertical="center"/>
    </xf>
    <xf numFmtId="1" fontId="127" fillId="11" borderId="117" xfId="77" applyNumberFormat="1" applyFont="1" applyFill="1" applyBorder="1" applyAlignment="1">
      <alignment horizontal="center" vertical="center"/>
    </xf>
    <xf numFmtId="1" fontId="127" fillId="11" borderId="116" xfId="77" applyNumberFormat="1" applyFont="1" applyFill="1" applyBorder="1" applyAlignment="1">
      <alignment horizontal="center" vertical="center"/>
    </xf>
    <xf numFmtId="1" fontId="127" fillId="11" borderId="142" xfId="77" applyNumberFormat="1" applyFont="1" applyFill="1" applyBorder="1" applyAlignment="1">
      <alignment horizontal="center" vertical="center"/>
    </xf>
    <xf numFmtId="0" fontId="74" fillId="9" borderId="121" xfId="55" applyNumberFormat="1" applyFont="1" applyFill="1" applyBorder="1" applyAlignment="1">
      <alignment horizontal="left" vertical="center"/>
    </xf>
    <xf numFmtId="0" fontId="74" fillId="9" borderId="122" xfId="55" applyNumberFormat="1" applyFont="1" applyFill="1" applyBorder="1" applyAlignment="1">
      <alignment horizontal="left" vertical="center"/>
    </xf>
    <xf numFmtId="0" fontId="74" fillId="9" borderId="147" xfId="55" applyNumberFormat="1" applyFont="1" applyFill="1" applyBorder="1" applyAlignment="1">
      <alignment horizontal="left" vertical="center"/>
    </xf>
    <xf numFmtId="0" fontId="105" fillId="0" borderId="3" xfId="0" applyFont="1" applyBorder="1" applyAlignment="1">
      <alignment horizontal="center"/>
    </xf>
    <xf numFmtId="2" fontId="74" fillId="9" borderId="131" xfId="0" applyNumberFormat="1" applyFont="1" applyFill="1" applyBorder="1" applyAlignment="1">
      <alignment horizontal="center" vertical="center"/>
    </xf>
    <xf numFmtId="2" fontId="74" fillId="9" borderId="132" xfId="0" applyNumberFormat="1" applyFont="1" applyFill="1" applyBorder="1" applyAlignment="1">
      <alignment horizontal="center" vertical="center"/>
    </xf>
    <xf numFmtId="2" fontId="74" fillId="9" borderId="130" xfId="0" applyNumberFormat="1" applyFont="1" applyFill="1" applyBorder="1" applyAlignment="1">
      <alignment horizontal="center" vertical="center"/>
    </xf>
    <xf numFmtId="0" fontId="13" fillId="9" borderId="126" xfId="0" applyFont="1" applyFill="1" applyBorder="1" applyAlignment="1">
      <alignment horizontal="center" vertical="center"/>
    </xf>
    <xf numFmtId="0" fontId="13" fillId="9" borderId="139" xfId="0" applyFont="1" applyFill="1" applyBorder="1" applyAlignment="1">
      <alignment horizontal="center" vertical="center"/>
    </xf>
    <xf numFmtId="0" fontId="35" fillId="9" borderId="126" xfId="0" applyFont="1" applyFill="1" applyBorder="1" applyAlignment="1">
      <alignment horizontal="center" vertical="center"/>
    </xf>
    <xf numFmtId="0" fontId="35" fillId="9" borderId="139" xfId="0" applyFont="1" applyFill="1" applyBorder="1" applyAlignment="1">
      <alignment horizontal="center" vertical="center"/>
    </xf>
    <xf numFmtId="2" fontId="74" fillId="9" borderId="196" xfId="0" applyNumberFormat="1" applyFont="1" applyFill="1" applyBorder="1" applyAlignment="1">
      <alignment horizontal="center" vertical="center"/>
    </xf>
    <xf numFmtId="2" fontId="74" fillId="9" borderId="191" xfId="0" applyNumberFormat="1" applyFont="1" applyFill="1" applyBorder="1" applyAlignment="1">
      <alignment horizontal="center" vertical="center"/>
    </xf>
    <xf numFmtId="0" fontId="43" fillId="33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3" fillId="37" borderId="65" xfId="0" applyFont="1" applyFill="1" applyBorder="1" applyAlignment="1">
      <alignment horizontal="center" vertical="center"/>
    </xf>
    <xf numFmtId="0" fontId="43" fillId="37" borderId="58" xfId="0" applyFont="1" applyFill="1" applyBorder="1" applyAlignment="1">
      <alignment horizontal="center" vertical="center"/>
    </xf>
    <xf numFmtId="0" fontId="54" fillId="21" borderId="58" xfId="0" applyFont="1" applyFill="1" applyBorder="1" applyAlignment="1">
      <alignment horizontal="center" vertical="center"/>
    </xf>
    <xf numFmtId="0" fontId="54" fillId="32" borderId="65" xfId="0" applyFont="1" applyFill="1" applyBorder="1" applyAlignment="1">
      <alignment horizontal="center" vertical="center"/>
    </xf>
    <xf numFmtId="0" fontId="54" fillId="33" borderId="67" xfId="0" applyFont="1" applyFill="1" applyBorder="1" applyAlignment="1">
      <alignment horizontal="center" vertical="center"/>
    </xf>
    <xf numFmtId="0" fontId="54" fillId="33" borderId="11" xfId="0" applyFont="1" applyFill="1" applyBorder="1" applyAlignment="1">
      <alignment horizontal="center" vertical="center"/>
    </xf>
    <xf numFmtId="0" fontId="54" fillId="33" borderId="87" xfId="0" applyFont="1" applyFill="1" applyBorder="1" applyAlignment="1">
      <alignment horizontal="center" vertical="center"/>
    </xf>
    <xf numFmtId="0" fontId="54" fillId="33" borderId="9" xfId="0" applyFont="1" applyFill="1" applyBorder="1" applyAlignment="1">
      <alignment horizontal="center" vertical="center"/>
    </xf>
    <xf numFmtId="0" fontId="54" fillId="33" borderId="3" xfId="0" applyFont="1" applyFill="1" applyBorder="1" applyAlignment="1">
      <alignment horizontal="center" vertical="center"/>
    </xf>
    <xf numFmtId="0" fontId="54" fillId="33" borderId="88" xfId="0" applyFont="1" applyFill="1" applyBorder="1" applyAlignment="1">
      <alignment horizontal="center" vertical="center"/>
    </xf>
    <xf numFmtId="1" fontId="54" fillId="30" borderId="11" xfId="0" applyNumberFormat="1" applyFont="1" applyFill="1" applyBorder="1" applyAlignment="1">
      <alignment horizontal="center" vertical="center"/>
    </xf>
    <xf numFmtId="1" fontId="54" fillId="30" borderId="68" xfId="0" applyNumberFormat="1" applyFont="1" applyFill="1" applyBorder="1" applyAlignment="1">
      <alignment horizontal="center" vertical="center"/>
    </xf>
    <xf numFmtId="1" fontId="54" fillId="30" borderId="3" xfId="0" applyNumberFormat="1" applyFont="1" applyFill="1" applyBorder="1" applyAlignment="1">
      <alignment horizontal="center" vertical="center"/>
    </xf>
    <xf numFmtId="1" fontId="54" fillId="30" borderId="12" xfId="0" applyNumberFormat="1" applyFont="1" applyFill="1" applyBorder="1" applyAlignment="1">
      <alignment horizontal="center" vertical="center"/>
    </xf>
    <xf numFmtId="0" fontId="57" fillId="37" borderId="65" xfId="0" applyFont="1" applyFill="1" applyBorder="1" applyAlignment="1">
      <alignment horizontal="center" vertical="center"/>
    </xf>
    <xf numFmtId="0" fontId="57" fillId="33" borderId="65" xfId="0" applyFont="1" applyFill="1" applyBorder="1" applyAlignment="1">
      <alignment horizontal="center" vertical="center"/>
    </xf>
    <xf numFmtId="0" fontId="43" fillId="37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7" fillId="21" borderId="65" xfId="0" applyFont="1" applyFill="1" applyBorder="1" applyAlignment="1">
      <alignment horizontal="center" vertical="center"/>
    </xf>
    <xf numFmtId="0" fontId="43" fillId="33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7" fillId="32" borderId="65" xfId="0" applyFont="1" applyFill="1" applyBorder="1" applyAlignment="1">
      <alignment horizontal="center" vertical="center"/>
    </xf>
    <xf numFmtId="0" fontId="46" fillId="37" borderId="65" xfId="0" applyFont="1" applyFill="1" applyBorder="1" applyAlignment="1">
      <alignment horizontal="center" vertical="center"/>
    </xf>
    <xf numFmtId="0" fontId="110" fillId="9" borderId="165" xfId="0" applyNumberFormat="1" applyFont="1" applyFill="1" applyBorder="1" applyAlignment="1">
      <alignment horizontal="center" vertical="center"/>
    </xf>
    <xf numFmtId="0" fontId="30" fillId="9" borderId="96" xfId="0" applyFont="1" applyFill="1" applyBorder="1" applyAlignment="1">
      <alignment horizontal="right" vertical="center"/>
    </xf>
    <xf numFmtId="0" fontId="23" fillId="9" borderId="123" xfId="0" applyFont="1" applyFill="1" applyBorder="1" applyAlignment="1">
      <alignment horizontal="center" vertical="center"/>
    </xf>
    <xf numFmtId="0" fontId="65" fillId="10" borderId="216" xfId="0" applyFont="1" applyFill="1" applyBorder="1" applyAlignment="1">
      <alignment horizontal="left" vertical="center"/>
    </xf>
    <xf numFmtId="0" fontId="66" fillId="10" borderId="217" xfId="55" applyNumberFormat="1" applyFont="1" applyFill="1" applyBorder="1" applyAlignment="1">
      <alignment horizontal="right" vertical="center"/>
    </xf>
    <xf numFmtId="0" fontId="65" fillId="10" borderId="218" xfId="0" applyFont="1" applyFill="1" applyBorder="1" applyAlignment="1">
      <alignment horizontal="right" vertical="center"/>
    </xf>
    <xf numFmtId="0" fontId="65" fillId="10" borderId="217" xfId="0" applyFont="1" applyFill="1" applyBorder="1" applyAlignment="1">
      <alignment horizontal="right" vertical="center"/>
    </xf>
    <xf numFmtId="0" fontId="30" fillId="9" borderId="218" xfId="0" applyFont="1" applyFill="1" applyBorder="1" applyAlignment="1">
      <alignment horizontal="right" vertical="center"/>
    </xf>
    <xf numFmtId="10" fontId="83" fillId="10" borderId="218" xfId="114" applyNumberFormat="1" applyFont="1" applyFill="1" applyBorder="1" applyAlignment="1">
      <alignment horizontal="center" vertical="center"/>
    </xf>
    <xf numFmtId="0" fontId="38" fillId="10" borderId="219" xfId="0" applyFont="1" applyFill="1" applyBorder="1" applyAlignment="1">
      <alignment horizontal="right" vertical="center"/>
    </xf>
    <xf numFmtId="0" fontId="38" fillId="10" borderId="218" xfId="0" applyFont="1" applyFill="1" applyBorder="1" applyAlignment="1">
      <alignment horizontal="right" vertical="center"/>
    </xf>
    <xf numFmtId="0" fontId="38" fillId="10" borderId="217" xfId="0" applyFont="1" applyFill="1" applyBorder="1" applyAlignment="1">
      <alignment horizontal="right" vertical="center"/>
    </xf>
    <xf numFmtId="0" fontId="36" fillId="10" borderId="218" xfId="0" applyFont="1" applyFill="1" applyBorder="1" applyAlignment="1">
      <alignment horizontal="right" vertical="center"/>
    </xf>
    <xf numFmtId="3" fontId="36" fillId="10" borderId="218" xfId="0" applyNumberFormat="1" applyFont="1" applyFill="1" applyBorder="1" applyAlignment="1">
      <alignment horizontal="right" vertical="center"/>
    </xf>
    <xf numFmtId="166" fontId="36" fillId="10" borderId="219" xfId="0" applyNumberFormat="1" applyFont="1" applyFill="1" applyBorder="1" applyAlignment="1">
      <alignment horizontal="center" vertical="center"/>
    </xf>
    <xf numFmtId="0" fontId="26" fillId="9" borderId="218" xfId="0" applyFont="1" applyFill="1" applyBorder="1" applyAlignment="1">
      <alignment horizontal="center" vertical="center"/>
    </xf>
    <xf numFmtId="0" fontId="23" fillId="9" borderId="220" xfId="0" applyFont="1" applyFill="1" applyBorder="1" applyAlignment="1">
      <alignment horizontal="center" vertical="center"/>
    </xf>
    <xf numFmtId="1" fontId="23" fillId="9" borderId="219" xfId="0" applyNumberFormat="1" applyFont="1" applyFill="1" applyBorder="1" applyAlignment="1">
      <alignment horizontal="center" vertical="center"/>
    </xf>
    <xf numFmtId="1" fontId="25" fillId="9" borderId="221" xfId="0" applyNumberFormat="1" applyFont="1" applyFill="1" applyBorder="1" applyAlignment="1">
      <alignment horizontal="center" vertical="center"/>
    </xf>
    <xf numFmtId="1" fontId="25" fillId="9" borderId="222" xfId="0" applyNumberFormat="1" applyFont="1" applyFill="1" applyBorder="1" applyAlignment="1">
      <alignment horizontal="center" vertical="center"/>
    </xf>
    <xf numFmtId="0" fontId="110" fillId="9" borderId="223" xfId="0" applyNumberFormat="1" applyFont="1" applyFill="1" applyBorder="1" applyAlignment="1">
      <alignment horizontal="center" vertical="center"/>
    </xf>
    <xf numFmtId="0" fontId="84" fillId="9" borderId="224" xfId="0" applyNumberFormat="1" applyFont="1" applyFill="1" applyBorder="1" applyAlignment="1">
      <alignment horizontal="center" vertical="center"/>
    </xf>
    <xf numFmtId="0" fontId="84" fillId="9" borderId="223" xfId="0" applyNumberFormat="1" applyFont="1" applyFill="1" applyBorder="1" applyAlignment="1">
      <alignment horizontal="center" vertical="top"/>
    </xf>
    <xf numFmtId="0" fontId="84" fillId="9" borderId="224" xfId="0" applyNumberFormat="1" applyFont="1" applyFill="1" applyBorder="1" applyAlignment="1">
      <alignment horizontal="center" vertical="top"/>
    </xf>
    <xf numFmtId="167" fontId="81" fillId="9" borderId="223" xfId="55" applyNumberFormat="1" applyFont="1" applyFill="1" applyBorder="1" applyAlignment="1">
      <alignment horizontal="center" vertical="center"/>
    </xf>
    <xf numFmtId="0" fontId="65" fillId="10" borderId="225" xfId="0" applyFont="1" applyFill="1" applyBorder="1" applyAlignment="1">
      <alignment horizontal="left" vertical="center"/>
    </xf>
    <xf numFmtId="0" fontId="66" fillId="10" borderId="224" xfId="55" applyNumberFormat="1" applyFont="1" applyFill="1" applyBorder="1" applyAlignment="1">
      <alignment horizontal="right" vertical="center"/>
    </xf>
    <xf numFmtId="3" fontId="36" fillId="10" borderId="220" xfId="0" applyNumberFormat="1" applyFont="1" applyFill="1" applyBorder="1" applyAlignment="1">
      <alignment horizontal="right" vertical="center"/>
    </xf>
    <xf numFmtId="0" fontId="26" fillId="9" borderId="217" xfId="0" applyFont="1" applyFill="1" applyBorder="1" applyAlignment="1">
      <alignment horizontal="center" vertical="center"/>
    </xf>
    <xf numFmtId="0" fontId="23" fillId="9" borderId="223" xfId="0" applyFont="1" applyFill="1" applyBorder="1" applyAlignment="1">
      <alignment horizontal="center" vertical="center"/>
    </xf>
    <xf numFmtId="0" fontId="74" fillId="9" borderId="223" xfId="0" applyNumberFormat="1" applyFont="1" applyFill="1" applyBorder="1" applyAlignment="1">
      <alignment horizontal="center"/>
    </xf>
    <xf numFmtId="0" fontId="85" fillId="9" borderId="224" xfId="0" applyNumberFormat="1" applyFont="1" applyFill="1" applyBorder="1" applyAlignment="1">
      <alignment horizontal="center"/>
    </xf>
    <xf numFmtId="0" fontId="84" fillId="9" borderId="146" xfId="0" applyNumberFormat="1" applyFont="1" applyFill="1" applyBorder="1" applyAlignment="1">
      <alignment horizontal="center" vertical="top"/>
    </xf>
    <xf numFmtId="0" fontId="128" fillId="24" borderId="34" xfId="0" applyFont="1" applyFill="1" applyBorder="1" applyAlignment="1">
      <alignment horizontal="center" vertical="center"/>
    </xf>
    <xf numFmtId="0" fontId="54" fillId="35" borderId="48" xfId="0" applyNumberFormat="1" applyFont="1" applyFill="1" applyBorder="1" applyAlignment="1">
      <alignment horizontal="right" vertical="center"/>
    </xf>
    <xf numFmtId="2" fontId="43" fillId="26" borderId="39" xfId="0" applyNumberFormat="1" applyFont="1" applyFill="1" applyBorder="1" applyAlignment="1">
      <alignment horizontal="center" vertical="center"/>
    </xf>
    <xf numFmtId="2" fontId="43" fillId="26" borderId="48" xfId="0" applyNumberFormat="1" applyFont="1" applyFill="1" applyBorder="1" applyAlignment="1">
      <alignment horizontal="center" vertical="center"/>
    </xf>
    <xf numFmtId="2" fontId="43" fillId="21" borderId="48" xfId="0" applyNumberFormat="1" applyFont="1" applyFill="1" applyBorder="1" applyAlignment="1">
      <alignment horizontal="center" vertical="center"/>
    </xf>
    <xf numFmtId="2" fontId="43" fillId="34" borderId="48" xfId="0" applyNumberFormat="1" applyFont="1" applyFill="1" applyBorder="1" applyAlignment="1">
      <alignment horizontal="center" vertical="center"/>
    </xf>
    <xf numFmtId="2" fontId="46" fillId="26" borderId="48" xfId="0" applyNumberFormat="1" applyFont="1" applyFill="1" applyBorder="1" applyAlignment="1">
      <alignment horizontal="center" vertical="center"/>
    </xf>
    <xf numFmtId="2" fontId="46" fillId="26" borderId="54" xfId="0" applyNumberFormat="1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4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auto="1"/>
      </font>
      <fill>
        <patternFill>
          <bgColor theme="8" tint="0.39994506668294322"/>
        </patternFill>
      </fill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4" zoomScaleNormal="84" workbookViewId="0">
      <pane ySplit="1" topLeftCell="A2" activePane="bottomLeft" state="frozen"/>
      <selection pane="bottomLeft" activeCell="E45" sqref="E45"/>
    </sheetView>
  </sheetViews>
  <sheetFormatPr baseColWidth="10" defaultRowHeight="12.75" customHeight="1"/>
  <cols>
    <col min="1" max="1" width="14.28515625" style="38" bestFit="1" customWidth="1"/>
    <col min="2" max="2" width="8.85546875" style="33" bestFit="1" customWidth="1"/>
    <col min="3" max="3" width="7.140625" style="13" bestFit="1" customWidth="1"/>
    <col min="4" max="4" width="6.5703125" style="13" bestFit="1" customWidth="1"/>
    <col min="5" max="5" width="9.42578125" style="33" customWidth="1"/>
    <col min="6" max="6" width="7.140625" style="706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10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5.42578125" style="11" bestFit="1" customWidth="1"/>
    <col min="22" max="22" width="5.7109375" style="11" bestFit="1" customWidth="1"/>
    <col min="23" max="23" width="9.140625" bestFit="1" customWidth="1"/>
    <col min="24" max="24" width="6.28515625" style="334" bestFit="1" customWidth="1"/>
    <col min="25" max="25" width="8.140625" style="721" bestFit="1" customWidth="1"/>
    <col min="26" max="26" width="8.28515625" style="317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465" t="s">
        <v>126</v>
      </c>
      <c r="B1" s="707" t="s">
        <v>337</v>
      </c>
      <c r="C1" s="694" t="s">
        <v>306</v>
      </c>
      <c r="D1" s="694" t="s">
        <v>307</v>
      </c>
      <c r="E1" s="707" t="s">
        <v>338</v>
      </c>
      <c r="F1" s="694" t="s">
        <v>127</v>
      </c>
      <c r="G1" s="466" t="s">
        <v>304</v>
      </c>
      <c r="H1" s="466" t="s">
        <v>128</v>
      </c>
      <c r="I1" s="466" t="s">
        <v>129</v>
      </c>
      <c r="J1" s="466" t="s">
        <v>130</v>
      </c>
      <c r="K1" s="466" t="s">
        <v>308</v>
      </c>
      <c r="L1" s="466" t="s">
        <v>305</v>
      </c>
      <c r="M1" s="466" t="s">
        <v>131</v>
      </c>
      <c r="N1" s="466" t="s">
        <v>132</v>
      </c>
      <c r="O1" s="466" t="s">
        <v>133</v>
      </c>
      <c r="P1" s="467"/>
      <c r="Q1" s="627" t="s">
        <v>628</v>
      </c>
      <c r="R1" s="630" t="s">
        <v>624</v>
      </c>
      <c r="S1" s="631" t="s">
        <v>617</v>
      </c>
      <c r="T1" s="624">
        <v>1E-3</v>
      </c>
      <c r="U1" s="626">
        <v>2</v>
      </c>
      <c r="V1" s="625">
        <v>0</v>
      </c>
      <c r="W1" s="209"/>
      <c r="X1" s="210"/>
      <c r="Y1" s="711">
        <f>AA69</f>
        <v>101473.02522555699</v>
      </c>
      <c r="Z1" s="424">
        <v>100</v>
      </c>
      <c r="AA1" s="394">
        <v>100</v>
      </c>
      <c r="AB1" s="316">
        <f>Y1*($AE$1*$AD$1)</f>
        <v>1395.3235989234811</v>
      </c>
      <c r="AC1" s="38">
        <f>AD1</f>
        <v>7</v>
      </c>
      <c r="AD1" s="54">
        <f>IF(AJ3&lt;&gt;0,2,IF(AJ4&lt;&gt;0,3,IF(AJ5&lt;&gt;0,4,IF(AJ6&lt;&gt;0,5,IF(AJ7&lt;&gt;0,6,IF(AJ8&lt;&gt;0,7,IF(AJ9&lt;&gt;0,8,IF(AJ10&lt;&gt;0,9,IF(AJ11&lt;&gt;0,10,30)))))))))</f>
        <v>7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1.9643835616438357E-3</v>
      </c>
      <c r="AF1" s="282" t="s">
        <v>315</v>
      </c>
      <c r="AG1" s="282" t="s">
        <v>316</v>
      </c>
      <c r="AH1" s="282" t="s">
        <v>317</v>
      </c>
      <c r="AI1" s="282" t="s">
        <v>318</v>
      </c>
      <c r="AJ1" s="283" t="s">
        <v>313</v>
      </c>
      <c r="AK1" s="281" t="s">
        <v>314</v>
      </c>
      <c r="AL1" s="211" t="s">
        <v>312</v>
      </c>
    </row>
    <row r="2" spans="1:42" ht="12.75" hidden="1" customHeight="1">
      <c r="A2" s="709" t="s">
        <v>567</v>
      </c>
      <c r="B2" s="329">
        <f t="shared" ref="B2:B29" si="0">IF(A2&lt;&gt;"",VLOOKUP($A2,$A$64:$N$175,2,0),"")</f>
        <v>1018</v>
      </c>
      <c r="C2" s="324">
        <f t="shared" ref="C2:C29" si="1">IF(A2&lt;&gt;"",VLOOKUP($A2,$A$60:$N$175,3,0),"")</f>
        <v>49.1</v>
      </c>
      <c r="D2" s="254">
        <f t="shared" ref="D2:D29" si="2">IF(A2&lt;&gt;"",VLOOKUP($A2,$A$60:$N$175,4,0),"")</f>
        <v>51</v>
      </c>
      <c r="E2" s="323">
        <f t="shared" ref="E2:E29" si="3">IF(A2&lt;&gt;"",VLOOKUP($A2,$A$60:$N$175,5,0),"")</f>
        <v>1000</v>
      </c>
      <c r="F2" s="695">
        <f t="shared" ref="F2:F29" si="4">IF($A2&lt;&gt;"",VLOOKUP($A2,$A$60:$N$175,6,0),"")</f>
        <v>49</v>
      </c>
      <c r="G2" s="330">
        <f t="shared" ref="G2:G29" si="5">IF($A2&lt;&gt;"",VLOOKUP($A2,$A$60:$N$175,7,0),"")</f>
        <v>-2.3900000000000001E-2</v>
      </c>
      <c r="H2" s="238">
        <f t="shared" ref="H2:H29" si="6">IF($A2&lt;&gt;"",VLOOKUP($A2,$A$60:$N$175,8,0),"")</f>
        <v>47.631999999999998</v>
      </c>
      <c r="I2" s="230">
        <f t="shared" ref="I2:I29" si="7">IF($A2&lt;&gt;"",VLOOKUP($A2,$A$60:$N$175,9,0),"")</f>
        <v>49</v>
      </c>
      <c r="J2" s="294">
        <f t="shared" ref="J2:J29" si="8">IF($A2&lt;&gt;"",VLOOKUP($A2,$A$60:$N$175,10,0),"")</f>
        <v>47.631999999999998</v>
      </c>
      <c r="K2" s="234">
        <f t="shared" ref="K2:K29" si="9">IF($A2&lt;&gt;"",VLOOKUP($A2,$A$60:$N$175,11,0),"")</f>
        <v>50.2</v>
      </c>
      <c r="L2" s="255">
        <f t="shared" ref="L2:L29" si="10">IF($A2&lt;&gt;"",VLOOKUP($A2,$A$60:$N$175,12,0),"")</f>
        <v>997</v>
      </c>
      <c r="M2" s="234">
        <f t="shared" ref="M2:M29" si="11">IF($A2&lt;&gt;"",VLOOKUP($A2,$A$60:$N$175,13,0),"")</f>
        <v>2050</v>
      </c>
      <c r="N2" s="255">
        <f t="shared" ref="N2:N29" si="12">IF($A2&lt;&gt;"",VLOOKUP($A2,$A$60:$N$175,14,0),"")</f>
        <v>4</v>
      </c>
      <c r="O2" s="288">
        <f t="shared" ref="O2:O29" si="13">IF($A2&lt;&gt;"",VLOOKUP($A2,$A$60:$O$175,15,0),"")</f>
        <v>45378.585856481484</v>
      </c>
      <c r="P2" s="299">
        <v>1</v>
      </c>
      <c r="Q2" s="680"/>
      <c r="R2" s="384"/>
      <c r="S2" s="676"/>
      <c r="T2" s="567"/>
      <c r="U2" s="269"/>
      <c r="V2" s="312"/>
      <c r="W2" s="634"/>
      <c r="X2" s="670"/>
      <c r="Y2" s="672">
        <f>IFERROR(IF($Y$1&lt;&gt;"",INT($Y$1/(D5/100)),100),100)</f>
        <v>201</v>
      </c>
      <c r="Z2" s="576">
        <f>IFERROR($C2*(1-$V$1)/100*$Y2,"")</f>
        <v>98.691000000000003</v>
      </c>
      <c r="AA2" s="733">
        <f>IFERROR($Z2-$Z3,"")</f>
        <v>0.42610000000001946</v>
      </c>
      <c r="AD2" s="303" t="s">
        <v>319</v>
      </c>
      <c r="AE2" s="309">
        <v>45379</v>
      </c>
      <c r="AF2" s="301"/>
      <c r="AG2" s="302"/>
      <c r="AH2" s="302"/>
      <c r="AI2" s="301"/>
      <c r="AJ2" s="306"/>
      <c r="AK2" s="301"/>
    </row>
    <row r="3" spans="1:42" ht="12.75" hidden="1" customHeight="1">
      <c r="A3" s="344" t="s">
        <v>14</v>
      </c>
      <c r="B3" s="325">
        <f t="shared" si="0"/>
        <v>110558</v>
      </c>
      <c r="C3" s="322">
        <f t="shared" si="1"/>
        <v>54.27</v>
      </c>
      <c r="D3" s="326">
        <f t="shared" si="2"/>
        <v>54.29</v>
      </c>
      <c r="E3" s="328">
        <f t="shared" si="3"/>
        <v>44500</v>
      </c>
      <c r="F3" s="696">
        <f t="shared" si="4"/>
        <v>54.28</v>
      </c>
      <c r="G3" s="331">
        <f t="shared" si="5"/>
        <v>6.9999999999999993E-3</v>
      </c>
      <c r="H3" s="237">
        <f t="shared" si="6"/>
        <v>53.6</v>
      </c>
      <c r="I3" s="228">
        <f t="shared" si="7"/>
        <v>54.45</v>
      </c>
      <c r="J3" s="292">
        <f t="shared" si="8"/>
        <v>53.53</v>
      </c>
      <c r="K3" s="232">
        <f t="shared" si="9"/>
        <v>53.9</v>
      </c>
      <c r="L3" s="235">
        <f t="shared" si="10"/>
        <v>68584755</v>
      </c>
      <c r="M3" s="232">
        <f t="shared" si="11"/>
        <v>127356977</v>
      </c>
      <c r="N3" s="235">
        <f t="shared" si="12"/>
        <v>53335</v>
      </c>
      <c r="O3" s="289">
        <f t="shared" si="13"/>
        <v>45378.647210648145</v>
      </c>
      <c r="P3" s="298">
        <v>2</v>
      </c>
      <c r="Q3" s="266"/>
      <c r="R3" s="385"/>
      <c r="S3" s="644"/>
      <c r="T3" s="569"/>
      <c r="U3" s="270"/>
      <c r="V3" s="313"/>
      <c r="W3" s="634"/>
      <c r="X3" s="588"/>
      <c r="Y3" s="673">
        <f>IFERROR(INT($Z2/($D3*(1+$V$1)/100)),0)</f>
        <v>181</v>
      </c>
      <c r="Z3" s="577">
        <f>IFERROR($D3/100*INT($Y3),"")</f>
        <v>98.264899999999983</v>
      </c>
      <c r="AA3" s="734"/>
      <c r="AD3" s="49" t="s">
        <v>320</v>
      </c>
      <c r="AE3" s="310">
        <v>45380</v>
      </c>
      <c r="AF3" s="48"/>
      <c r="AG3" s="52"/>
      <c r="AH3" s="52"/>
      <c r="AI3" s="48"/>
      <c r="AJ3" s="307"/>
      <c r="AK3" s="48"/>
    </row>
    <row r="4" spans="1:42" ht="12.75" hidden="1" customHeight="1">
      <c r="A4" s="343" t="s">
        <v>13</v>
      </c>
      <c r="B4" s="329">
        <f t="shared" si="0"/>
        <v>16480</v>
      </c>
      <c r="C4" s="324">
        <f t="shared" si="1"/>
        <v>54250</v>
      </c>
      <c r="D4" s="321">
        <f t="shared" si="2"/>
        <v>54270</v>
      </c>
      <c r="E4" s="327">
        <f t="shared" si="3"/>
        <v>45516</v>
      </c>
      <c r="F4" s="695">
        <f t="shared" si="4"/>
        <v>54250</v>
      </c>
      <c r="G4" s="330">
        <f t="shared" si="5"/>
        <v>-2.3E-3</v>
      </c>
      <c r="H4" s="238">
        <f t="shared" si="6"/>
        <v>54800</v>
      </c>
      <c r="I4" s="230">
        <f t="shared" si="7"/>
        <v>54920</v>
      </c>
      <c r="J4" s="294">
        <f t="shared" si="8"/>
        <v>54010</v>
      </c>
      <c r="K4" s="234">
        <f t="shared" si="9"/>
        <v>54380</v>
      </c>
      <c r="L4" s="255">
        <f t="shared" si="10"/>
        <v>91775172553</v>
      </c>
      <c r="M4" s="234">
        <f t="shared" si="11"/>
        <v>168775546</v>
      </c>
      <c r="N4" s="255">
        <f t="shared" si="12"/>
        <v>71497</v>
      </c>
      <c r="O4" s="288">
        <f t="shared" si="13"/>
        <v>45378.647210648145</v>
      </c>
      <c r="P4" s="299">
        <v>3</v>
      </c>
      <c r="Q4" s="268"/>
      <c r="R4" s="384"/>
      <c r="S4" s="645"/>
      <c r="T4" s="567"/>
      <c r="U4" s="269"/>
      <c r="V4" s="312"/>
      <c r="W4" s="635"/>
      <c r="X4" s="636"/>
      <c r="Y4" s="674">
        <f t="shared" ref="Y4:Y12" si="14">Y3</f>
        <v>181</v>
      </c>
      <c r="Z4" s="578">
        <f>IFERROR($C4*(1-$V$1)/100*INT($Y4),"")</f>
        <v>98192.5</v>
      </c>
      <c r="AA4" s="735">
        <f>IFERROR($Z4-$Z5,"")</f>
        <v>261.30000000000291</v>
      </c>
      <c r="AD4" s="303" t="s">
        <v>321</v>
      </c>
      <c r="AE4" s="310">
        <v>45381</v>
      </c>
      <c r="AF4" s="301"/>
      <c r="AG4" s="302"/>
      <c r="AH4" s="302"/>
      <c r="AI4" s="301"/>
      <c r="AJ4" s="306"/>
      <c r="AK4" s="301"/>
      <c r="AL4" s="47"/>
    </row>
    <row r="5" spans="1:42" ht="12.75" hidden="1" customHeight="1">
      <c r="A5" s="708" t="s">
        <v>565</v>
      </c>
      <c r="B5" s="337">
        <f t="shared" si="0"/>
        <v>200</v>
      </c>
      <c r="C5" s="338">
        <f t="shared" si="1"/>
        <v>46515</v>
      </c>
      <c r="D5" s="339">
        <f t="shared" si="2"/>
        <v>50480</v>
      </c>
      <c r="E5" s="340">
        <f t="shared" si="3"/>
        <v>3290</v>
      </c>
      <c r="F5" s="697">
        <f t="shared" si="4"/>
        <v>46500</v>
      </c>
      <c r="G5" s="341">
        <f t="shared" si="5"/>
        <v>-7.0000000000000007E-2</v>
      </c>
      <c r="H5" s="256">
        <f t="shared" si="6"/>
        <v>49990</v>
      </c>
      <c r="I5" s="257">
        <f t="shared" si="7"/>
        <v>50040</v>
      </c>
      <c r="J5" s="296">
        <f t="shared" si="8"/>
        <v>46500</v>
      </c>
      <c r="K5" s="258">
        <f t="shared" si="9"/>
        <v>50000</v>
      </c>
      <c r="L5" s="260">
        <f t="shared" si="10"/>
        <v>17968040</v>
      </c>
      <c r="M5" s="258">
        <f t="shared" si="11"/>
        <v>36552</v>
      </c>
      <c r="N5" s="436">
        <f t="shared" si="12"/>
        <v>90</v>
      </c>
      <c r="O5" s="291">
        <f t="shared" si="13"/>
        <v>45378.642106481479</v>
      </c>
      <c r="P5" s="298">
        <v>4</v>
      </c>
      <c r="Q5" s="681"/>
      <c r="R5" s="437"/>
      <c r="S5" s="677"/>
      <c r="T5" s="571"/>
      <c r="U5" s="393">
        <v>0</v>
      </c>
      <c r="V5" s="313"/>
      <c r="W5" s="634"/>
      <c r="X5" s="588"/>
      <c r="Y5" s="712">
        <f>IFERROR($Z4/($D5*(1+$V$1)/100),0)</f>
        <v>194.51763074484944</v>
      </c>
      <c r="Z5" s="580">
        <f>IFERROR($D5/100*INT($Y5),"")</f>
        <v>97931.199999999997</v>
      </c>
      <c r="AA5" s="734"/>
      <c r="AD5" s="49" t="s">
        <v>322</v>
      </c>
      <c r="AE5" s="310">
        <v>45382</v>
      </c>
      <c r="AF5" s="48"/>
      <c r="AG5" s="52"/>
      <c r="AH5" s="52"/>
      <c r="AI5" s="48"/>
      <c r="AJ5" s="307"/>
      <c r="AK5" s="48"/>
      <c r="AL5" s="47"/>
    </row>
    <row r="6" spans="1:42" ht="12.75" hidden="1" customHeight="1">
      <c r="A6" s="709" t="s">
        <v>567</v>
      </c>
      <c r="B6" s="329">
        <f t="shared" si="0"/>
        <v>1018</v>
      </c>
      <c r="C6" s="324">
        <f t="shared" si="1"/>
        <v>49.1</v>
      </c>
      <c r="D6" s="254">
        <f t="shared" si="2"/>
        <v>51</v>
      </c>
      <c r="E6" s="323">
        <f t="shared" si="3"/>
        <v>1000</v>
      </c>
      <c r="F6" s="695">
        <f t="shared" si="4"/>
        <v>49</v>
      </c>
      <c r="G6" s="330">
        <f t="shared" si="5"/>
        <v>-2.3900000000000001E-2</v>
      </c>
      <c r="H6" s="236">
        <f t="shared" si="6"/>
        <v>47.631999999999998</v>
      </c>
      <c r="I6" s="227">
        <f t="shared" si="7"/>
        <v>49</v>
      </c>
      <c r="J6" s="293">
        <f t="shared" si="8"/>
        <v>47.631999999999998</v>
      </c>
      <c r="K6" s="231">
        <f t="shared" si="9"/>
        <v>50.2</v>
      </c>
      <c r="L6" s="262">
        <f t="shared" si="10"/>
        <v>997</v>
      </c>
      <c r="M6" s="231">
        <f t="shared" si="11"/>
        <v>2050</v>
      </c>
      <c r="N6" s="262">
        <f t="shared" si="12"/>
        <v>4</v>
      </c>
      <c r="O6" s="285">
        <f t="shared" si="13"/>
        <v>45378.585856481484</v>
      </c>
      <c r="P6" s="299">
        <v>5</v>
      </c>
      <c r="Q6" s="642"/>
      <c r="R6" s="386"/>
      <c r="S6" s="678"/>
      <c r="T6" s="572"/>
      <c r="U6" s="392">
        <v>0</v>
      </c>
      <c r="V6" s="312"/>
      <c r="W6" s="635"/>
      <c r="X6" s="636"/>
      <c r="Y6" s="675">
        <f>IFERROR(IF($Y$1&lt;&gt;"",INT($Y$1/(D9/100)),100),100)</f>
        <v>201</v>
      </c>
      <c r="Z6" s="578">
        <f>IFERROR($C6*(1-$V$1)/100*$Y6,"")</f>
        <v>98.691000000000003</v>
      </c>
      <c r="AA6" s="735">
        <f>IFERROR($Z6-$Z7,"")</f>
        <v>9.6000000000003638E-2</v>
      </c>
      <c r="AB6" s="226"/>
      <c r="AD6" s="303" t="s">
        <v>323</v>
      </c>
      <c r="AE6" s="310">
        <v>45383</v>
      </c>
      <c r="AF6" s="301"/>
      <c r="AG6" s="302"/>
      <c r="AH6" s="302"/>
      <c r="AI6" s="301"/>
      <c r="AJ6" s="306"/>
      <c r="AK6" s="301"/>
    </row>
    <row r="7" spans="1:42" ht="12.75" hidden="1" customHeight="1">
      <c r="A7" s="344" t="s">
        <v>18</v>
      </c>
      <c r="B7" s="325">
        <f t="shared" si="0"/>
        <v>45</v>
      </c>
      <c r="C7" s="322">
        <f t="shared" si="1"/>
        <v>56.12</v>
      </c>
      <c r="D7" s="326">
        <f t="shared" si="2"/>
        <v>56.34</v>
      </c>
      <c r="E7" s="328">
        <f t="shared" si="3"/>
        <v>18348</v>
      </c>
      <c r="F7" s="696">
        <f t="shared" si="4"/>
        <v>56.19</v>
      </c>
      <c r="G7" s="331">
        <f t="shared" si="5"/>
        <v>1E-3</v>
      </c>
      <c r="H7" s="237">
        <f t="shared" si="6"/>
        <v>56.08</v>
      </c>
      <c r="I7" s="228">
        <f t="shared" si="7"/>
        <v>56.5</v>
      </c>
      <c r="J7" s="292">
        <f t="shared" si="8"/>
        <v>55.46</v>
      </c>
      <c r="K7" s="232">
        <f t="shared" si="9"/>
        <v>56.13</v>
      </c>
      <c r="L7" s="235">
        <f t="shared" si="10"/>
        <v>2911736</v>
      </c>
      <c r="M7" s="243">
        <f t="shared" si="11"/>
        <v>5208765</v>
      </c>
      <c r="N7" s="235">
        <f t="shared" si="12"/>
        <v>1804</v>
      </c>
      <c r="O7" s="284">
        <f t="shared" si="13"/>
        <v>45378.64702546296</v>
      </c>
      <c r="P7" s="298">
        <v>6</v>
      </c>
      <c r="Q7" s="266"/>
      <c r="R7" s="385"/>
      <c r="S7" s="644"/>
      <c r="T7" s="569"/>
      <c r="U7" s="270">
        <v>0</v>
      </c>
      <c r="V7" s="313"/>
      <c r="W7" s="634"/>
      <c r="X7" s="588"/>
      <c r="Y7" s="673">
        <f>IFERROR(INT($Z6/($D7*(1+$V$1)/100)),0)</f>
        <v>175</v>
      </c>
      <c r="Z7" s="580">
        <f>IFERROR($D7/100*INT($Y7),"")</f>
        <v>98.594999999999999</v>
      </c>
      <c r="AA7" s="734"/>
      <c r="AD7" s="49" t="s">
        <v>324</v>
      </c>
      <c r="AE7" s="310">
        <v>45384</v>
      </c>
      <c r="AF7" s="48"/>
      <c r="AG7" s="52"/>
      <c r="AH7" s="52"/>
      <c r="AI7" s="48"/>
      <c r="AJ7" s="307"/>
      <c r="AK7" s="48"/>
    </row>
    <row r="8" spans="1:42" hidden="1">
      <c r="A8" s="343" t="s">
        <v>16</v>
      </c>
      <c r="B8" s="329">
        <f t="shared" si="0"/>
        <v>1144</v>
      </c>
      <c r="C8" s="324">
        <f t="shared" si="1"/>
        <v>56100</v>
      </c>
      <c r="D8" s="321">
        <f t="shared" si="2"/>
        <v>56130</v>
      </c>
      <c r="E8" s="327">
        <f t="shared" si="3"/>
        <v>23588</v>
      </c>
      <c r="F8" s="695">
        <f t="shared" si="4"/>
        <v>56120</v>
      </c>
      <c r="G8" s="330">
        <f t="shared" si="5"/>
        <v>-1.0200000000000001E-2</v>
      </c>
      <c r="H8" s="236">
        <f t="shared" si="6"/>
        <v>57600</v>
      </c>
      <c r="I8" s="227">
        <f t="shared" si="7"/>
        <v>57840</v>
      </c>
      <c r="J8" s="293">
        <f t="shared" si="8"/>
        <v>55220</v>
      </c>
      <c r="K8" s="231">
        <f t="shared" si="9"/>
        <v>56700</v>
      </c>
      <c r="L8" s="262">
        <f t="shared" si="10"/>
        <v>6395275078</v>
      </c>
      <c r="M8" s="231">
        <f t="shared" si="11"/>
        <v>11324846</v>
      </c>
      <c r="N8" s="262">
        <f t="shared" si="12"/>
        <v>3346</v>
      </c>
      <c r="O8" s="285">
        <f t="shared" si="13"/>
        <v>45378.64707175926</v>
      </c>
      <c r="P8" s="299">
        <v>7</v>
      </c>
      <c r="Q8" s="642"/>
      <c r="R8" s="386"/>
      <c r="S8" s="678"/>
      <c r="T8" s="572"/>
      <c r="U8" s="269">
        <v>0</v>
      </c>
      <c r="V8" s="312"/>
      <c r="W8" s="635"/>
      <c r="X8" s="636"/>
      <c r="Y8" s="674">
        <f t="shared" si="14"/>
        <v>175</v>
      </c>
      <c r="Z8" s="578">
        <f>IFERROR($C8*(1-$V$1)/100*INT($Y8),"")</f>
        <v>98175</v>
      </c>
      <c r="AA8" s="735">
        <f>IFERROR($Z8-$Z9,"")</f>
        <v>243.80000000000291</v>
      </c>
      <c r="AD8" s="303" t="s">
        <v>325</v>
      </c>
      <c r="AE8" s="310">
        <v>45385</v>
      </c>
      <c r="AF8" s="301">
        <v>4691191401.8100004</v>
      </c>
      <c r="AG8" s="302">
        <v>0.71939999999999993</v>
      </c>
      <c r="AH8" s="302">
        <v>0.71950000000000003</v>
      </c>
      <c r="AI8" s="301">
        <v>162258227.38</v>
      </c>
      <c r="AJ8" s="306">
        <v>0.71939999999999993</v>
      </c>
      <c r="AK8" s="301">
        <v>920708826995</v>
      </c>
    </row>
    <row r="9" spans="1:42" ht="12.75" hidden="1" customHeight="1">
      <c r="A9" s="708" t="s">
        <v>565</v>
      </c>
      <c r="B9" s="337">
        <f t="shared" si="0"/>
        <v>200</v>
      </c>
      <c r="C9" s="338">
        <f t="shared" si="1"/>
        <v>46515</v>
      </c>
      <c r="D9" s="339">
        <f t="shared" si="2"/>
        <v>50480</v>
      </c>
      <c r="E9" s="340">
        <f t="shared" si="3"/>
        <v>3290</v>
      </c>
      <c r="F9" s="697">
        <f t="shared" si="4"/>
        <v>46500</v>
      </c>
      <c r="G9" s="341">
        <f t="shared" si="5"/>
        <v>-7.0000000000000007E-2</v>
      </c>
      <c r="H9" s="256">
        <f t="shared" si="6"/>
        <v>49990</v>
      </c>
      <c r="I9" s="257">
        <f t="shared" si="7"/>
        <v>50040</v>
      </c>
      <c r="J9" s="296">
        <f t="shared" si="8"/>
        <v>46500</v>
      </c>
      <c r="K9" s="258">
        <f t="shared" si="9"/>
        <v>50000</v>
      </c>
      <c r="L9" s="260">
        <f t="shared" si="10"/>
        <v>17968040</v>
      </c>
      <c r="M9" s="258">
        <f t="shared" si="11"/>
        <v>36552</v>
      </c>
      <c r="N9" s="260">
        <f t="shared" si="12"/>
        <v>90</v>
      </c>
      <c r="O9" s="342">
        <f t="shared" si="13"/>
        <v>45378.642106481479</v>
      </c>
      <c r="P9" s="298">
        <v>8</v>
      </c>
      <c r="Q9" s="681"/>
      <c r="R9" s="387"/>
      <c r="S9" s="677"/>
      <c r="T9" s="574"/>
      <c r="U9" s="393">
        <v>0</v>
      </c>
      <c r="V9" s="610"/>
      <c r="W9" s="634"/>
      <c r="X9" s="588"/>
      <c r="Y9" s="712">
        <f>IFERROR($Z8/($D9*(1+$V$1)/100),0)</f>
        <v>194.48296354992075</v>
      </c>
      <c r="Z9" s="580">
        <f>IFERROR($D9/100*INT($Y9),"")</f>
        <v>97931.199999999997</v>
      </c>
      <c r="AA9" s="734"/>
      <c r="AD9" s="49" t="s">
        <v>625</v>
      </c>
      <c r="AE9" s="310">
        <v>45386</v>
      </c>
      <c r="AF9" s="304">
        <v>8082547.04</v>
      </c>
      <c r="AG9" s="305">
        <v>0.71700000000000008</v>
      </c>
      <c r="AH9" s="305">
        <v>0.72</v>
      </c>
      <c r="AI9" s="304">
        <v>473979</v>
      </c>
      <c r="AJ9" s="308">
        <v>0.71700000000000008</v>
      </c>
      <c r="AK9" s="304">
        <v>13500092194</v>
      </c>
    </row>
    <row r="10" spans="1:42" ht="12.75" hidden="1" customHeight="1">
      <c r="A10" s="709" t="s">
        <v>567</v>
      </c>
      <c r="B10" s="329">
        <f t="shared" si="0"/>
        <v>1018</v>
      </c>
      <c r="C10" s="324">
        <f t="shared" si="1"/>
        <v>49.1</v>
      </c>
      <c r="D10" s="254">
        <f t="shared" si="2"/>
        <v>51</v>
      </c>
      <c r="E10" s="323">
        <f t="shared" si="3"/>
        <v>1000</v>
      </c>
      <c r="F10" s="695">
        <f t="shared" si="4"/>
        <v>49</v>
      </c>
      <c r="G10" s="330">
        <f t="shared" si="5"/>
        <v>-2.3900000000000001E-2</v>
      </c>
      <c r="H10" s="236">
        <f t="shared" si="6"/>
        <v>47.631999999999998</v>
      </c>
      <c r="I10" s="227">
        <f t="shared" si="7"/>
        <v>49</v>
      </c>
      <c r="J10" s="293">
        <f t="shared" si="8"/>
        <v>47.631999999999998</v>
      </c>
      <c r="K10" s="231">
        <f t="shared" si="9"/>
        <v>50.2</v>
      </c>
      <c r="L10" s="262">
        <f t="shared" si="10"/>
        <v>997</v>
      </c>
      <c r="M10" s="231">
        <f t="shared" si="11"/>
        <v>2050</v>
      </c>
      <c r="N10" s="262">
        <f t="shared" si="12"/>
        <v>4</v>
      </c>
      <c r="O10" s="285">
        <f t="shared" si="13"/>
        <v>45378.585856481484</v>
      </c>
      <c r="P10" s="299">
        <v>9</v>
      </c>
      <c r="Q10" s="642"/>
      <c r="R10" s="386"/>
      <c r="S10" s="678"/>
      <c r="T10" s="572"/>
      <c r="U10" s="392">
        <v>0</v>
      </c>
      <c r="V10" s="312"/>
      <c r="W10" s="635"/>
      <c r="X10" s="636"/>
      <c r="Y10" s="637">
        <f>IFERROR(IF($Y$1&lt;&gt;"",INT($Y$1/(D13/100)),100),100)</f>
        <v>201</v>
      </c>
      <c r="Z10" s="579">
        <f>IFERROR($C10*(1-$V$1)/100*$Y10,"")</f>
        <v>98.691000000000003</v>
      </c>
      <c r="AA10" s="733">
        <f>IFERROR($Z10-$Z11,"")</f>
        <v>0.1910000000000025</v>
      </c>
      <c r="AB10" s="226"/>
      <c r="AD10" s="49" t="s">
        <v>626</v>
      </c>
      <c r="AE10" s="310">
        <v>45387</v>
      </c>
      <c r="AF10" s="304">
        <v>14231802.93</v>
      </c>
      <c r="AG10" s="305">
        <v>0.71599999999999997</v>
      </c>
      <c r="AH10" s="305">
        <v>0.72489999999999999</v>
      </c>
      <c r="AI10" s="304">
        <v>100000</v>
      </c>
      <c r="AJ10" s="308">
        <v>0.71599999999999997</v>
      </c>
      <c r="AK10" s="304">
        <v>5190125227</v>
      </c>
    </row>
    <row r="11" spans="1:42" ht="12.75" hidden="1" customHeight="1">
      <c r="A11" s="344" t="s">
        <v>580</v>
      </c>
      <c r="B11" s="325">
        <f t="shared" si="0"/>
        <v>100</v>
      </c>
      <c r="C11" s="322">
        <f t="shared" si="1"/>
        <v>24.9</v>
      </c>
      <c r="D11" s="326">
        <f t="shared" si="2"/>
        <v>25</v>
      </c>
      <c r="E11" s="328">
        <f t="shared" si="3"/>
        <v>64</v>
      </c>
      <c r="F11" s="696">
        <f t="shared" si="4"/>
        <v>25</v>
      </c>
      <c r="G11" s="331">
        <f t="shared" si="5"/>
        <v>0.01</v>
      </c>
      <c r="H11" s="237">
        <f t="shared" si="6"/>
        <v>25</v>
      </c>
      <c r="I11" s="228">
        <f t="shared" si="7"/>
        <v>25.25</v>
      </c>
      <c r="J11" s="292">
        <f t="shared" si="8"/>
        <v>24</v>
      </c>
      <c r="K11" s="232">
        <f t="shared" si="9"/>
        <v>25</v>
      </c>
      <c r="L11" s="235">
        <f t="shared" si="10"/>
        <v>1255</v>
      </c>
      <c r="M11" s="232">
        <f t="shared" si="11"/>
        <v>5141</v>
      </c>
      <c r="N11" s="235">
        <f t="shared" si="12"/>
        <v>9</v>
      </c>
      <c r="O11" s="284">
        <f t="shared" si="13"/>
        <v>45378.63989583333</v>
      </c>
      <c r="P11" s="298">
        <v>10</v>
      </c>
      <c r="Q11" s="266"/>
      <c r="R11" s="385"/>
      <c r="S11" s="644"/>
      <c r="T11" s="569"/>
      <c r="U11" s="270">
        <v>0</v>
      </c>
      <c r="V11" s="313"/>
      <c r="W11" s="634"/>
      <c r="X11" s="588"/>
      <c r="Y11" s="673">
        <f>IFERROR(INT($Z10/($D11*(1+$V$1)/100)),0)</f>
        <v>394</v>
      </c>
      <c r="Z11" s="580">
        <f>IFERROR($D11/100*INT($Y11),"")</f>
        <v>98.5</v>
      </c>
      <c r="AA11" s="734"/>
      <c r="AD11" s="49" t="s">
        <v>627</v>
      </c>
      <c r="AE11" s="310">
        <v>45388</v>
      </c>
      <c r="AF11" s="304"/>
      <c r="AG11" s="305"/>
      <c r="AH11" s="305"/>
      <c r="AI11" s="304"/>
      <c r="AJ11" s="308"/>
      <c r="AK11" s="304"/>
    </row>
    <row r="12" spans="1:42" ht="12.75" hidden="1" customHeight="1">
      <c r="A12" s="343" t="s">
        <v>576</v>
      </c>
      <c r="B12" s="329">
        <f t="shared" si="0"/>
        <v>11</v>
      </c>
      <c r="C12" s="324">
        <f t="shared" si="1"/>
        <v>25000</v>
      </c>
      <c r="D12" s="321">
        <f t="shared" si="2"/>
        <v>25400</v>
      </c>
      <c r="E12" s="327">
        <f t="shared" si="3"/>
        <v>296</v>
      </c>
      <c r="F12" s="695">
        <f t="shared" si="4"/>
        <v>25000</v>
      </c>
      <c r="G12" s="330">
        <f t="shared" si="5"/>
        <v>3.2199999999999999E-2</v>
      </c>
      <c r="H12" s="236">
        <f t="shared" si="6"/>
        <v>24500</v>
      </c>
      <c r="I12" s="227">
        <f t="shared" si="7"/>
        <v>26000</v>
      </c>
      <c r="J12" s="293">
        <f t="shared" si="8"/>
        <v>23500</v>
      </c>
      <c r="K12" s="231">
        <f t="shared" si="9"/>
        <v>24220</v>
      </c>
      <c r="L12" s="262">
        <f t="shared" si="10"/>
        <v>3194806</v>
      </c>
      <c r="M12" s="231">
        <f t="shared" si="11"/>
        <v>12885</v>
      </c>
      <c r="N12" s="262">
        <f t="shared" si="12"/>
        <v>61</v>
      </c>
      <c r="O12" s="285">
        <f t="shared" si="13"/>
        <v>45378.645208333335</v>
      </c>
      <c r="P12" s="299">
        <v>11</v>
      </c>
      <c r="Q12" s="642"/>
      <c r="R12" s="386"/>
      <c r="S12" s="678"/>
      <c r="T12" s="572"/>
      <c r="U12" s="269">
        <v>0</v>
      </c>
      <c r="V12" s="312"/>
      <c r="W12" s="635"/>
      <c r="X12" s="636"/>
      <c r="Y12" s="674">
        <f t="shared" si="14"/>
        <v>394</v>
      </c>
      <c r="Z12" s="578">
        <f>IFERROR($C12*(1-$V$1)/100*INT($Y12),"")</f>
        <v>98500</v>
      </c>
      <c r="AA12" s="735">
        <f>IFERROR($Z12-$Z13,"")</f>
        <v>64</v>
      </c>
    </row>
    <row r="13" spans="1:42" ht="12.75" hidden="1" customHeight="1">
      <c r="A13" s="708" t="s">
        <v>565</v>
      </c>
      <c r="B13" s="337">
        <f t="shared" si="0"/>
        <v>200</v>
      </c>
      <c r="C13" s="338">
        <f t="shared" si="1"/>
        <v>46515</v>
      </c>
      <c r="D13" s="339">
        <f t="shared" si="2"/>
        <v>50480</v>
      </c>
      <c r="E13" s="340">
        <f t="shared" si="3"/>
        <v>3290</v>
      </c>
      <c r="F13" s="697">
        <f t="shared" si="4"/>
        <v>46500</v>
      </c>
      <c r="G13" s="341">
        <f t="shared" si="5"/>
        <v>-7.0000000000000007E-2</v>
      </c>
      <c r="H13" s="256">
        <f t="shared" si="6"/>
        <v>49990</v>
      </c>
      <c r="I13" s="257">
        <f t="shared" si="7"/>
        <v>50040</v>
      </c>
      <c r="J13" s="296">
        <f t="shared" si="8"/>
        <v>46500</v>
      </c>
      <c r="K13" s="258">
        <f t="shared" si="9"/>
        <v>50000</v>
      </c>
      <c r="L13" s="260">
        <f t="shared" si="10"/>
        <v>17968040</v>
      </c>
      <c r="M13" s="258">
        <f t="shared" si="11"/>
        <v>36552</v>
      </c>
      <c r="N13" s="260">
        <f t="shared" si="12"/>
        <v>90</v>
      </c>
      <c r="O13" s="342">
        <f t="shared" si="13"/>
        <v>45378.642106481479</v>
      </c>
      <c r="P13" s="298">
        <v>12</v>
      </c>
      <c r="Q13" s="681"/>
      <c r="R13" s="387"/>
      <c r="S13" s="677"/>
      <c r="T13" s="574"/>
      <c r="U13" s="270">
        <v>0</v>
      </c>
      <c r="V13" s="313"/>
      <c r="W13" s="634"/>
      <c r="X13" s="588"/>
      <c r="Y13" s="712">
        <f>IFERROR($Z12/($D13*(1+$V$1)/100),0)</f>
        <v>195.12678288431061</v>
      </c>
      <c r="Z13" s="580">
        <f>IFERROR($D13/100*INT($Y13),"")</f>
        <v>98436</v>
      </c>
      <c r="AA13" s="734"/>
    </row>
    <row r="14" spans="1:42" ht="12.75" hidden="1" customHeight="1">
      <c r="A14" s="709" t="s">
        <v>15</v>
      </c>
      <c r="B14" s="329">
        <f t="shared" si="0"/>
        <v>92674</v>
      </c>
      <c r="C14" s="324">
        <f t="shared" si="1"/>
        <v>50.85</v>
      </c>
      <c r="D14" s="254">
        <f t="shared" si="2"/>
        <v>50.9</v>
      </c>
      <c r="E14" s="323">
        <f t="shared" si="3"/>
        <v>42393</v>
      </c>
      <c r="F14" s="695">
        <f t="shared" si="4"/>
        <v>50.9</v>
      </c>
      <c r="G14" s="330">
        <f t="shared" si="5"/>
        <v>9.8999999999999991E-3</v>
      </c>
      <c r="H14" s="238">
        <f t="shared" si="6"/>
        <v>50.4</v>
      </c>
      <c r="I14" s="230">
        <f t="shared" si="7"/>
        <v>50.9</v>
      </c>
      <c r="J14" s="294">
        <f t="shared" si="8"/>
        <v>50.16</v>
      </c>
      <c r="K14" s="234">
        <f t="shared" si="9"/>
        <v>50.4</v>
      </c>
      <c r="L14" s="255">
        <f t="shared" si="10"/>
        <v>24156422</v>
      </c>
      <c r="M14" s="234">
        <f t="shared" si="11"/>
        <v>47776634</v>
      </c>
      <c r="N14" s="255">
        <f t="shared" si="12"/>
        <v>7508</v>
      </c>
      <c r="O14" s="286">
        <f t="shared" si="13"/>
        <v>45378.647187499999</v>
      </c>
      <c r="P14" s="299">
        <v>13</v>
      </c>
      <c r="Q14" s="268"/>
      <c r="R14" s="384"/>
      <c r="S14" s="645"/>
      <c r="T14" s="567"/>
      <c r="U14" s="269">
        <v>0</v>
      </c>
      <c r="V14" s="312"/>
      <c r="W14" s="635"/>
      <c r="X14" s="636"/>
      <c r="Y14" s="637">
        <v>100</v>
      </c>
      <c r="Z14" s="579">
        <f>IFERROR($C14*(1-$V$1)/100*$Y14,"")</f>
        <v>50.850000000000009</v>
      </c>
      <c r="AA14" s="733">
        <f>IFERROR($Z14-$Z15,"")</f>
        <v>0.11400000000001143</v>
      </c>
      <c r="AN14" s="47"/>
      <c r="AO14" s="47"/>
      <c r="AP14" s="47"/>
    </row>
    <row r="15" spans="1:42" ht="12.75" hidden="1" customHeight="1">
      <c r="A15" s="344" t="s">
        <v>17</v>
      </c>
      <c r="B15" s="325">
        <f t="shared" si="0"/>
        <v>634</v>
      </c>
      <c r="C15" s="322">
        <f t="shared" si="1"/>
        <v>52.47</v>
      </c>
      <c r="D15" s="326">
        <f t="shared" si="2"/>
        <v>52.85</v>
      </c>
      <c r="E15" s="328">
        <f t="shared" si="3"/>
        <v>54322</v>
      </c>
      <c r="F15" s="696">
        <f t="shared" si="4"/>
        <v>52.84</v>
      </c>
      <c r="G15" s="331">
        <f t="shared" si="5"/>
        <v>-1E-4</v>
      </c>
      <c r="H15" s="244">
        <f t="shared" si="6"/>
        <v>52.25</v>
      </c>
      <c r="I15" s="245">
        <f t="shared" si="7"/>
        <v>52.85</v>
      </c>
      <c r="J15" s="295">
        <f t="shared" si="8"/>
        <v>52.25</v>
      </c>
      <c r="K15" s="246">
        <f t="shared" si="9"/>
        <v>52.85</v>
      </c>
      <c r="L15" s="265">
        <f t="shared" si="10"/>
        <v>434831</v>
      </c>
      <c r="M15" s="246">
        <f t="shared" si="11"/>
        <v>828785</v>
      </c>
      <c r="N15" s="265">
        <f t="shared" si="12"/>
        <v>216</v>
      </c>
      <c r="O15" s="287">
        <f t="shared" si="13"/>
        <v>45378.645914351851</v>
      </c>
      <c r="P15" s="298">
        <v>14</v>
      </c>
      <c r="Q15" s="682"/>
      <c r="R15" s="388"/>
      <c r="S15" s="679"/>
      <c r="T15" s="573"/>
      <c r="U15" s="270">
        <v>0</v>
      </c>
      <c r="V15" s="313"/>
      <c r="W15" s="634"/>
      <c r="X15" s="588"/>
      <c r="Y15" s="673">
        <f>IFERROR(INT($Z14/($D15*(1+$V$1)/100)),0)</f>
        <v>96</v>
      </c>
      <c r="Z15" s="580">
        <f>IFERROR($D15/100*INT($Y15),"")</f>
        <v>50.735999999999997</v>
      </c>
      <c r="AA15" s="734"/>
    </row>
    <row r="16" spans="1:42" ht="12.75" hidden="1" customHeight="1">
      <c r="A16" s="343" t="s">
        <v>18</v>
      </c>
      <c r="B16" s="329">
        <f t="shared" si="0"/>
        <v>45</v>
      </c>
      <c r="C16" s="324">
        <f t="shared" si="1"/>
        <v>56.12</v>
      </c>
      <c r="D16" s="321">
        <f t="shared" si="2"/>
        <v>56.34</v>
      </c>
      <c r="E16" s="327">
        <f t="shared" si="3"/>
        <v>18348</v>
      </c>
      <c r="F16" s="695">
        <f t="shared" si="4"/>
        <v>56.19</v>
      </c>
      <c r="G16" s="330">
        <f t="shared" si="5"/>
        <v>1E-3</v>
      </c>
      <c r="H16" s="236">
        <f t="shared" si="6"/>
        <v>56.08</v>
      </c>
      <c r="I16" s="227">
        <f t="shared" si="7"/>
        <v>56.5</v>
      </c>
      <c r="J16" s="227">
        <f t="shared" si="8"/>
        <v>55.46</v>
      </c>
      <c r="K16" s="231">
        <f t="shared" si="9"/>
        <v>56.13</v>
      </c>
      <c r="L16" s="262">
        <f t="shared" si="10"/>
        <v>2911736</v>
      </c>
      <c r="M16" s="231">
        <f t="shared" si="11"/>
        <v>5208765</v>
      </c>
      <c r="N16" s="262">
        <f t="shared" si="12"/>
        <v>1804</v>
      </c>
      <c r="O16" s="285">
        <f t="shared" si="13"/>
        <v>45378.64702546296</v>
      </c>
      <c r="P16" s="299">
        <v>15</v>
      </c>
      <c r="Q16" s="683"/>
      <c r="R16" s="386"/>
      <c r="S16" s="678"/>
      <c r="T16" s="572"/>
      <c r="U16" s="269">
        <v>0</v>
      </c>
      <c r="V16" s="312"/>
      <c r="W16" s="668"/>
      <c r="X16" s="589"/>
      <c r="Y16" s="674">
        <f t="shared" ref="Y16" si="15">Y15</f>
        <v>96</v>
      </c>
      <c r="Z16" s="578">
        <f>IFERROR($C16*(1-$V$1)/100*INT($Y16),"")</f>
        <v>53.875199999999992</v>
      </c>
      <c r="AA16" s="735">
        <f>IFERROR($Z16-$Z17,"")</f>
        <v>0.12809999999999633</v>
      </c>
    </row>
    <row r="17" spans="1:41" ht="12.75" hidden="1" customHeight="1">
      <c r="A17" s="708" t="s">
        <v>14</v>
      </c>
      <c r="B17" s="337">
        <f t="shared" si="0"/>
        <v>110558</v>
      </c>
      <c r="C17" s="338">
        <f t="shared" si="1"/>
        <v>54.27</v>
      </c>
      <c r="D17" s="339">
        <f t="shared" si="2"/>
        <v>54.29</v>
      </c>
      <c r="E17" s="340">
        <f t="shared" si="3"/>
        <v>44500</v>
      </c>
      <c r="F17" s="697">
        <f t="shared" si="4"/>
        <v>54.28</v>
      </c>
      <c r="G17" s="341">
        <f t="shared" si="5"/>
        <v>6.9999999999999993E-3</v>
      </c>
      <c r="H17" s="256">
        <f t="shared" si="6"/>
        <v>53.6</v>
      </c>
      <c r="I17" s="257">
        <f t="shared" si="7"/>
        <v>54.45</v>
      </c>
      <c r="J17" s="296">
        <f t="shared" si="8"/>
        <v>53.53</v>
      </c>
      <c r="K17" s="258">
        <f t="shared" si="9"/>
        <v>53.9</v>
      </c>
      <c r="L17" s="260">
        <f t="shared" si="10"/>
        <v>68584755</v>
      </c>
      <c r="M17" s="258">
        <f t="shared" si="11"/>
        <v>127356977</v>
      </c>
      <c r="N17" s="260">
        <f t="shared" si="12"/>
        <v>53335</v>
      </c>
      <c r="O17" s="342">
        <f t="shared" si="13"/>
        <v>45378.647210648145</v>
      </c>
      <c r="P17" s="298">
        <v>16</v>
      </c>
      <c r="Q17" s="681"/>
      <c r="R17" s="387"/>
      <c r="S17" s="677"/>
      <c r="T17" s="574"/>
      <c r="U17" s="270">
        <v>0</v>
      </c>
      <c r="V17" s="313"/>
      <c r="W17" s="669"/>
      <c r="X17" s="671"/>
      <c r="Y17" s="713">
        <f>IFERROR($Z16/($D17*(1+$V$1)/100),0)</f>
        <v>99.235955056179776</v>
      </c>
      <c r="Z17" s="604">
        <f>IFERROR($D17/100*INT($Y17),"")</f>
        <v>53.747099999999996</v>
      </c>
      <c r="AA17" s="740"/>
      <c r="AO17" s="456"/>
    </row>
    <row r="18" spans="1:41" ht="12.75" hidden="1" customHeight="1">
      <c r="A18" s="709" t="s">
        <v>567</v>
      </c>
      <c r="B18" s="345">
        <f t="shared" ref="B18" si="16">IF(A18&lt;&gt;"",VLOOKUP($A18,$A$64:$N$175,2,0),"")</f>
        <v>1018</v>
      </c>
      <c r="C18" s="346">
        <f t="shared" ref="C18" si="17">IF(A18&lt;&gt;"",VLOOKUP($A18,$A$60:$N$175,3,0),"")</f>
        <v>49.1</v>
      </c>
      <c r="D18" s="347">
        <f t="shared" ref="D18" si="18">IF(A18&lt;&gt;"",VLOOKUP($A18,$A$60:$N$175,4,0),"")</f>
        <v>51</v>
      </c>
      <c r="E18" s="348">
        <f t="shared" ref="E18" si="19">IF(A18&lt;&gt;"",VLOOKUP($A18,$A$60:$N$175,5,0),"")</f>
        <v>1000</v>
      </c>
      <c r="F18" s="698">
        <f t="shared" si="4"/>
        <v>49</v>
      </c>
      <c r="G18" s="349">
        <f t="shared" si="5"/>
        <v>-2.3900000000000001E-2</v>
      </c>
      <c r="H18" s="350">
        <f t="shared" si="6"/>
        <v>47.631999999999998</v>
      </c>
      <c r="I18" s="351">
        <f t="shared" si="7"/>
        <v>49</v>
      </c>
      <c r="J18" s="352">
        <f t="shared" si="8"/>
        <v>47.631999999999998</v>
      </c>
      <c r="K18" s="353">
        <f t="shared" si="9"/>
        <v>50.2</v>
      </c>
      <c r="L18" s="354">
        <f t="shared" si="10"/>
        <v>997</v>
      </c>
      <c r="M18" s="353">
        <f t="shared" si="11"/>
        <v>2050</v>
      </c>
      <c r="N18" s="255"/>
      <c r="O18" s="286"/>
      <c r="P18" s="299">
        <v>17</v>
      </c>
      <c r="Q18" s="268"/>
      <c r="R18" s="389"/>
      <c r="S18" s="645"/>
      <c r="T18" s="567"/>
      <c r="U18" s="392"/>
      <c r="V18" s="312"/>
      <c r="W18" s="635"/>
      <c r="X18" s="636"/>
      <c r="Y18" s="637">
        <v>101</v>
      </c>
      <c r="Z18" s="579">
        <f>IFERROR($C18*(1-$V$1)/100*$Y18,"")</f>
        <v>49.591000000000001</v>
      </c>
      <c r="AA18" s="733">
        <f>IFERROR($Z18-$Z19,"")</f>
        <v>1.1800000000000921E-2</v>
      </c>
    </row>
    <row r="19" spans="1:41" ht="12.75" hidden="1" customHeight="1">
      <c r="A19" s="344" t="s">
        <v>18</v>
      </c>
      <c r="B19" s="355">
        <f t="shared" si="0"/>
        <v>45</v>
      </c>
      <c r="C19" s="356">
        <f t="shared" si="1"/>
        <v>56.12</v>
      </c>
      <c r="D19" s="357">
        <f t="shared" si="2"/>
        <v>56.34</v>
      </c>
      <c r="E19" s="358">
        <f t="shared" si="3"/>
        <v>18348</v>
      </c>
      <c r="F19" s="699">
        <f t="shared" si="4"/>
        <v>56.19</v>
      </c>
      <c r="G19" s="359">
        <f t="shared" si="5"/>
        <v>1E-3</v>
      </c>
      <c r="H19" s="360">
        <f t="shared" si="6"/>
        <v>56.08</v>
      </c>
      <c r="I19" s="361">
        <f t="shared" si="7"/>
        <v>56.5</v>
      </c>
      <c r="J19" s="362">
        <f t="shared" si="8"/>
        <v>55.46</v>
      </c>
      <c r="K19" s="363">
        <f t="shared" si="9"/>
        <v>56.13</v>
      </c>
      <c r="L19" s="364">
        <f t="shared" si="10"/>
        <v>2911736</v>
      </c>
      <c r="M19" s="363">
        <f t="shared" si="11"/>
        <v>5208765</v>
      </c>
      <c r="N19" s="265">
        <f t="shared" si="12"/>
        <v>1804</v>
      </c>
      <c r="O19" s="287">
        <f t="shared" si="13"/>
        <v>45378.64702546296</v>
      </c>
      <c r="P19" s="298">
        <v>18</v>
      </c>
      <c r="Q19" s="682"/>
      <c r="R19" s="388"/>
      <c r="S19" s="679"/>
      <c r="T19" s="573"/>
      <c r="U19" s="393">
        <v>0</v>
      </c>
      <c r="V19" s="313"/>
      <c r="W19" s="634"/>
      <c r="X19" s="588"/>
      <c r="Y19" s="673">
        <f>IFERROR(INT($Z18/($D19*(1+$V$1)/100)),0)</f>
        <v>88</v>
      </c>
      <c r="Z19" s="580">
        <f>IFERROR($D19/100*INT($Y19),"")</f>
        <v>49.5792</v>
      </c>
      <c r="AA19" s="734"/>
    </row>
    <row r="20" spans="1:41" ht="12.75" hidden="1" customHeight="1">
      <c r="A20" s="343" t="s">
        <v>17</v>
      </c>
      <c r="B20" s="345">
        <f t="shared" si="0"/>
        <v>634</v>
      </c>
      <c r="C20" s="346">
        <f t="shared" si="1"/>
        <v>52.47</v>
      </c>
      <c r="D20" s="365">
        <f t="shared" si="2"/>
        <v>52.85</v>
      </c>
      <c r="E20" s="366">
        <f t="shared" si="3"/>
        <v>54322</v>
      </c>
      <c r="F20" s="698">
        <f t="shared" si="4"/>
        <v>52.84</v>
      </c>
      <c r="G20" s="349">
        <f t="shared" si="5"/>
        <v>-1E-4</v>
      </c>
      <c r="H20" s="367">
        <f t="shared" si="6"/>
        <v>52.25</v>
      </c>
      <c r="I20" s="368">
        <f t="shared" si="7"/>
        <v>52.85</v>
      </c>
      <c r="J20" s="369">
        <f t="shared" si="8"/>
        <v>52.25</v>
      </c>
      <c r="K20" s="370">
        <f t="shared" si="9"/>
        <v>52.85</v>
      </c>
      <c r="L20" s="371">
        <f t="shared" si="10"/>
        <v>434831</v>
      </c>
      <c r="M20" s="370">
        <f t="shared" si="11"/>
        <v>828785</v>
      </c>
      <c r="N20" s="262">
        <f t="shared" si="12"/>
        <v>216</v>
      </c>
      <c r="O20" s="285">
        <f t="shared" si="13"/>
        <v>45378.645914351851</v>
      </c>
      <c r="P20" s="299">
        <v>19</v>
      </c>
      <c r="Q20" s="683"/>
      <c r="R20" s="386"/>
      <c r="S20" s="678"/>
      <c r="T20" s="572"/>
      <c r="U20" s="392">
        <v>0</v>
      </c>
      <c r="V20" s="312"/>
      <c r="W20" s="668"/>
      <c r="X20" s="589"/>
      <c r="Y20" s="674">
        <f t="shared" ref="Y20" si="20">Y19</f>
        <v>88</v>
      </c>
      <c r="Z20" s="578">
        <f>IFERROR($C20*(1-$V$1)/100*INT($Y20),"")</f>
        <v>46.173599999999993</v>
      </c>
      <c r="AA20" s="735">
        <f>IFERROR($Z20-$Z21,"")</f>
        <v>46.173599999999993</v>
      </c>
    </row>
    <row r="21" spans="1:41" ht="12.75" hidden="1" customHeight="1">
      <c r="A21" s="710" t="s">
        <v>566</v>
      </c>
      <c r="B21" s="396">
        <f t="shared" si="0"/>
        <v>0</v>
      </c>
      <c r="C21" s="397">
        <f t="shared" si="1"/>
        <v>0</v>
      </c>
      <c r="D21" s="398">
        <f t="shared" si="2"/>
        <v>0</v>
      </c>
      <c r="E21" s="399">
        <f t="shared" si="3"/>
        <v>0</v>
      </c>
      <c r="F21" s="700">
        <f t="shared" si="4"/>
        <v>0</v>
      </c>
      <c r="G21" s="400">
        <f t="shared" si="5"/>
        <v>0</v>
      </c>
      <c r="H21" s="401">
        <f t="shared" si="6"/>
        <v>0</v>
      </c>
      <c r="I21" s="402">
        <f t="shared" si="7"/>
        <v>0</v>
      </c>
      <c r="J21" s="403">
        <f t="shared" si="8"/>
        <v>0</v>
      </c>
      <c r="K21" s="404">
        <f t="shared" si="9"/>
        <v>21.007999999999999</v>
      </c>
      <c r="L21" s="405">
        <f t="shared" si="10"/>
        <v>0</v>
      </c>
      <c r="M21" s="404">
        <f t="shared" si="11"/>
        <v>0</v>
      </c>
      <c r="N21" s="406">
        <f t="shared" si="12"/>
        <v>0</v>
      </c>
      <c r="O21" s="417">
        <f t="shared" si="13"/>
        <v>0</v>
      </c>
      <c r="P21" s="298">
        <v>20</v>
      </c>
      <c r="Q21" s="408"/>
      <c r="R21" s="418"/>
      <c r="S21" s="646"/>
      <c r="T21" s="568"/>
      <c r="U21" s="270">
        <v>0</v>
      </c>
      <c r="V21" s="313"/>
      <c r="W21" s="490"/>
      <c r="X21" s="587"/>
      <c r="Y21" s="714">
        <f>IFERROR($Z20/($D21*(1+$V$1)/100),0)</f>
        <v>0</v>
      </c>
      <c r="Z21" s="590">
        <f>IFERROR($D21/100*INT($Y21),"")</f>
        <v>0</v>
      </c>
      <c r="AA21" s="741"/>
    </row>
    <row r="22" spans="1:41" ht="12.75" customHeight="1">
      <c r="A22" s="685" t="s">
        <v>13</v>
      </c>
      <c r="B22" s="723">
        <f t="shared" si="0"/>
        <v>16480</v>
      </c>
      <c r="C22" s="329">
        <f t="shared" si="1"/>
        <v>54250</v>
      </c>
      <c r="D22" s="329">
        <f t="shared" si="2"/>
        <v>54270</v>
      </c>
      <c r="E22" s="723">
        <f t="shared" si="3"/>
        <v>45516</v>
      </c>
      <c r="F22" s="324">
        <f t="shared" si="4"/>
        <v>54250</v>
      </c>
      <c r="G22" s="349">
        <f t="shared" si="5"/>
        <v>-2.3E-3</v>
      </c>
      <c r="H22" s="350">
        <f t="shared" si="6"/>
        <v>54800</v>
      </c>
      <c r="I22" s="351">
        <f t="shared" si="7"/>
        <v>54920</v>
      </c>
      <c r="J22" s="352">
        <f t="shared" si="8"/>
        <v>54010</v>
      </c>
      <c r="K22" s="353">
        <f t="shared" si="9"/>
        <v>54380</v>
      </c>
      <c r="L22" s="354">
        <f t="shared" si="10"/>
        <v>91775172553</v>
      </c>
      <c r="M22" s="605">
        <f t="shared" si="11"/>
        <v>168775546</v>
      </c>
      <c r="N22" s="255">
        <f t="shared" si="12"/>
        <v>71497</v>
      </c>
      <c r="O22" s="288">
        <f t="shared" si="13"/>
        <v>45378.647210648145</v>
      </c>
      <c r="P22" s="299">
        <v>21</v>
      </c>
      <c r="Q22" s="640"/>
      <c r="R22" s="621"/>
      <c r="S22" s="643"/>
      <c r="T22" s="567"/>
      <c r="U22" s="618"/>
      <c r="V22" s="312"/>
      <c r="W22" s="632"/>
      <c r="X22" s="586"/>
      <c r="Y22" s="633" t="str">
        <f t="shared" ref="Y22:Y44" si="21">IF(V22&gt;0,V22,"")</f>
        <v/>
      </c>
      <c r="Z22" s="586">
        <f>C22/100*V22-(X22*V22)</f>
        <v>0</v>
      </c>
      <c r="AA22" s="692" t="str">
        <f>IF(V22&lt;&gt;0,F22/100*V22,"")</f>
        <v/>
      </c>
    </row>
    <row r="23" spans="1:41" ht="12.75" customHeight="1">
      <c r="A23" s="686" t="s">
        <v>13</v>
      </c>
      <c r="B23" s="724">
        <f t="shared" si="0"/>
        <v>16480</v>
      </c>
      <c r="C23" s="328">
        <f t="shared" si="1"/>
        <v>54250</v>
      </c>
      <c r="D23" s="684">
        <f t="shared" si="2"/>
        <v>54270</v>
      </c>
      <c r="E23" s="724">
        <f t="shared" si="3"/>
        <v>45516</v>
      </c>
      <c r="F23" s="689">
        <f t="shared" si="4"/>
        <v>54250</v>
      </c>
      <c r="G23" s="359">
        <f t="shared" si="5"/>
        <v>-2.3E-3</v>
      </c>
      <c r="H23" s="372">
        <f t="shared" si="6"/>
        <v>54800</v>
      </c>
      <c r="I23" s="373">
        <f t="shared" si="7"/>
        <v>54920</v>
      </c>
      <c r="J23" s="374">
        <f t="shared" si="8"/>
        <v>54010</v>
      </c>
      <c r="K23" s="375">
        <f t="shared" si="9"/>
        <v>54380</v>
      </c>
      <c r="L23" s="376">
        <f t="shared" si="10"/>
        <v>91775172553</v>
      </c>
      <c r="M23" s="607">
        <f t="shared" si="11"/>
        <v>168775546</v>
      </c>
      <c r="N23" s="235">
        <f t="shared" si="12"/>
        <v>71497</v>
      </c>
      <c r="O23" s="289">
        <f t="shared" si="13"/>
        <v>45378.647210648145</v>
      </c>
      <c r="P23" s="298">
        <v>22</v>
      </c>
      <c r="Q23" s="266"/>
      <c r="R23" s="385"/>
      <c r="S23" s="644"/>
      <c r="T23" s="569"/>
      <c r="U23" s="619"/>
      <c r="V23" s="313"/>
      <c r="W23" s="634"/>
      <c r="X23" s="588"/>
      <c r="Y23" s="715" t="str">
        <f t="shared" si="21"/>
        <v/>
      </c>
      <c r="Z23" s="638">
        <f t="shared" ref="Z23:Z29" si="22">C23/100*V23-(X23*V23)</f>
        <v>0</v>
      </c>
      <c r="AA23" s="691" t="str">
        <f t="shared" ref="AA23:AA29" si="23">IF(V23&lt;&gt;0,F23/100*V23,"")</f>
        <v/>
      </c>
    </row>
    <row r="24" spans="1:41" ht="12.75" customHeight="1">
      <c r="A24" s="324" t="s">
        <v>13</v>
      </c>
      <c r="B24" s="723">
        <f t="shared" si="0"/>
        <v>16480</v>
      </c>
      <c r="C24" s="329">
        <f t="shared" si="1"/>
        <v>54250</v>
      </c>
      <c r="D24" s="329">
        <f t="shared" si="2"/>
        <v>54270</v>
      </c>
      <c r="E24" s="723">
        <f t="shared" si="3"/>
        <v>45516</v>
      </c>
      <c r="F24" s="324">
        <f t="shared" si="4"/>
        <v>54250</v>
      </c>
      <c r="G24" s="349">
        <f t="shared" si="5"/>
        <v>-2.3E-3</v>
      </c>
      <c r="H24" s="350">
        <f t="shared" si="6"/>
        <v>54800</v>
      </c>
      <c r="I24" s="227">
        <f t="shared" si="7"/>
        <v>54920</v>
      </c>
      <c r="J24" s="352">
        <f t="shared" si="8"/>
        <v>54010</v>
      </c>
      <c r="K24" s="353">
        <f t="shared" si="9"/>
        <v>54380</v>
      </c>
      <c r="L24" s="354">
        <f t="shared" si="10"/>
        <v>91775172553</v>
      </c>
      <c r="M24" s="606">
        <f t="shared" si="11"/>
        <v>168775546</v>
      </c>
      <c r="N24" s="255">
        <f t="shared" si="12"/>
        <v>71497</v>
      </c>
      <c r="O24" s="288">
        <f t="shared" si="13"/>
        <v>45378.647210648145</v>
      </c>
      <c r="P24" s="299">
        <v>23</v>
      </c>
      <c r="Q24" s="268"/>
      <c r="R24" s="384"/>
      <c r="S24" s="645"/>
      <c r="T24" s="567"/>
      <c r="U24" s="618"/>
      <c r="V24" s="312"/>
      <c r="W24" s="635"/>
      <c r="X24" s="636"/>
      <c r="Y24" s="637" t="str">
        <f t="shared" si="21"/>
        <v/>
      </c>
      <c r="Z24" s="639">
        <f t="shared" si="22"/>
        <v>0</v>
      </c>
      <c r="AA24" s="692" t="str">
        <f t="shared" si="23"/>
        <v/>
      </c>
    </row>
    <row r="25" spans="1:41" ht="12.75" customHeight="1">
      <c r="A25" s="688" t="s">
        <v>13</v>
      </c>
      <c r="B25" s="725">
        <f t="shared" si="0"/>
        <v>16480</v>
      </c>
      <c r="C25" s="690">
        <f t="shared" si="1"/>
        <v>54250</v>
      </c>
      <c r="D25" s="687">
        <f t="shared" si="2"/>
        <v>54270</v>
      </c>
      <c r="E25" s="725">
        <f t="shared" si="3"/>
        <v>45516</v>
      </c>
      <c r="F25" s="688">
        <f t="shared" si="4"/>
        <v>54250</v>
      </c>
      <c r="G25" s="400">
        <f t="shared" si="5"/>
        <v>-2.3E-3</v>
      </c>
      <c r="H25" s="401">
        <f t="shared" si="6"/>
        <v>54800</v>
      </c>
      <c r="I25" s="402">
        <f t="shared" si="7"/>
        <v>54920</v>
      </c>
      <c r="J25" s="403">
        <f t="shared" si="8"/>
        <v>54010</v>
      </c>
      <c r="K25" s="404">
        <f t="shared" si="9"/>
        <v>54380</v>
      </c>
      <c r="L25" s="405">
        <f t="shared" si="10"/>
        <v>91775172553</v>
      </c>
      <c r="M25" s="608">
        <f t="shared" si="11"/>
        <v>168775546</v>
      </c>
      <c r="N25" s="406">
        <f t="shared" si="12"/>
        <v>71497</v>
      </c>
      <c r="O25" s="407">
        <f t="shared" si="13"/>
        <v>45378.647210648145</v>
      </c>
      <c r="P25" s="298">
        <v>24</v>
      </c>
      <c r="Q25" s="408"/>
      <c r="R25" s="409"/>
      <c r="S25" s="646"/>
      <c r="T25" s="575"/>
      <c r="U25" s="620"/>
      <c r="V25" s="610"/>
      <c r="W25" s="490"/>
      <c r="X25" s="587"/>
      <c r="Y25" s="716" t="str">
        <f t="shared" si="21"/>
        <v/>
      </c>
      <c r="Z25" s="489">
        <f t="shared" si="22"/>
        <v>0</v>
      </c>
      <c r="AA25" s="693" t="str">
        <f t="shared" si="23"/>
        <v/>
      </c>
    </row>
    <row r="26" spans="1:41" ht="12.75" customHeight="1">
      <c r="A26" s="685" t="s">
        <v>13</v>
      </c>
      <c r="B26" s="723">
        <f t="shared" si="0"/>
        <v>16480</v>
      </c>
      <c r="C26" s="329">
        <f t="shared" si="1"/>
        <v>54250</v>
      </c>
      <c r="D26" s="329">
        <f t="shared" si="2"/>
        <v>54270</v>
      </c>
      <c r="E26" s="723">
        <f t="shared" si="3"/>
        <v>45516</v>
      </c>
      <c r="F26" s="324">
        <f t="shared" si="4"/>
        <v>54250</v>
      </c>
      <c r="G26" s="330">
        <f t="shared" si="5"/>
        <v>-2.3E-3</v>
      </c>
      <c r="H26" s="238">
        <f t="shared" si="6"/>
        <v>54800</v>
      </c>
      <c r="I26" s="230">
        <f t="shared" si="7"/>
        <v>54920</v>
      </c>
      <c r="J26" s="294">
        <f t="shared" si="8"/>
        <v>54010</v>
      </c>
      <c r="K26" s="234">
        <f t="shared" si="9"/>
        <v>54380</v>
      </c>
      <c r="L26" s="255">
        <f t="shared" si="10"/>
        <v>91775172553</v>
      </c>
      <c r="M26" s="605">
        <f t="shared" si="11"/>
        <v>168775546</v>
      </c>
      <c r="N26" s="255">
        <f t="shared" si="12"/>
        <v>71497</v>
      </c>
      <c r="O26" s="286">
        <f t="shared" si="13"/>
        <v>45378.647210648145</v>
      </c>
      <c r="P26" s="299">
        <v>25</v>
      </c>
      <c r="Q26" s="640"/>
      <c r="R26" s="384"/>
      <c r="S26" s="643"/>
      <c r="T26" s="567"/>
      <c r="U26" s="618"/>
      <c r="V26" s="726"/>
      <c r="W26" s="635"/>
      <c r="X26" s="636"/>
      <c r="Y26" s="637" t="str">
        <f t="shared" si="21"/>
        <v/>
      </c>
      <c r="Z26" s="639">
        <f t="shared" si="22"/>
        <v>0</v>
      </c>
      <c r="AA26" s="692" t="str">
        <f t="shared" si="23"/>
        <v/>
      </c>
      <c r="AC26" s="226"/>
    </row>
    <row r="27" spans="1:41" ht="12.75" customHeight="1">
      <c r="A27" s="730" t="s">
        <v>13</v>
      </c>
      <c r="B27" s="724">
        <f t="shared" si="0"/>
        <v>16480</v>
      </c>
      <c r="C27" s="328">
        <f t="shared" si="1"/>
        <v>54250</v>
      </c>
      <c r="D27" s="684">
        <f t="shared" si="2"/>
        <v>54270</v>
      </c>
      <c r="E27" s="724">
        <f t="shared" si="3"/>
        <v>45516</v>
      </c>
      <c r="F27" s="689">
        <f t="shared" si="4"/>
        <v>54250</v>
      </c>
      <c r="G27" s="331">
        <f t="shared" si="5"/>
        <v>-2.3E-3</v>
      </c>
      <c r="H27" s="593">
        <f t="shared" si="6"/>
        <v>54800</v>
      </c>
      <c r="I27" s="594">
        <f t="shared" si="7"/>
        <v>54920</v>
      </c>
      <c r="J27" s="595">
        <f t="shared" si="8"/>
        <v>54010</v>
      </c>
      <c r="K27" s="596">
        <f t="shared" si="9"/>
        <v>54380</v>
      </c>
      <c r="L27" s="597">
        <f t="shared" si="10"/>
        <v>91775172553</v>
      </c>
      <c r="M27" s="607">
        <f t="shared" si="11"/>
        <v>168775546</v>
      </c>
      <c r="N27" s="597">
        <f t="shared" si="12"/>
        <v>71497</v>
      </c>
      <c r="O27" s="598">
        <f t="shared" si="13"/>
        <v>45378.647210648145</v>
      </c>
      <c r="P27" s="298">
        <v>26</v>
      </c>
      <c r="Q27" s="641"/>
      <c r="R27" s="599"/>
      <c r="S27" s="644"/>
      <c r="T27" s="569"/>
      <c r="U27" s="619"/>
      <c r="V27" s="727"/>
      <c r="W27" s="634"/>
      <c r="X27" s="588"/>
      <c r="Y27" s="715" t="str">
        <f t="shared" si="21"/>
        <v/>
      </c>
      <c r="Z27" s="638">
        <f t="shared" si="22"/>
        <v>0</v>
      </c>
      <c r="AA27" s="691" t="str">
        <f t="shared" si="23"/>
        <v/>
      </c>
    </row>
    <row r="28" spans="1:41" ht="12.75" customHeight="1">
      <c r="A28" s="729" t="s">
        <v>13</v>
      </c>
      <c r="B28" s="723">
        <f t="shared" si="0"/>
        <v>16480</v>
      </c>
      <c r="C28" s="329">
        <f t="shared" si="1"/>
        <v>54250</v>
      </c>
      <c r="D28" s="329">
        <f t="shared" si="2"/>
        <v>54270</v>
      </c>
      <c r="E28" s="723">
        <f t="shared" si="3"/>
        <v>45516</v>
      </c>
      <c r="F28" s="324">
        <f t="shared" si="4"/>
        <v>54250</v>
      </c>
      <c r="G28" s="330">
        <f t="shared" si="5"/>
        <v>-2.3E-3</v>
      </c>
      <c r="H28" s="236">
        <f t="shared" si="6"/>
        <v>54800</v>
      </c>
      <c r="I28" s="227">
        <f t="shared" si="7"/>
        <v>54920</v>
      </c>
      <c r="J28" s="227">
        <f t="shared" si="8"/>
        <v>54010</v>
      </c>
      <c r="K28" s="231">
        <f t="shared" si="9"/>
        <v>54380</v>
      </c>
      <c r="L28" s="262">
        <f t="shared" si="10"/>
        <v>91775172553</v>
      </c>
      <c r="M28" s="606">
        <f t="shared" si="11"/>
        <v>168775546</v>
      </c>
      <c r="N28" s="262">
        <f t="shared" si="12"/>
        <v>71497</v>
      </c>
      <c r="O28" s="285">
        <f t="shared" si="13"/>
        <v>45378.647210648145</v>
      </c>
      <c r="P28" s="299">
        <v>27</v>
      </c>
      <c r="Q28" s="642"/>
      <c r="R28" s="386"/>
      <c r="S28" s="645"/>
      <c r="T28" s="567"/>
      <c r="U28" s="618"/>
      <c r="V28" s="726"/>
      <c r="W28" s="635"/>
      <c r="X28" s="636"/>
      <c r="Y28" s="637" t="str">
        <f t="shared" si="21"/>
        <v/>
      </c>
      <c r="Z28" s="639">
        <f t="shared" si="22"/>
        <v>0</v>
      </c>
      <c r="AA28" s="692" t="str">
        <f t="shared" si="23"/>
        <v/>
      </c>
    </row>
    <row r="29" spans="1:41" ht="12.75" customHeight="1">
      <c r="A29" s="731" t="s">
        <v>13</v>
      </c>
      <c r="B29" s="725">
        <f t="shared" si="0"/>
        <v>16480</v>
      </c>
      <c r="C29" s="690">
        <f t="shared" si="1"/>
        <v>54250</v>
      </c>
      <c r="D29" s="687">
        <f t="shared" si="2"/>
        <v>54270</v>
      </c>
      <c r="E29" s="725">
        <f t="shared" si="3"/>
        <v>45516</v>
      </c>
      <c r="F29" s="688">
        <f t="shared" si="4"/>
        <v>54250</v>
      </c>
      <c r="G29" s="412">
        <f t="shared" si="5"/>
        <v>-2.3E-3</v>
      </c>
      <c r="H29" s="413">
        <f t="shared" si="6"/>
        <v>54800</v>
      </c>
      <c r="I29" s="414">
        <f t="shared" si="7"/>
        <v>54920</v>
      </c>
      <c r="J29" s="415">
        <f t="shared" si="8"/>
        <v>54010</v>
      </c>
      <c r="K29" s="416">
        <f t="shared" si="9"/>
        <v>54380</v>
      </c>
      <c r="L29" s="406">
        <f t="shared" si="10"/>
        <v>91775172553</v>
      </c>
      <c r="M29" s="608">
        <f t="shared" si="11"/>
        <v>168775546</v>
      </c>
      <c r="N29" s="406">
        <f t="shared" si="12"/>
        <v>71497</v>
      </c>
      <c r="O29" s="417">
        <f t="shared" si="13"/>
        <v>45378.647210648145</v>
      </c>
      <c r="P29" s="298">
        <v>28</v>
      </c>
      <c r="Q29" s="408"/>
      <c r="R29" s="418"/>
      <c r="S29" s="646"/>
      <c r="T29" s="568"/>
      <c r="U29" s="619"/>
      <c r="V29" s="728"/>
      <c r="W29" s="490"/>
      <c r="X29" s="587"/>
      <c r="Y29" s="716" t="str">
        <f t="shared" si="21"/>
        <v/>
      </c>
      <c r="Z29" s="489">
        <f t="shared" si="22"/>
        <v>0</v>
      </c>
      <c r="AA29" s="693" t="str">
        <f t="shared" si="23"/>
        <v/>
      </c>
    </row>
    <row r="30" spans="1:41" ht="12.75" customHeight="1">
      <c r="A30" s="558" t="s">
        <v>590</v>
      </c>
      <c r="B30" s="251"/>
      <c r="C30" s="321">
        <v>129.77000000000001</v>
      </c>
      <c r="D30" s="259"/>
      <c r="E30" s="251"/>
      <c r="F30" s="695">
        <v>129.77000000000001</v>
      </c>
      <c r="G30" s="330"/>
      <c r="H30" s="238"/>
      <c r="I30" s="230"/>
      <c r="J30" s="294"/>
      <c r="K30" s="234"/>
      <c r="L30" s="255"/>
      <c r="M30" s="609"/>
      <c r="N30" s="583">
        <v>77</v>
      </c>
      <c r="O30" s="288">
        <v>45377.640717592592</v>
      </c>
      <c r="P30" s="299">
        <v>29</v>
      </c>
      <c r="Q30" s="648"/>
      <c r="R30" s="384"/>
      <c r="S30" s="643"/>
      <c r="T30" s="567"/>
      <c r="U30" s="722"/>
      <c r="V30" s="726"/>
      <c r="W30" s="647"/>
      <c r="X30" s="586"/>
      <c r="Y30" s="717" t="str">
        <f t="shared" si="21"/>
        <v/>
      </c>
      <c r="Z30" s="655">
        <f t="shared" ref="Z30:Z44" si="24">C30*100*V30-(X30*V30)</f>
        <v>0</v>
      </c>
      <c r="AA30" s="692" t="str">
        <f>IF(V30&lt;&gt;0,F30*100*V30,"")</f>
        <v/>
      </c>
    </row>
    <row r="31" spans="1:41" ht="12.75" customHeight="1">
      <c r="A31" s="559" t="s">
        <v>591</v>
      </c>
      <c r="B31" s="563"/>
      <c r="C31" s="239">
        <v>86.34</v>
      </c>
      <c r="D31" s="239"/>
      <c r="E31" s="563"/>
      <c r="F31" s="701">
        <v>86.34</v>
      </c>
      <c r="G31" s="332"/>
      <c r="H31" s="237"/>
      <c r="I31" s="228"/>
      <c r="J31" s="292"/>
      <c r="K31" s="232"/>
      <c r="L31" s="235"/>
      <c r="M31" s="235"/>
      <c r="N31" s="584">
        <v>266</v>
      </c>
      <c r="O31" s="289">
        <v>45377.650416666664</v>
      </c>
      <c r="P31" s="298">
        <v>30</v>
      </c>
      <c r="Q31" s="649"/>
      <c r="R31" s="385"/>
      <c r="S31" s="644"/>
      <c r="T31" s="569"/>
      <c r="U31" s="619"/>
      <c r="V31" s="727">
        <v>0</v>
      </c>
      <c r="W31" s="634"/>
      <c r="X31" s="588"/>
      <c r="Y31" s="660" t="str">
        <f t="shared" si="21"/>
        <v/>
      </c>
      <c r="Z31" s="656">
        <f t="shared" si="24"/>
        <v>0</v>
      </c>
      <c r="AA31" s="691" t="str">
        <f t="shared" ref="AA31:AA44" si="25">IF(V31&lt;&gt;0,F31*100*V31,"")</f>
        <v/>
      </c>
    </row>
    <row r="32" spans="1:41" ht="12.75" customHeight="1">
      <c r="A32" s="558" t="s">
        <v>592</v>
      </c>
      <c r="B32" s="251"/>
      <c r="C32" s="321">
        <v>40.01</v>
      </c>
      <c r="D32" s="259"/>
      <c r="E32" s="251"/>
      <c r="F32" s="695">
        <v>40.01</v>
      </c>
      <c r="G32" s="330"/>
      <c r="H32" s="241"/>
      <c r="I32" s="229"/>
      <c r="J32" s="297"/>
      <c r="K32" s="233"/>
      <c r="L32" s="250"/>
      <c r="M32" s="250"/>
      <c r="N32" s="585">
        <v>148</v>
      </c>
      <c r="O32" s="290">
        <v>45377.663206018522</v>
      </c>
      <c r="P32" s="299">
        <v>31</v>
      </c>
      <c r="Q32" s="650"/>
      <c r="R32" s="566"/>
      <c r="S32" s="652"/>
      <c r="T32" s="570"/>
      <c r="U32" s="722"/>
      <c r="V32" s="726"/>
      <c r="W32" s="647"/>
      <c r="X32" s="586"/>
      <c r="Y32" s="661" t="str">
        <f t="shared" si="21"/>
        <v/>
      </c>
      <c r="Z32" s="657">
        <f t="shared" si="24"/>
        <v>0</v>
      </c>
      <c r="AA32" s="692" t="str">
        <f t="shared" si="25"/>
        <v/>
      </c>
    </row>
    <row r="33" spans="1:27" ht="12.75" customHeight="1">
      <c r="A33" s="559" t="s">
        <v>593</v>
      </c>
      <c r="B33" s="563"/>
      <c r="C33" s="239">
        <v>22.03</v>
      </c>
      <c r="D33" s="239"/>
      <c r="E33" s="563"/>
      <c r="F33" s="701">
        <v>22.03</v>
      </c>
      <c r="G33" s="332"/>
      <c r="H33" s="237"/>
      <c r="I33" s="228"/>
      <c r="J33" s="292"/>
      <c r="K33" s="232"/>
      <c r="L33" s="235"/>
      <c r="M33" s="235"/>
      <c r="N33" s="584">
        <v>286</v>
      </c>
      <c r="O33" s="289">
        <v>45377.66269675926</v>
      </c>
      <c r="P33" s="298">
        <v>32</v>
      </c>
      <c r="Q33" s="649"/>
      <c r="R33" s="385"/>
      <c r="S33" s="644"/>
      <c r="T33" s="569"/>
      <c r="U33" s="619"/>
      <c r="V33" s="727"/>
      <c r="W33" s="634"/>
      <c r="X33" s="588"/>
      <c r="Y33" s="660" t="str">
        <f t="shared" si="21"/>
        <v/>
      </c>
      <c r="Z33" s="656">
        <f t="shared" si="24"/>
        <v>0</v>
      </c>
      <c r="AA33" s="691" t="str">
        <f t="shared" si="25"/>
        <v/>
      </c>
    </row>
    <row r="34" spans="1:27" ht="12.75" customHeight="1">
      <c r="A34" s="558" t="s">
        <v>594</v>
      </c>
      <c r="B34" s="251"/>
      <c r="C34" s="321">
        <v>12.5</v>
      </c>
      <c r="D34" s="259"/>
      <c r="E34" s="251"/>
      <c r="F34" s="695">
        <v>12.5</v>
      </c>
      <c r="G34" s="330"/>
      <c r="H34" s="241"/>
      <c r="I34" s="229"/>
      <c r="J34" s="297"/>
      <c r="K34" s="233"/>
      <c r="L34" s="250"/>
      <c r="M34" s="250"/>
      <c r="N34" s="585">
        <v>391</v>
      </c>
      <c r="O34" s="290">
        <v>45377.663217592592</v>
      </c>
      <c r="P34" s="299">
        <v>33</v>
      </c>
      <c r="Q34" s="650"/>
      <c r="R34" s="566"/>
      <c r="S34" s="652"/>
      <c r="T34" s="570"/>
      <c r="U34" s="722"/>
      <c r="V34" s="726"/>
      <c r="W34" s="647"/>
      <c r="X34" s="586"/>
      <c r="Y34" s="661" t="str">
        <f t="shared" si="21"/>
        <v/>
      </c>
      <c r="Z34" s="657">
        <f t="shared" si="24"/>
        <v>0</v>
      </c>
      <c r="AA34" s="692" t="str">
        <f t="shared" si="25"/>
        <v/>
      </c>
    </row>
    <row r="35" spans="1:27" ht="12.75" customHeight="1">
      <c r="A35" s="559" t="s">
        <v>595</v>
      </c>
      <c r="B35" s="563"/>
      <c r="C35" s="239">
        <v>8.15</v>
      </c>
      <c r="D35" s="239"/>
      <c r="E35" s="563"/>
      <c r="F35" s="701">
        <v>8.15</v>
      </c>
      <c r="G35" s="332"/>
      <c r="H35" s="237"/>
      <c r="I35" s="228"/>
      <c r="J35" s="292"/>
      <c r="K35" s="232"/>
      <c r="L35" s="235"/>
      <c r="M35" s="235"/>
      <c r="N35" s="584">
        <v>522</v>
      </c>
      <c r="O35" s="289">
        <v>45377.663043981483</v>
      </c>
      <c r="P35" s="298">
        <v>34</v>
      </c>
      <c r="Q35" s="649"/>
      <c r="R35" s="385"/>
      <c r="S35" s="644"/>
      <c r="T35" s="569"/>
      <c r="U35" s="619"/>
      <c r="V35" s="727"/>
      <c r="W35" s="634"/>
      <c r="X35" s="588"/>
      <c r="Y35" s="501" t="str">
        <f t="shared" si="21"/>
        <v/>
      </c>
      <c r="Z35" s="638">
        <f t="shared" si="24"/>
        <v>0</v>
      </c>
      <c r="AA35" s="691" t="str">
        <f t="shared" si="25"/>
        <v/>
      </c>
    </row>
    <row r="36" spans="1:27" ht="12.75" customHeight="1">
      <c r="A36" s="558" t="s">
        <v>596</v>
      </c>
      <c r="B36" s="251"/>
      <c r="C36" s="321">
        <v>5.59</v>
      </c>
      <c r="D36" s="259"/>
      <c r="E36" s="251"/>
      <c r="F36" s="695">
        <v>5.59</v>
      </c>
      <c r="G36" s="330"/>
      <c r="H36" s="241"/>
      <c r="I36" s="229"/>
      <c r="J36" s="297"/>
      <c r="K36" s="233"/>
      <c r="L36" s="250"/>
      <c r="M36" s="250"/>
      <c r="N36" s="585">
        <v>2331</v>
      </c>
      <c r="O36" s="290">
        <v>45377.662754629629</v>
      </c>
      <c r="P36" s="299">
        <v>35</v>
      </c>
      <c r="Q36" s="650"/>
      <c r="R36" s="566"/>
      <c r="S36" s="652"/>
      <c r="T36" s="570"/>
      <c r="U36" s="722"/>
      <c r="V36" s="726"/>
      <c r="W36" s="647"/>
      <c r="X36" s="586"/>
      <c r="Y36" s="488" t="str">
        <f t="shared" si="21"/>
        <v/>
      </c>
      <c r="Z36" s="639">
        <f t="shared" si="24"/>
        <v>0</v>
      </c>
      <c r="AA36" s="692" t="str">
        <f t="shared" si="25"/>
        <v/>
      </c>
    </row>
    <row r="37" spans="1:27" ht="12.75" customHeight="1">
      <c r="A37" s="559" t="s">
        <v>597</v>
      </c>
      <c r="B37" s="563"/>
      <c r="C37" s="239">
        <v>4.3899999999999997</v>
      </c>
      <c r="D37" s="239"/>
      <c r="E37" s="563"/>
      <c r="F37" s="701">
        <v>4.3899999999999997</v>
      </c>
      <c r="G37" s="332"/>
      <c r="H37" s="237"/>
      <c r="I37" s="228"/>
      <c r="J37" s="292"/>
      <c r="K37" s="232"/>
      <c r="L37" s="235"/>
      <c r="M37" s="235"/>
      <c r="N37" s="584">
        <v>701</v>
      </c>
      <c r="O37" s="289">
        <v>45377.662939814814</v>
      </c>
      <c r="P37" s="298">
        <v>36</v>
      </c>
      <c r="Q37" s="649"/>
      <c r="R37" s="385"/>
      <c r="S37" s="644"/>
      <c r="T37" s="569"/>
      <c r="U37" s="619"/>
      <c r="V37" s="727"/>
      <c r="W37" s="634"/>
      <c r="X37" s="588"/>
      <c r="Y37" s="660" t="str">
        <f t="shared" si="21"/>
        <v/>
      </c>
      <c r="Z37" s="656">
        <f t="shared" si="24"/>
        <v>0</v>
      </c>
      <c r="AA37" s="691" t="str">
        <f t="shared" si="25"/>
        <v/>
      </c>
    </row>
    <row r="38" spans="1:27" ht="12.75" customHeight="1">
      <c r="A38" s="558" t="s">
        <v>598</v>
      </c>
      <c r="B38" s="251"/>
      <c r="C38" s="321">
        <v>3.36</v>
      </c>
      <c r="D38" s="259"/>
      <c r="E38" s="251"/>
      <c r="F38" s="695">
        <v>3.36</v>
      </c>
      <c r="G38" s="330"/>
      <c r="H38" s="241"/>
      <c r="I38" s="229"/>
      <c r="J38" s="297"/>
      <c r="K38" s="233"/>
      <c r="L38" s="250"/>
      <c r="M38" s="250"/>
      <c r="N38" s="585">
        <v>686</v>
      </c>
      <c r="O38" s="290">
        <v>45377.662488425929</v>
      </c>
      <c r="P38" s="299">
        <v>37</v>
      </c>
      <c r="Q38" s="650"/>
      <c r="R38" s="566"/>
      <c r="S38" s="653"/>
      <c r="T38" s="570"/>
      <c r="U38" s="722"/>
      <c r="V38" s="726"/>
      <c r="W38" s="647"/>
      <c r="X38" s="586"/>
      <c r="Y38" s="661" t="str">
        <f t="shared" si="21"/>
        <v/>
      </c>
      <c r="Z38" s="657">
        <f t="shared" si="24"/>
        <v>0</v>
      </c>
      <c r="AA38" s="692" t="str">
        <f t="shared" si="25"/>
        <v/>
      </c>
    </row>
    <row r="39" spans="1:27" ht="12.75" customHeight="1">
      <c r="A39" s="795" t="s">
        <v>599</v>
      </c>
      <c r="B39" s="796"/>
      <c r="C39" s="775">
        <v>3.18</v>
      </c>
      <c r="D39" s="775"/>
      <c r="E39" s="796"/>
      <c r="F39" s="777">
        <v>3.18</v>
      </c>
      <c r="G39" s="778"/>
      <c r="H39" s="779"/>
      <c r="I39" s="780"/>
      <c r="J39" s="781"/>
      <c r="K39" s="782"/>
      <c r="L39" s="783"/>
      <c r="M39" s="783"/>
      <c r="N39" s="797">
        <v>212</v>
      </c>
      <c r="O39" s="784">
        <v>45377.659930555557</v>
      </c>
      <c r="P39" s="798">
        <v>38</v>
      </c>
      <c r="Q39" s="799"/>
      <c r="R39" s="787"/>
      <c r="S39" s="788"/>
      <c r="T39" s="789"/>
      <c r="U39" s="619"/>
      <c r="V39" s="727"/>
      <c r="W39" s="790"/>
      <c r="X39" s="791"/>
      <c r="Y39" s="800" t="str">
        <f t="shared" si="21"/>
        <v/>
      </c>
      <c r="Z39" s="801">
        <f t="shared" si="24"/>
        <v>0</v>
      </c>
      <c r="AA39" s="794" t="str">
        <f t="shared" si="25"/>
        <v/>
      </c>
    </row>
    <row r="40" spans="1:27" ht="12.75" customHeight="1">
      <c r="A40" s="558" t="s">
        <v>629</v>
      </c>
      <c r="B40" s="251"/>
      <c r="C40" s="321"/>
      <c r="D40" s="259"/>
      <c r="E40" s="251"/>
      <c r="F40" s="695"/>
      <c r="G40" s="330"/>
      <c r="H40" s="238"/>
      <c r="I40" s="230"/>
      <c r="J40" s="294"/>
      <c r="K40" s="234"/>
      <c r="L40" s="255"/>
      <c r="M40" s="255"/>
      <c r="N40" s="583">
        <v>325</v>
      </c>
      <c r="O40" s="288">
        <v>45377.660624999997</v>
      </c>
      <c r="P40" s="299">
        <v>39</v>
      </c>
      <c r="Q40" s="772"/>
      <c r="R40" s="384"/>
      <c r="S40" s="645"/>
      <c r="T40" s="567"/>
      <c r="U40" s="722"/>
      <c r="V40" s="726"/>
      <c r="W40" s="635"/>
      <c r="X40" s="636"/>
      <c r="Y40" s="718" t="str">
        <f t="shared" si="21"/>
        <v/>
      </c>
      <c r="Z40" s="659">
        <f t="shared" si="24"/>
        <v>0</v>
      </c>
      <c r="AA40" s="692" t="str">
        <f t="shared" si="25"/>
        <v/>
      </c>
    </row>
    <row r="41" spans="1:27" ht="12.75" customHeight="1">
      <c r="A41" s="559" t="s">
        <v>630</v>
      </c>
      <c r="B41" s="563"/>
      <c r="C41" s="239">
        <v>383.5</v>
      </c>
      <c r="D41" s="239"/>
      <c r="E41" s="563"/>
      <c r="F41" s="701">
        <v>383.5</v>
      </c>
      <c r="G41" s="332"/>
      <c r="H41" s="237"/>
      <c r="I41" s="228"/>
      <c r="J41" s="292"/>
      <c r="K41" s="232"/>
      <c r="L41" s="235"/>
      <c r="M41" s="235"/>
      <c r="N41" s="584">
        <v>267</v>
      </c>
      <c r="O41" s="289">
        <v>45377.659594907411</v>
      </c>
      <c r="P41" s="298">
        <v>40</v>
      </c>
      <c r="Q41" s="649"/>
      <c r="R41" s="385"/>
      <c r="S41" s="644"/>
      <c r="T41" s="569"/>
      <c r="U41" s="619"/>
      <c r="V41" s="727"/>
      <c r="W41" s="634"/>
      <c r="X41" s="588"/>
      <c r="Y41" s="662" t="str">
        <f t="shared" si="21"/>
        <v/>
      </c>
      <c r="Z41" s="658">
        <f t="shared" si="24"/>
        <v>0</v>
      </c>
      <c r="AA41" s="691" t="str">
        <f t="shared" si="25"/>
        <v/>
      </c>
    </row>
    <row r="42" spans="1:27" ht="12.75" customHeight="1">
      <c r="A42" s="558" t="s">
        <v>631</v>
      </c>
      <c r="B42" s="251"/>
      <c r="C42" s="500">
        <v>270</v>
      </c>
      <c r="D42" s="500"/>
      <c r="E42" s="251"/>
      <c r="F42" s="702">
        <v>270</v>
      </c>
      <c r="G42" s="333"/>
      <c r="H42" s="241"/>
      <c r="I42" s="229"/>
      <c r="J42" s="297"/>
      <c r="K42" s="233"/>
      <c r="L42" s="250"/>
      <c r="M42" s="250"/>
      <c r="N42" s="585">
        <v>261</v>
      </c>
      <c r="O42" s="290">
        <v>45377.663055555553</v>
      </c>
      <c r="P42" s="299">
        <v>41</v>
      </c>
      <c r="Q42" s="650"/>
      <c r="R42" s="566"/>
      <c r="S42" s="652"/>
      <c r="T42" s="570"/>
      <c r="U42" s="722"/>
      <c r="V42" s="727"/>
      <c r="W42" s="647"/>
      <c r="X42" s="586"/>
      <c r="Y42" s="488" t="str">
        <f t="shared" si="21"/>
        <v/>
      </c>
      <c r="Z42" s="639">
        <f t="shared" si="24"/>
        <v>0</v>
      </c>
      <c r="AA42" s="692" t="str">
        <f t="shared" si="25"/>
        <v/>
      </c>
    </row>
    <row r="43" spans="1:27" ht="12.75" customHeight="1">
      <c r="A43" s="559" t="s">
        <v>632</v>
      </c>
      <c r="B43" s="563"/>
      <c r="C43" s="239">
        <v>274</v>
      </c>
      <c r="D43" s="453"/>
      <c r="E43" s="563"/>
      <c r="F43" s="701">
        <v>274</v>
      </c>
      <c r="G43" s="332"/>
      <c r="H43" s="237"/>
      <c r="I43" s="228"/>
      <c r="J43" s="292"/>
      <c r="K43" s="232"/>
      <c r="L43" s="235"/>
      <c r="M43" s="235"/>
      <c r="N43" s="584">
        <v>84</v>
      </c>
      <c r="O43" s="289">
        <v>45377.659861111111</v>
      </c>
      <c r="P43" s="298">
        <v>42</v>
      </c>
      <c r="Q43" s="649"/>
      <c r="R43" s="385"/>
      <c r="S43" s="644"/>
      <c r="T43" s="569"/>
      <c r="U43" s="619"/>
      <c r="V43" s="726"/>
      <c r="W43" s="634"/>
      <c r="X43" s="588"/>
      <c r="Y43" s="501" t="str">
        <f t="shared" si="21"/>
        <v/>
      </c>
      <c r="Z43" s="638">
        <f t="shared" si="24"/>
        <v>0</v>
      </c>
      <c r="AA43" s="691" t="str">
        <f t="shared" si="25"/>
        <v/>
      </c>
    </row>
    <row r="44" spans="1:27" ht="12.75" customHeight="1">
      <c r="A44" s="558" t="s">
        <v>633</v>
      </c>
      <c r="B44" s="251"/>
      <c r="C44" s="500"/>
      <c r="D44" s="500"/>
      <c r="E44" s="251"/>
      <c r="F44" s="702"/>
      <c r="G44" s="333"/>
      <c r="H44" s="241"/>
      <c r="I44" s="229"/>
      <c r="J44" s="297"/>
      <c r="K44" s="233"/>
      <c r="L44" s="250"/>
      <c r="M44" s="250"/>
      <c r="N44" s="585">
        <v>481</v>
      </c>
      <c r="O44" s="290">
        <v>45377.663055555553</v>
      </c>
      <c r="P44" s="299">
        <v>43</v>
      </c>
      <c r="Q44" s="650"/>
      <c r="R44" s="566"/>
      <c r="S44" s="652"/>
      <c r="T44" s="570"/>
      <c r="U44" s="722"/>
      <c r="V44" s="727"/>
      <c r="W44" s="770"/>
      <c r="X44" s="586"/>
      <c r="Y44" s="488" t="str">
        <f t="shared" si="21"/>
        <v/>
      </c>
      <c r="Z44" s="639">
        <f t="shared" si="24"/>
        <v>0</v>
      </c>
      <c r="AA44" s="692" t="str">
        <f t="shared" si="25"/>
        <v/>
      </c>
    </row>
    <row r="45" spans="1:27" ht="12.75" customHeight="1">
      <c r="A45" s="629" t="s">
        <v>634</v>
      </c>
      <c r="B45" s="240"/>
      <c r="C45" s="239">
        <v>142.36000000000001</v>
      </c>
      <c r="D45" s="453"/>
      <c r="E45" s="240"/>
      <c r="F45" s="701">
        <v>142.36000000000001</v>
      </c>
      <c r="G45" s="332"/>
      <c r="H45" s="237"/>
      <c r="I45" s="228"/>
      <c r="J45" s="292"/>
      <c r="K45" s="232"/>
      <c r="L45" s="235"/>
      <c r="M45" s="235"/>
      <c r="N45" s="235">
        <v>1</v>
      </c>
      <c r="O45" s="289">
        <v>45377.588460648149</v>
      </c>
      <c r="P45" s="665">
        <v>44</v>
      </c>
      <c r="Q45" s="663"/>
      <c r="R45" s="385"/>
      <c r="S45" s="654"/>
      <c r="T45" s="569"/>
      <c r="U45" s="619"/>
      <c r="V45" s="432"/>
      <c r="W45" s="634"/>
      <c r="X45" s="588"/>
      <c r="Y45" s="501" t="str">
        <f t="shared" ref="Y45:Y59" si="26">IF(V45&gt;0,V45,"")</f>
        <v/>
      </c>
      <c r="Z45" s="638">
        <f t="shared" ref="Z45:Z59" si="27">C45*100*V45-(X45*V45)</f>
        <v>0</v>
      </c>
      <c r="AA45" s="691" t="str">
        <f>IF(V45&lt;&gt;0,F45*100*V45,"")</f>
        <v/>
      </c>
    </row>
    <row r="46" spans="1:27" ht="12.75" customHeight="1">
      <c r="A46" s="560" t="s">
        <v>635</v>
      </c>
      <c r="B46" s="581"/>
      <c r="C46" s="500"/>
      <c r="D46" s="500"/>
      <c r="E46" s="581"/>
      <c r="F46" s="702"/>
      <c r="G46" s="333"/>
      <c r="H46" s="241"/>
      <c r="I46" s="229"/>
      <c r="J46" s="297"/>
      <c r="K46" s="233"/>
      <c r="L46" s="250"/>
      <c r="M46" s="250"/>
      <c r="N46" s="250">
        <v>25</v>
      </c>
      <c r="O46" s="290">
        <v>45377.65960648148</v>
      </c>
      <c r="P46" s="666">
        <v>45</v>
      </c>
      <c r="Q46" s="650"/>
      <c r="R46" s="566"/>
      <c r="S46" s="652"/>
      <c r="T46" s="570"/>
      <c r="U46" s="722"/>
      <c r="V46" s="487"/>
      <c r="W46" s="770"/>
      <c r="X46" s="586"/>
      <c r="Y46" s="488" t="str">
        <f t="shared" si="26"/>
        <v/>
      </c>
      <c r="Z46" s="639">
        <f t="shared" si="27"/>
        <v>0</v>
      </c>
      <c r="AA46" s="692" t="str">
        <f t="shared" ref="AA46:AA59" si="28">IF(V46&lt;&gt;0,F46*100*V46,"")</f>
        <v/>
      </c>
    </row>
    <row r="47" spans="1:27" ht="12.75" customHeight="1">
      <c r="A47" s="561" t="s">
        <v>636</v>
      </c>
      <c r="B47" s="240"/>
      <c r="C47" s="239">
        <v>93.07</v>
      </c>
      <c r="D47" s="453"/>
      <c r="E47" s="240"/>
      <c r="F47" s="701">
        <v>93.07</v>
      </c>
      <c r="G47" s="332"/>
      <c r="H47" s="237"/>
      <c r="I47" s="228"/>
      <c r="J47" s="292"/>
      <c r="K47" s="232"/>
      <c r="L47" s="235"/>
      <c r="M47" s="235"/>
      <c r="N47" s="235">
        <v>206</v>
      </c>
      <c r="O47" s="289">
        <v>45377.66196759259</v>
      </c>
      <c r="P47" s="667">
        <v>46</v>
      </c>
      <c r="Q47" s="664"/>
      <c r="R47" s="385"/>
      <c r="S47" s="644"/>
      <c r="T47" s="569"/>
      <c r="U47" s="619"/>
      <c r="V47" s="432"/>
      <c r="W47" s="634"/>
      <c r="X47" s="588"/>
      <c r="Y47" s="501" t="str">
        <f t="shared" si="26"/>
        <v/>
      </c>
      <c r="Z47" s="638">
        <f t="shared" si="27"/>
        <v>0</v>
      </c>
      <c r="AA47" s="691" t="str">
        <f t="shared" si="28"/>
        <v/>
      </c>
    </row>
    <row r="48" spans="1:27" ht="12.75" customHeight="1">
      <c r="A48" s="560" t="s">
        <v>637</v>
      </c>
      <c r="B48" s="581"/>
      <c r="C48" s="500">
        <v>49.1</v>
      </c>
      <c r="D48" s="500"/>
      <c r="E48" s="581"/>
      <c r="F48" s="702">
        <v>49.1</v>
      </c>
      <c r="G48" s="333"/>
      <c r="H48" s="241"/>
      <c r="I48" s="229"/>
      <c r="J48" s="297"/>
      <c r="K48" s="233"/>
      <c r="L48" s="250"/>
      <c r="M48" s="250"/>
      <c r="N48" s="250">
        <v>580</v>
      </c>
      <c r="O48" s="290">
        <v>45377.66196759259</v>
      </c>
      <c r="P48" s="666">
        <v>47</v>
      </c>
      <c r="Q48" s="650"/>
      <c r="R48" s="566"/>
      <c r="S48" s="652"/>
      <c r="T48" s="570"/>
      <c r="U48" s="722"/>
      <c r="V48" s="487"/>
      <c r="W48" s="770"/>
      <c r="X48" s="586"/>
      <c r="Y48" s="488" t="str">
        <f t="shared" si="26"/>
        <v/>
      </c>
      <c r="Z48" s="639">
        <f t="shared" si="27"/>
        <v>0</v>
      </c>
      <c r="AA48" s="692" t="str">
        <f t="shared" si="28"/>
        <v/>
      </c>
    </row>
    <row r="49" spans="1:40" ht="12.75" customHeight="1">
      <c r="A49" s="773" t="s">
        <v>638</v>
      </c>
      <c r="B49" s="774"/>
      <c r="C49" s="775">
        <v>54.06</v>
      </c>
      <c r="D49" s="776"/>
      <c r="E49" s="774"/>
      <c r="F49" s="777">
        <v>54.06</v>
      </c>
      <c r="G49" s="778"/>
      <c r="H49" s="779"/>
      <c r="I49" s="780"/>
      <c r="J49" s="781"/>
      <c r="K49" s="782"/>
      <c r="L49" s="783"/>
      <c r="M49" s="783"/>
      <c r="N49" s="783">
        <v>283</v>
      </c>
      <c r="O49" s="784">
        <v>45377.661712962959</v>
      </c>
      <c r="P49" s="785">
        <v>48</v>
      </c>
      <c r="Q49" s="786"/>
      <c r="R49" s="787"/>
      <c r="S49" s="788"/>
      <c r="T49" s="789"/>
      <c r="U49" s="619"/>
      <c r="V49" s="432"/>
      <c r="W49" s="790"/>
      <c r="X49" s="791"/>
      <c r="Y49" s="792" t="str">
        <f t="shared" si="26"/>
        <v/>
      </c>
      <c r="Z49" s="793">
        <f t="shared" si="27"/>
        <v>0</v>
      </c>
      <c r="AA49" s="794" t="str">
        <f t="shared" si="28"/>
        <v/>
      </c>
    </row>
    <row r="50" spans="1:40" ht="12.75" customHeight="1">
      <c r="A50" s="558" t="s">
        <v>600</v>
      </c>
      <c r="B50" s="323">
        <v>6</v>
      </c>
      <c r="C50" s="254">
        <v>1.5009999999999999</v>
      </c>
      <c r="D50" s="254">
        <v>1.589</v>
      </c>
      <c r="E50" s="323">
        <v>9</v>
      </c>
      <c r="F50" s="771">
        <v>1.5009999999999999</v>
      </c>
      <c r="G50" s="330">
        <v>-0.14219999999999999</v>
      </c>
      <c r="H50" s="238">
        <v>1.03</v>
      </c>
      <c r="I50" s="230">
        <v>2.25</v>
      </c>
      <c r="J50" s="294">
        <v>1.03</v>
      </c>
      <c r="K50" s="234">
        <v>1.75</v>
      </c>
      <c r="L50" s="255">
        <v>129325</v>
      </c>
      <c r="M50" s="255">
        <v>809</v>
      </c>
      <c r="N50" s="255">
        <v>237</v>
      </c>
      <c r="O50" s="288">
        <v>45377.66196759259</v>
      </c>
      <c r="P50" s="666">
        <v>49</v>
      </c>
      <c r="Q50" s="772"/>
      <c r="R50" s="384"/>
      <c r="S50" s="645"/>
      <c r="T50" s="567"/>
      <c r="U50" s="722"/>
      <c r="V50" s="487"/>
      <c r="W50" s="491"/>
      <c r="X50" s="636"/>
      <c r="Y50" s="488" t="str">
        <f t="shared" si="26"/>
        <v/>
      </c>
      <c r="Z50" s="639">
        <f t="shared" si="27"/>
        <v>0</v>
      </c>
      <c r="AA50" s="692" t="str">
        <f t="shared" si="28"/>
        <v/>
      </c>
    </row>
    <row r="51" spans="1:40" ht="12.75" customHeight="1">
      <c r="A51" s="561" t="s">
        <v>601</v>
      </c>
      <c r="B51" s="240">
        <v>56</v>
      </c>
      <c r="C51" s="239">
        <v>2.2509999999999999</v>
      </c>
      <c r="D51" s="453">
        <v>3.1989999999999998</v>
      </c>
      <c r="E51" s="240">
        <v>11</v>
      </c>
      <c r="F51" s="701">
        <v>2.9</v>
      </c>
      <c r="G51" s="332">
        <v>5.7999999999999996E-3</v>
      </c>
      <c r="H51" s="237">
        <v>2.95</v>
      </c>
      <c r="I51" s="228">
        <v>3.9</v>
      </c>
      <c r="J51" s="292">
        <v>2.8</v>
      </c>
      <c r="K51" s="232">
        <v>2.883</v>
      </c>
      <c r="L51" s="235">
        <v>388530</v>
      </c>
      <c r="M51" s="235">
        <v>1197</v>
      </c>
      <c r="N51" s="235">
        <v>247</v>
      </c>
      <c r="O51" s="289">
        <v>45377.661944444444</v>
      </c>
      <c r="P51" s="667">
        <v>50</v>
      </c>
      <c r="Q51" s="664"/>
      <c r="R51" s="385"/>
      <c r="S51" s="644"/>
      <c r="T51" s="569"/>
      <c r="U51" s="619"/>
      <c r="V51" s="432"/>
      <c r="W51" s="634"/>
      <c r="X51" s="588"/>
      <c r="Y51" s="501" t="str">
        <f t="shared" si="26"/>
        <v/>
      </c>
      <c r="Z51" s="638">
        <f t="shared" si="27"/>
        <v>0</v>
      </c>
      <c r="AA51" s="691" t="str">
        <f t="shared" si="28"/>
        <v/>
      </c>
    </row>
    <row r="52" spans="1:40" ht="12.75" customHeight="1">
      <c r="A52" s="560" t="s">
        <v>602</v>
      </c>
      <c r="B52" s="581">
        <v>15</v>
      </c>
      <c r="C52" s="500">
        <v>5.65</v>
      </c>
      <c r="D52" s="500">
        <v>5.84</v>
      </c>
      <c r="E52" s="581">
        <v>7</v>
      </c>
      <c r="F52" s="702">
        <v>5.84</v>
      </c>
      <c r="G52" s="333">
        <v>2.0799999999999999E-2</v>
      </c>
      <c r="H52" s="241">
        <v>5.8</v>
      </c>
      <c r="I52" s="229">
        <v>8.39</v>
      </c>
      <c r="J52" s="297">
        <v>5.2</v>
      </c>
      <c r="K52" s="233">
        <v>5.7210000000000001</v>
      </c>
      <c r="L52" s="250">
        <v>1920104</v>
      </c>
      <c r="M52" s="250">
        <v>2877</v>
      </c>
      <c r="N52" s="250">
        <v>568</v>
      </c>
      <c r="O52" s="290">
        <v>45377.662199074075</v>
      </c>
      <c r="P52" s="666">
        <v>51</v>
      </c>
      <c r="Q52" s="650"/>
      <c r="R52" s="566"/>
      <c r="S52" s="652"/>
      <c r="T52" s="570"/>
      <c r="U52" s="722"/>
      <c r="V52" s="487"/>
      <c r="W52" s="770"/>
      <c r="X52" s="586"/>
      <c r="Y52" s="488" t="str">
        <f t="shared" si="26"/>
        <v/>
      </c>
      <c r="Z52" s="639">
        <f t="shared" si="27"/>
        <v>0</v>
      </c>
      <c r="AA52" s="692" t="str">
        <f t="shared" si="28"/>
        <v/>
      </c>
    </row>
    <row r="53" spans="1:40" ht="12.75" customHeight="1">
      <c r="A53" s="561" t="s">
        <v>603</v>
      </c>
      <c r="B53" s="240">
        <v>10</v>
      </c>
      <c r="C53" s="239">
        <v>9.4009999999999998</v>
      </c>
      <c r="D53" s="453">
        <v>10.15</v>
      </c>
      <c r="E53" s="240">
        <v>1</v>
      </c>
      <c r="F53" s="701">
        <v>9.6</v>
      </c>
      <c r="G53" s="332">
        <v>3.2199999999999999E-2</v>
      </c>
      <c r="H53" s="237">
        <v>13</v>
      </c>
      <c r="I53" s="228">
        <v>13.92</v>
      </c>
      <c r="J53" s="292">
        <v>9.3000000000000007</v>
      </c>
      <c r="K53" s="232">
        <v>9.3000000000000007</v>
      </c>
      <c r="L53" s="235">
        <v>2760742</v>
      </c>
      <c r="M53" s="235">
        <v>2534</v>
      </c>
      <c r="N53" s="235">
        <v>314</v>
      </c>
      <c r="O53" s="289">
        <v>45377.651979166665</v>
      </c>
      <c r="P53" s="667">
        <v>52</v>
      </c>
      <c r="Q53" s="664"/>
      <c r="R53" s="385"/>
      <c r="S53" s="644"/>
      <c r="T53" s="569"/>
      <c r="U53" s="619"/>
      <c r="V53" s="432"/>
      <c r="W53" s="634"/>
      <c r="X53" s="588"/>
      <c r="Y53" s="501" t="str">
        <f t="shared" si="26"/>
        <v/>
      </c>
      <c r="Z53" s="638">
        <f t="shared" si="27"/>
        <v>0</v>
      </c>
      <c r="AA53" s="691" t="str">
        <f t="shared" si="28"/>
        <v/>
      </c>
    </row>
    <row r="54" spans="1:40" ht="12.75" customHeight="1">
      <c r="A54" s="560" t="s">
        <v>604</v>
      </c>
      <c r="B54" s="581">
        <v>15</v>
      </c>
      <c r="C54" s="500">
        <v>15.5</v>
      </c>
      <c r="D54" s="500">
        <v>16.2</v>
      </c>
      <c r="E54" s="581">
        <v>20</v>
      </c>
      <c r="F54" s="702">
        <v>16</v>
      </c>
      <c r="G54" s="333">
        <v>7.4800000000000005E-2</v>
      </c>
      <c r="H54" s="241">
        <v>15.95</v>
      </c>
      <c r="I54" s="229">
        <v>22.75</v>
      </c>
      <c r="J54" s="297">
        <v>14</v>
      </c>
      <c r="K54" s="233">
        <v>14.885999999999999</v>
      </c>
      <c r="L54" s="250">
        <v>6401713</v>
      </c>
      <c r="M54" s="250">
        <v>3525</v>
      </c>
      <c r="N54" s="250">
        <v>352</v>
      </c>
      <c r="O54" s="290">
        <v>45377.663206018522</v>
      </c>
      <c r="P54" s="666">
        <v>53</v>
      </c>
      <c r="Q54" s="650"/>
      <c r="R54" s="566"/>
      <c r="S54" s="652"/>
      <c r="T54" s="570"/>
      <c r="U54" s="722"/>
      <c r="V54" s="487"/>
      <c r="W54" s="770"/>
      <c r="X54" s="586"/>
      <c r="Y54" s="488" t="str">
        <f t="shared" si="26"/>
        <v/>
      </c>
      <c r="Z54" s="639">
        <f t="shared" si="27"/>
        <v>0</v>
      </c>
      <c r="AA54" s="692" t="str">
        <f t="shared" si="28"/>
        <v/>
      </c>
    </row>
    <row r="55" spans="1:40" ht="12.75" customHeight="1">
      <c r="A55" s="561" t="s">
        <v>605</v>
      </c>
      <c r="B55" s="240">
        <v>20</v>
      </c>
      <c r="C55" s="239">
        <v>25.5</v>
      </c>
      <c r="D55" s="453">
        <v>25.898</v>
      </c>
      <c r="E55" s="240">
        <v>1</v>
      </c>
      <c r="F55" s="701">
        <v>25.001000000000001</v>
      </c>
      <c r="G55" s="332">
        <v>2.81E-2</v>
      </c>
      <c r="H55" s="237">
        <v>22.8</v>
      </c>
      <c r="I55" s="228">
        <v>37</v>
      </c>
      <c r="J55" s="292">
        <v>22</v>
      </c>
      <c r="K55" s="232">
        <v>24.317</v>
      </c>
      <c r="L55" s="235">
        <v>13514645</v>
      </c>
      <c r="M55" s="235">
        <v>4786</v>
      </c>
      <c r="N55" s="235">
        <v>644</v>
      </c>
      <c r="O55" s="289">
        <v>45377.660543981481</v>
      </c>
      <c r="P55" s="667">
        <v>54</v>
      </c>
      <c r="Q55" s="664"/>
      <c r="R55" s="385"/>
      <c r="S55" s="644"/>
      <c r="T55" s="569"/>
      <c r="U55" s="619"/>
      <c r="V55" s="432"/>
      <c r="W55" s="634"/>
      <c r="X55" s="588"/>
      <c r="Y55" s="501" t="str">
        <f t="shared" si="26"/>
        <v/>
      </c>
      <c r="Z55" s="638">
        <f t="shared" si="27"/>
        <v>0</v>
      </c>
      <c r="AA55" s="691" t="str">
        <f t="shared" si="28"/>
        <v/>
      </c>
    </row>
    <row r="56" spans="1:40" ht="12.75" customHeight="1">
      <c r="A56" s="560" t="s">
        <v>606</v>
      </c>
      <c r="B56" s="581">
        <v>10</v>
      </c>
      <c r="C56" s="500">
        <v>38.200000000000003</v>
      </c>
      <c r="D56" s="500">
        <v>41.634</v>
      </c>
      <c r="E56" s="581">
        <v>6</v>
      </c>
      <c r="F56" s="702">
        <v>38.805999999999997</v>
      </c>
      <c r="G56" s="333">
        <v>2.35E-2</v>
      </c>
      <c r="H56" s="241">
        <v>31.001000000000001</v>
      </c>
      <c r="I56" s="229">
        <v>49</v>
      </c>
      <c r="J56" s="297">
        <v>31.001000000000001</v>
      </c>
      <c r="K56" s="233">
        <v>37.912999999999997</v>
      </c>
      <c r="L56" s="250">
        <v>11061698</v>
      </c>
      <c r="M56" s="250">
        <v>2581</v>
      </c>
      <c r="N56" s="250">
        <v>378</v>
      </c>
      <c r="O56" s="290">
        <v>45377.663217592592</v>
      </c>
      <c r="P56" s="666">
        <v>55</v>
      </c>
      <c r="Q56" s="650"/>
      <c r="R56" s="566"/>
      <c r="S56" s="652"/>
      <c r="T56" s="570"/>
      <c r="U56" s="722"/>
      <c r="V56" s="487"/>
      <c r="W56" s="770"/>
      <c r="X56" s="586"/>
      <c r="Y56" s="488" t="str">
        <f t="shared" si="26"/>
        <v/>
      </c>
      <c r="Z56" s="639">
        <f t="shared" si="27"/>
        <v>0</v>
      </c>
      <c r="AA56" s="692" t="str">
        <f t="shared" si="28"/>
        <v/>
      </c>
    </row>
    <row r="57" spans="1:40" ht="12.75" customHeight="1">
      <c r="A57" s="561" t="s">
        <v>607</v>
      </c>
      <c r="B57" s="240">
        <v>8</v>
      </c>
      <c r="C57" s="239">
        <v>58.000999999999998</v>
      </c>
      <c r="D57" s="239">
        <v>61</v>
      </c>
      <c r="E57" s="240">
        <v>10</v>
      </c>
      <c r="F57" s="701">
        <v>59</v>
      </c>
      <c r="G57" s="332">
        <v>2.4700000000000003E-2</v>
      </c>
      <c r="H57" s="237">
        <v>51</v>
      </c>
      <c r="I57" s="228">
        <v>73</v>
      </c>
      <c r="J57" s="292">
        <v>51</v>
      </c>
      <c r="K57" s="232">
        <v>57.575000000000003</v>
      </c>
      <c r="L57" s="235">
        <v>14248064</v>
      </c>
      <c r="M57" s="235">
        <v>2283</v>
      </c>
      <c r="N57" s="235">
        <v>450</v>
      </c>
      <c r="O57" s="289">
        <v>45377.663124999999</v>
      </c>
      <c r="P57" s="667">
        <v>56</v>
      </c>
      <c r="Q57" s="664"/>
      <c r="R57" s="385"/>
      <c r="S57" s="644"/>
      <c r="T57" s="569"/>
      <c r="U57" s="619"/>
      <c r="V57" s="487"/>
      <c r="W57" s="634"/>
      <c r="X57" s="588"/>
      <c r="Y57" s="501" t="str">
        <f t="shared" si="26"/>
        <v/>
      </c>
      <c r="Z57" s="638">
        <f t="shared" si="27"/>
        <v>0</v>
      </c>
      <c r="AA57" s="691" t="str">
        <f t="shared" si="28"/>
        <v/>
      </c>
    </row>
    <row r="58" spans="1:40" ht="12.75" customHeight="1">
      <c r="A58" s="560" t="s">
        <v>608</v>
      </c>
      <c r="B58" s="581">
        <v>6</v>
      </c>
      <c r="C58" s="500">
        <v>136.001</v>
      </c>
      <c r="D58" s="582">
        <v>145</v>
      </c>
      <c r="E58" s="581">
        <v>25</v>
      </c>
      <c r="F58" s="702">
        <v>140</v>
      </c>
      <c r="G58" s="333">
        <v>-2.8500000000000001E-2</v>
      </c>
      <c r="H58" s="241">
        <v>125</v>
      </c>
      <c r="I58" s="229">
        <v>165</v>
      </c>
      <c r="J58" s="297">
        <v>125</v>
      </c>
      <c r="K58" s="233">
        <v>140</v>
      </c>
      <c r="L58" s="250">
        <v>3261454</v>
      </c>
      <c r="M58" s="250">
        <v>225</v>
      </c>
      <c r="N58" s="250">
        <v>42</v>
      </c>
      <c r="O58" s="290">
        <v>45377.656944444447</v>
      </c>
      <c r="P58" s="666">
        <v>57</v>
      </c>
      <c r="Q58" s="650"/>
      <c r="R58" s="566"/>
      <c r="S58" s="652"/>
      <c r="T58" s="570"/>
      <c r="U58" s="722"/>
      <c r="V58" s="432"/>
      <c r="W58" s="770"/>
      <c r="X58" s="586"/>
      <c r="Y58" s="488" t="str">
        <f t="shared" si="26"/>
        <v/>
      </c>
      <c r="Z58" s="639">
        <f t="shared" si="27"/>
        <v>0</v>
      </c>
      <c r="AA58" s="692" t="str">
        <f t="shared" si="28"/>
        <v/>
      </c>
    </row>
    <row r="59" spans="1:40" ht="12.75" customHeight="1">
      <c r="A59" s="562" t="s">
        <v>609</v>
      </c>
      <c r="B59" s="420">
        <v>10</v>
      </c>
      <c r="C59" s="411">
        <v>190</v>
      </c>
      <c r="D59" s="411">
        <v>205</v>
      </c>
      <c r="E59" s="420">
        <v>7</v>
      </c>
      <c r="F59" s="703">
        <v>205</v>
      </c>
      <c r="G59" s="427">
        <v>7.6100000000000001E-2</v>
      </c>
      <c r="H59" s="413">
        <v>180</v>
      </c>
      <c r="I59" s="414">
        <v>220</v>
      </c>
      <c r="J59" s="415">
        <v>180</v>
      </c>
      <c r="K59" s="416">
        <v>190.5</v>
      </c>
      <c r="L59" s="406">
        <v>962700</v>
      </c>
      <c r="M59" s="406">
        <v>47</v>
      </c>
      <c r="N59" s="406">
        <v>30</v>
      </c>
      <c r="O59" s="407">
        <v>45377.661736111113</v>
      </c>
      <c r="P59" s="667">
        <v>58</v>
      </c>
      <c r="Q59" s="651"/>
      <c r="R59" s="418"/>
      <c r="S59" s="646"/>
      <c r="T59" s="568"/>
      <c r="U59" s="619"/>
      <c r="V59" s="487"/>
      <c r="W59" s="490"/>
      <c r="X59" s="587"/>
      <c r="Y59" s="802" t="str">
        <f t="shared" si="26"/>
        <v/>
      </c>
      <c r="Z59" s="489">
        <f t="shared" si="27"/>
        <v>0</v>
      </c>
      <c r="AA59" s="693" t="str">
        <f t="shared" si="28"/>
        <v/>
      </c>
    </row>
    <row r="60" spans="1:40" ht="12.75" customHeight="1">
      <c r="A60" s="623" t="s">
        <v>335</v>
      </c>
      <c r="B60" s="251"/>
      <c r="C60" s="321"/>
      <c r="D60" s="259"/>
      <c r="E60" s="251"/>
      <c r="F60" s="695"/>
      <c r="G60" s="330"/>
      <c r="H60" s="238"/>
      <c r="I60" s="230"/>
      <c r="J60" s="294"/>
      <c r="K60" s="234"/>
      <c r="L60" s="255"/>
      <c r="M60" s="234"/>
      <c r="N60" s="255"/>
      <c r="O60" s="288"/>
      <c r="P60" s="299">
        <v>59</v>
      </c>
      <c r="Q60" s="268">
        <v>0</v>
      </c>
      <c r="R60" s="275">
        <v>0</v>
      </c>
      <c r="S60" s="279">
        <v>0</v>
      </c>
      <c r="T60" s="249">
        <v>0</v>
      </c>
      <c r="U60" s="592"/>
      <c r="V60" s="272"/>
      <c r="W60" s="491"/>
      <c r="X60" s="488"/>
      <c r="Y60" s="628">
        <f>IF(D60&lt;&gt;0,($C61*(1-$V$1))-$D60,0)</f>
        <v>0</v>
      </c>
      <c r="Z60" s="462"/>
      <c r="AA60" s="738" t="str">
        <f>MID($A60,1,5)</f>
        <v xml:space="preserve">GGAL </v>
      </c>
    </row>
    <row r="61" spans="1:40" ht="12.75" customHeight="1">
      <c r="A61" s="622" t="s">
        <v>336</v>
      </c>
      <c r="B61" s="426"/>
      <c r="C61" s="411"/>
      <c r="D61" s="452"/>
      <c r="E61" s="420"/>
      <c r="F61" s="703">
        <v>2829.75</v>
      </c>
      <c r="G61" s="427"/>
      <c r="H61" s="413"/>
      <c r="I61" s="414"/>
      <c r="J61" s="415"/>
      <c r="K61" s="416"/>
      <c r="L61" s="406"/>
      <c r="M61" s="416"/>
      <c r="N61" s="406"/>
      <c r="O61" s="407"/>
      <c r="P61" s="298">
        <v>60</v>
      </c>
      <c r="Q61" s="408">
        <v>0</v>
      </c>
      <c r="R61" s="428">
        <v>0</v>
      </c>
      <c r="S61" s="410">
        <v>0</v>
      </c>
      <c r="T61" s="419">
        <v>0</v>
      </c>
      <c r="U61" s="591"/>
      <c r="V61" s="271">
        <v>0</v>
      </c>
      <c r="W61" s="490">
        <v>0</v>
      </c>
      <c r="X61" s="489">
        <v>0</v>
      </c>
      <c r="Y61" s="603" t="str">
        <f>IFERROR(INT($Y$1/(F60)),"")</f>
        <v/>
      </c>
      <c r="Z61" s="471"/>
      <c r="AA61" s="739"/>
    </row>
    <row r="62" spans="1:40" ht="12.75" hidden="1" customHeight="1">
      <c r="A62" s="274" t="s">
        <v>574</v>
      </c>
      <c r="B62" s="252"/>
      <c r="C62" s="468"/>
      <c r="D62" s="469"/>
      <c r="E62" s="252"/>
      <c r="F62" s="695"/>
      <c r="G62" s="330"/>
      <c r="H62" s="238"/>
      <c r="I62" s="230"/>
      <c r="J62" s="294"/>
      <c r="K62" s="234"/>
      <c r="L62" s="255"/>
      <c r="M62" s="234"/>
      <c r="N62" s="255"/>
      <c r="O62" s="288"/>
      <c r="P62" s="299">
        <v>61</v>
      </c>
      <c r="Q62" s="268">
        <v>0</v>
      </c>
      <c r="R62" s="275">
        <v>0</v>
      </c>
      <c r="S62" s="279">
        <v>0</v>
      </c>
      <c r="T62" s="249">
        <v>0</v>
      </c>
      <c r="U62" s="592"/>
      <c r="V62" s="272">
        <v>0</v>
      </c>
      <c r="W62" s="463">
        <v>0</v>
      </c>
      <c r="X62" s="478">
        <v>0</v>
      </c>
      <c r="Y62" s="628">
        <f>IF(D62&lt;&gt;0,($C63*(1-$V$1))-$D62,0)</f>
        <v>0</v>
      </c>
      <c r="Z62" s="462">
        <f>$F63*($AE$1*$AD$1)</f>
        <v>0</v>
      </c>
      <c r="AA62" s="736" t="str">
        <f>MID($A62,1,5)</f>
        <v xml:space="preserve">PAMP </v>
      </c>
    </row>
    <row r="63" spans="1:40" ht="12.75" hidden="1" customHeight="1">
      <c r="A63" s="457" t="s">
        <v>575</v>
      </c>
      <c r="B63" s="458"/>
      <c r="C63" s="470"/>
      <c r="D63" s="470"/>
      <c r="E63" s="458"/>
      <c r="F63" s="704"/>
      <c r="G63" s="427"/>
      <c r="H63" s="413"/>
      <c r="I63" s="414"/>
      <c r="J63" s="415"/>
      <c r="K63" s="416"/>
      <c r="L63" s="406"/>
      <c r="M63" s="416"/>
      <c r="N63" s="406"/>
      <c r="O63" s="459"/>
      <c r="P63" s="298">
        <v>62</v>
      </c>
      <c r="Q63" s="408">
        <v>0</v>
      </c>
      <c r="R63" s="428">
        <v>0</v>
      </c>
      <c r="S63" s="410">
        <v>0</v>
      </c>
      <c r="T63" s="419">
        <v>0</v>
      </c>
      <c r="U63" s="591"/>
      <c r="V63" s="423">
        <v>0</v>
      </c>
      <c r="W63" s="464">
        <v>0</v>
      </c>
      <c r="X63" s="477">
        <v>0</v>
      </c>
      <c r="Y63" s="476">
        <f>IFERROR(IF($Y$1&lt;&gt;"",INT($Y$1/(D62)),100),100)</f>
        <v>100</v>
      </c>
      <c r="Z63" s="461"/>
      <c r="AA63" s="737"/>
    </row>
    <row r="64" spans="1:40" ht="12.75" customHeight="1">
      <c r="A64" s="729" t="s">
        <v>13</v>
      </c>
      <c r="B64" s="723">
        <v>16480</v>
      </c>
      <c r="C64" s="329">
        <v>54250</v>
      </c>
      <c r="D64" s="329">
        <v>54270</v>
      </c>
      <c r="E64" s="723">
        <v>45516</v>
      </c>
      <c r="F64" s="324">
        <v>54250</v>
      </c>
      <c r="G64" s="330">
        <v>-2.3E-3</v>
      </c>
      <c r="H64" s="238">
        <v>54800</v>
      </c>
      <c r="I64" s="230">
        <v>54920</v>
      </c>
      <c r="J64" s="294">
        <v>54010</v>
      </c>
      <c r="K64" s="234">
        <v>54380</v>
      </c>
      <c r="L64" s="255">
        <v>91775172553</v>
      </c>
      <c r="M64" s="234">
        <v>168775546</v>
      </c>
      <c r="N64" s="255">
        <v>71497</v>
      </c>
      <c r="O64" s="288">
        <v>45378.647210648145</v>
      </c>
      <c r="P64" s="299">
        <v>63</v>
      </c>
      <c r="Q64" s="268">
        <v>0</v>
      </c>
      <c r="R64" s="275">
        <v>0</v>
      </c>
      <c r="S64" s="279">
        <v>0</v>
      </c>
      <c r="T64" s="249">
        <v>0</v>
      </c>
      <c r="U64" s="592"/>
      <c r="V64" s="435"/>
      <c r="W64" s="613">
        <f t="shared" ref="W64:W68" si="29">(V64*X64)</f>
        <v>0</v>
      </c>
      <c r="X64" s="586"/>
      <c r="Y64" s="628">
        <f>IF(D64&lt;&gt;0,($C65*(1-$V$1))-$D64,0)</f>
        <v>840</v>
      </c>
      <c r="Z64" s="460"/>
      <c r="AA64" s="335"/>
      <c r="AB64" s="38"/>
      <c r="AC64" s="439">
        <v>325</v>
      </c>
      <c r="AE64" s="47">
        <v>0.47860000000000003</v>
      </c>
      <c r="AF64" s="47">
        <f>AC64*AE64</f>
        <v>155.54500000000002</v>
      </c>
      <c r="AN64" s="455"/>
    </row>
    <row r="65" spans="1:40" ht="12.75" customHeight="1">
      <c r="A65" s="730" t="s">
        <v>2</v>
      </c>
      <c r="B65" s="724">
        <v>36291</v>
      </c>
      <c r="C65" s="328">
        <v>55110</v>
      </c>
      <c r="D65" s="684">
        <v>55130</v>
      </c>
      <c r="E65" s="724">
        <v>167041</v>
      </c>
      <c r="F65" s="689">
        <v>55110</v>
      </c>
      <c r="G65" s="332">
        <v>-4.5000000000000005E-3</v>
      </c>
      <c r="H65" s="237">
        <v>55410</v>
      </c>
      <c r="I65" s="228">
        <v>55670</v>
      </c>
      <c r="J65" s="292">
        <v>54860</v>
      </c>
      <c r="K65" s="232">
        <v>55360</v>
      </c>
      <c r="L65" s="235">
        <v>39377523338</v>
      </c>
      <c r="M65" s="232">
        <v>71324846</v>
      </c>
      <c r="N65" s="235">
        <v>22521</v>
      </c>
      <c r="O65" s="289">
        <v>45378.647141203706</v>
      </c>
      <c r="P65" s="298">
        <v>64</v>
      </c>
      <c r="Q65" s="266">
        <v>0</v>
      </c>
      <c r="R65" s="276">
        <v>0</v>
      </c>
      <c r="S65" s="278">
        <v>0</v>
      </c>
      <c r="T65" s="248">
        <v>0</v>
      </c>
      <c r="U65" s="591"/>
      <c r="V65" s="434">
        <v>1</v>
      </c>
      <c r="W65" s="612">
        <f>V64*(C64/100)</f>
        <v>0</v>
      </c>
      <c r="X65" s="588"/>
      <c r="Y65" s="600">
        <f>IFERROR(INT($Y$1/(F64/100)),"")</f>
        <v>187</v>
      </c>
      <c r="Z65" s="391"/>
      <c r="AA65" s="336"/>
      <c r="AB65" s="38"/>
      <c r="AC65" s="439">
        <v>179</v>
      </c>
      <c r="AE65" s="47">
        <v>0.47910000000000003</v>
      </c>
      <c r="AF65" s="47">
        <f t="shared" ref="AF65:AF67" si="30">AC65*AE65</f>
        <v>85.758900000000011</v>
      </c>
      <c r="AN65" s="455"/>
    </row>
    <row r="66" spans="1:40" ht="12.75" customHeight="1">
      <c r="A66" s="242" t="s">
        <v>15</v>
      </c>
      <c r="B66" s="390">
        <v>92674</v>
      </c>
      <c r="C66" s="321">
        <v>50.85</v>
      </c>
      <c r="D66" s="259">
        <v>50.9</v>
      </c>
      <c r="E66" s="390">
        <v>42393</v>
      </c>
      <c r="F66" s="705">
        <v>50.9</v>
      </c>
      <c r="G66" s="333">
        <v>9.8999999999999991E-3</v>
      </c>
      <c r="H66" s="241">
        <v>50.4</v>
      </c>
      <c r="I66" s="229">
        <v>50.9</v>
      </c>
      <c r="J66" s="297">
        <v>50.16</v>
      </c>
      <c r="K66" s="233">
        <v>50.4</v>
      </c>
      <c r="L66" s="250">
        <v>24156422</v>
      </c>
      <c r="M66" s="233">
        <v>47776634</v>
      </c>
      <c r="N66" s="250">
        <v>7508</v>
      </c>
      <c r="O66" s="290">
        <v>45378.647187499999</v>
      </c>
      <c r="P66" s="299">
        <v>65</v>
      </c>
      <c r="Q66" s="267">
        <v>0</v>
      </c>
      <c r="R66" s="277">
        <v>0</v>
      </c>
      <c r="S66" s="280">
        <v>0</v>
      </c>
      <c r="T66" s="247">
        <v>0</v>
      </c>
      <c r="U66" s="592"/>
      <c r="V66" s="315"/>
      <c r="W66" s="614">
        <f t="shared" si="29"/>
        <v>0</v>
      </c>
      <c r="X66" s="586"/>
      <c r="Y66" s="719">
        <f>IF(D66&lt;&gt;0,($C67*(1-$V$1))-$D66,0)</f>
        <v>-0.39000000000000057</v>
      </c>
      <c r="Z66" s="320">
        <f>IFERROR(IF(C66&lt;&gt;"",$Y$1/(D64/100)*(C66/100),""),"")</f>
        <v>95.078373552968003</v>
      </c>
      <c r="AA66" s="381">
        <f>IFERROR($AA$1/(D66/100)*(C64/100),"")</f>
        <v>106581.53241650295</v>
      </c>
      <c r="AB66" s="38"/>
      <c r="AC66" s="440"/>
      <c r="AF66" s="47">
        <f t="shared" si="30"/>
        <v>0</v>
      </c>
      <c r="AN66" s="455"/>
    </row>
    <row r="67" spans="1:40" ht="12.75" customHeight="1">
      <c r="A67" s="300" t="s">
        <v>3</v>
      </c>
      <c r="B67" s="311">
        <v>39697</v>
      </c>
      <c r="C67" s="239">
        <v>50.51</v>
      </c>
      <c r="D67" s="453">
        <v>50.98</v>
      </c>
      <c r="E67" s="493">
        <v>20192</v>
      </c>
      <c r="F67" s="696">
        <v>50.95</v>
      </c>
      <c r="G67" s="332">
        <v>1.29E-2</v>
      </c>
      <c r="H67" s="237">
        <v>51</v>
      </c>
      <c r="I67" s="228">
        <v>51</v>
      </c>
      <c r="J67" s="292">
        <v>50.2</v>
      </c>
      <c r="K67" s="232">
        <v>50.3</v>
      </c>
      <c r="L67" s="235">
        <v>1174069</v>
      </c>
      <c r="M67" s="232">
        <v>2325637</v>
      </c>
      <c r="N67" s="235">
        <v>509</v>
      </c>
      <c r="O67" s="289">
        <v>45378.646261574075</v>
      </c>
      <c r="P67" s="298">
        <v>66</v>
      </c>
      <c r="Q67" s="266">
        <v>0</v>
      </c>
      <c r="R67" s="276">
        <v>0</v>
      </c>
      <c r="S67" s="278">
        <v>0</v>
      </c>
      <c r="T67" s="248">
        <v>0</v>
      </c>
      <c r="U67" s="591"/>
      <c r="V67" s="314"/>
      <c r="W67" s="615">
        <f>V66*(F66/100)</f>
        <v>0</v>
      </c>
      <c r="X67" s="588"/>
      <c r="Y67" s="601">
        <f>IFERROR(INT($AA$1/(F66/100)),"")</f>
        <v>196</v>
      </c>
      <c r="Z67" s="319">
        <f>IFERROR(IF(C67&lt;&gt;"",$Y$1/(D65/100)*(C67/100),""),"")</f>
        <v>92.969390606618617</v>
      </c>
      <c r="AA67" s="383">
        <f>IFERROR($AA$1/(D67/100)*(C65/100),"")</f>
        <v>108101.21616320127</v>
      </c>
      <c r="AB67" s="38"/>
      <c r="AC67" s="441"/>
      <c r="AD67" s="438"/>
      <c r="AE67" s="438"/>
      <c r="AF67" s="438">
        <f t="shared" si="30"/>
        <v>0</v>
      </c>
      <c r="AN67" s="455"/>
    </row>
    <row r="68" spans="1:40" ht="12.75" customHeight="1">
      <c r="A68" s="395" t="s">
        <v>14</v>
      </c>
      <c r="B68" s="390">
        <v>110558</v>
      </c>
      <c r="C68" s="321">
        <v>54.27</v>
      </c>
      <c r="D68" s="259">
        <v>54.29</v>
      </c>
      <c r="E68" s="390">
        <v>44500</v>
      </c>
      <c r="F68" s="705">
        <v>54.28</v>
      </c>
      <c r="G68" s="333">
        <v>6.9999999999999993E-3</v>
      </c>
      <c r="H68" s="241">
        <v>53.6</v>
      </c>
      <c r="I68" s="229">
        <v>54.45</v>
      </c>
      <c r="J68" s="297">
        <v>53.53</v>
      </c>
      <c r="K68" s="233">
        <v>53.9</v>
      </c>
      <c r="L68" s="250">
        <v>68584755</v>
      </c>
      <c r="M68" s="233">
        <v>127356977</v>
      </c>
      <c r="N68" s="250">
        <v>53335</v>
      </c>
      <c r="O68" s="290">
        <v>45378.647210648145</v>
      </c>
      <c r="P68" s="299">
        <v>67</v>
      </c>
      <c r="Q68" s="267">
        <v>0</v>
      </c>
      <c r="R68" s="277">
        <v>0</v>
      </c>
      <c r="S68" s="280">
        <v>0</v>
      </c>
      <c r="T68" s="247">
        <v>0</v>
      </c>
      <c r="U68" s="592"/>
      <c r="V68" s="432"/>
      <c r="W68" s="616">
        <f t="shared" si="29"/>
        <v>0</v>
      </c>
      <c r="X68" s="589"/>
      <c r="Y68" s="720">
        <f>IF(D68&lt;&gt;0,($C69*(1-$V$1))-$D68,0)</f>
        <v>0</v>
      </c>
      <c r="Z68" s="318">
        <f>IFERROR(IF(C68&lt;&gt;"",$Y$1/(D64/100)*(C68/100),""),"")</f>
        <v>101.473025225557</v>
      </c>
      <c r="AA68" s="382">
        <f>IFERROR($Z$1/(D68/100)*(C64/100),"")</f>
        <v>99926.321606188998</v>
      </c>
      <c r="AB68" s="38"/>
      <c r="AC68" s="442">
        <f>SUM(AC64:AC67)</f>
        <v>504</v>
      </c>
      <c r="AD68" s="443"/>
      <c r="AE68" s="443"/>
      <c r="AF68" s="443">
        <f>SUM(AF64:AF67)</f>
        <v>241.30390000000003</v>
      </c>
    </row>
    <row r="69" spans="1:40" ht="12.75" customHeight="1">
      <c r="A69" s="425" t="s">
        <v>4</v>
      </c>
      <c r="B69" s="492">
        <v>201233</v>
      </c>
      <c r="C69" s="411">
        <v>54.29</v>
      </c>
      <c r="D69" s="452">
        <v>54.31</v>
      </c>
      <c r="E69" s="494">
        <v>44500</v>
      </c>
      <c r="F69" s="704">
        <v>54.29</v>
      </c>
      <c r="G69" s="427">
        <v>7.1999999999999998E-3</v>
      </c>
      <c r="H69" s="413">
        <v>53.89</v>
      </c>
      <c r="I69" s="414">
        <v>54.45</v>
      </c>
      <c r="J69" s="415">
        <v>53.52</v>
      </c>
      <c r="K69" s="416">
        <v>53.9</v>
      </c>
      <c r="L69" s="406">
        <v>10723175</v>
      </c>
      <c r="M69" s="416">
        <v>19891920</v>
      </c>
      <c r="N69" s="406">
        <v>8615</v>
      </c>
      <c r="O69" s="407">
        <v>45378.647210648145</v>
      </c>
      <c r="P69" s="298">
        <v>68</v>
      </c>
      <c r="Q69" s="408">
        <v>0</v>
      </c>
      <c r="R69" s="428">
        <v>0</v>
      </c>
      <c r="S69" s="410">
        <v>0</v>
      </c>
      <c r="T69" s="419">
        <v>0</v>
      </c>
      <c r="U69" s="591"/>
      <c r="V69" s="472"/>
      <c r="W69" s="617">
        <f>V68*(C68/100)</f>
        <v>0</v>
      </c>
      <c r="X69" s="587"/>
      <c r="Y69" s="602">
        <f>IFERROR(INT($Z$1/(F68/100)),"")</f>
        <v>184</v>
      </c>
      <c r="Z69" s="422">
        <f>IFERROR(IF(C69&lt;&gt;"",$Y$1/(D65/100)*(C69/100),""),"")</f>
        <v>99.926909840295465</v>
      </c>
      <c r="AA69" s="429">
        <f>IFERROR($Z$1/(D69/100)*(C65/100),"")</f>
        <v>101473.02522555699</v>
      </c>
      <c r="AB69" s="38"/>
      <c r="AC69" s="732">
        <f>AF68/AC68</f>
        <v>0.47877757936507942</v>
      </c>
      <c r="AD69" s="732"/>
      <c r="AE69" s="732"/>
      <c r="AF69" s="732"/>
    </row>
    <row r="70" spans="1:40" ht="12.75" customHeight="1">
      <c r="A70" s="274" t="s">
        <v>16</v>
      </c>
      <c r="B70" s="390">
        <v>1144</v>
      </c>
      <c r="C70" s="321">
        <v>56100</v>
      </c>
      <c r="D70" s="259">
        <v>56130</v>
      </c>
      <c r="E70" s="390">
        <v>23588</v>
      </c>
      <c r="F70" s="695">
        <v>56120</v>
      </c>
      <c r="G70" s="330">
        <v>-1.0200000000000001E-2</v>
      </c>
      <c r="H70" s="238">
        <v>57600</v>
      </c>
      <c r="I70" s="230">
        <v>57840</v>
      </c>
      <c r="J70" s="294">
        <v>55220</v>
      </c>
      <c r="K70" s="234">
        <v>56700</v>
      </c>
      <c r="L70" s="255">
        <v>6395275078</v>
      </c>
      <c r="M70" s="234">
        <v>11324846</v>
      </c>
      <c r="N70" s="255">
        <v>3346</v>
      </c>
      <c r="O70" s="288">
        <v>45378.64707175926</v>
      </c>
      <c r="P70" s="299">
        <v>69</v>
      </c>
      <c r="Q70" s="268"/>
      <c r="R70" s="275">
        <v>0</v>
      </c>
      <c r="S70" s="279">
        <v>0</v>
      </c>
      <c r="T70" s="249">
        <v>0</v>
      </c>
      <c r="U70" s="592"/>
      <c r="V70" s="312">
        <v>0</v>
      </c>
      <c r="W70" s="613">
        <f t="shared" ref="W70:W82" si="31">(V70*X70)</f>
        <v>0</v>
      </c>
      <c r="X70" s="586"/>
      <c r="Y70" s="628">
        <f>IF(D70&lt;&gt;0,($C71*(1-$V$1))-$D70,0)</f>
        <v>790</v>
      </c>
      <c r="Z70" s="451"/>
      <c r="AA70" s="335"/>
      <c r="AB70" s="38"/>
      <c r="AC70" s="431">
        <v>506</v>
      </c>
      <c r="AE70" s="47">
        <v>0.48499999999999999</v>
      </c>
      <c r="AF70" s="47">
        <f>AC70*AE70</f>
        <v>245.41</v>
      </c>
    </row>
    <row r="71" spans="1:40" ht="12.75" customHeight="1">
      <c r="A71" s="450" t="s">
        <v>5</v>
      </c>
      <c r="B71" s="311">
        <v>1144</v>
      </c>
      <c r="C71" s="239">
        <v>56920</v>
      </c>
      <c r="D71" s="453">
        <v>57000</v>
      </c>
      <c r="E71" s="493">
        <v>23588</v>
      </c>
      <c r="F71" s="696">
        <v>57000</v>
      </c>
      <c r="G71" s="332">
        <v>-0.01</v>
      </c>
      <c r="H71" s="237">
        <v>57800</v>
      </c>
      <c r="I71" s="228">
        <v>58390</v>
      </c>
      <c r="J71" s="292">
        <v>56760</v>
      </c>
      <c r="K71" s="232">
        <v>57580</v>
      </c>
      <c r="L71" s="235">
        <v>8684736217</v>
      </c>
      <c r="M71" s="232">
        <v>15193751</v>
      </c>
      <c r="N71" s="235">
        <v>3382</v>
      </c>
      <c r="O71" s="289">
        <v>45378.647199074076</v>
      </c>
      <c r="P71" s="298">
        <v>70</v>
      </c>
      <c r="Q71" s="266">
        <v>0</v>
      </c>
      <c r="R71" s="276">
        <v>0</v>
      </c>
      <c r="S71" s="278">
        <v>0</v>
      </c>
      <c r="T71" s="248">
        <v>0</v>
      </c>
      <c r="U71" s="591"/>
      <c r="V71" s="434">
        <v>0</v>
      </c>
      <c r="W71" s="611">
        <f>V70*(F71/100)</f>
        <v>0</v>
      </c>
      <c r="X71" s="588"/>
      <c r="Y71" s="600">
        <f>IFERROR(INT($Y$1/(F70/100)),"")</f>
        <v>180</v>
      </c>
      <c r="Z71" s="391"/>
      <c r="AA71" s="336"/>
      <c r="AB71" s="38"/>
      <c r="AC71" s="431">
        <v>350</v>
      </c>
      <c r="AE71" s="47">
        <v>0.47600999999999999</v>
      </c>
      <c r="AF71" s="47">
        <f t="shared" ref="AF71:AF73" si="32">AC71*AE71</f>
        <v>166.6035</v>
      </c>
    </row>
    <row r="72" spans="1:40" ht="12.75" customHeight="1">
      <c r="A72" s="242" t="s">
        <v>17</v>
      </c>
      <c r="B72" s="390">
        <v>634</v>
      </c>
      <c r="C72" s="321">
        <v>52.47</v>
      </c>
      <c r="D72" s="259">
        <v>52.85</v>
      </c>
      <c r="E72" s="390">
        <v>54322</v>
      </c>
      <c r="F72" s="705">
        <v>52.84</v>
      </c>
      <c r="G72" s="333">
        <v>-1E-4</v>
      </c>
      <c r="H72" s="241">
        <v>52.25</v>
      </c>
      <c r="I72" s="229">
        <v>52.85</v>
      </c>
      <c r="J72" s="297">
        <v>52.25</v>
      </c>
      <c r="K72" s="233">
        <v>52.85</v>
      </c>
      <c r="L72" s="250">
        <v>434831</v>
      </c>
      <c r="M72" s="233">
        <v>828785</v>
      </c>
      <c r="N72" s="250">
        <v>216</v>
      </c>
      <c r="O72" s="290">
        <v>45378.645914351851</v>
      </c>
      <c r="P72" s="299">
        <v>71</v>
      </c>
      <c r="Q72" s="267">
        <v>0</v>
      </c>
      <c r="R72" s="277">
        <v>0</v>
      </c>
      <c r="S72" s="280">
        <v>0</v>
      </c>
      <c r="T72" s="247">
        <v>0</v>
      </c>
      <c r="U72" s="592"/>
      <c r="V72" s="315">
        <v>0</v>
      </c>
      <c r="W72" s="614">
        <f t="shared" ref="W72" si="33">(V72*X72)</f>
        <v>0</v>
      </c>
      <c r="X72" s="586"/>
      <c r="Y72" s="719">
        <f>IF(D72&lt;&gt;0,($C73*(1-$V$1))-$D72,0)</f>
        <v>-0.35000000000000142</v>
      </c>
      <c r="Z72" s="320">
        <f>IFERROR(IF(C72&lt;&gt;"",$Y$1/(D70/100)*(C72/100),""),"")</f>
        <v>94.856398246659097</v>
      </c>
      <c r="AA72" s="381">
        <f>IFERROR($AA$1/(D72/100)*(C70/100),"")</f>
        <v>106149.47965941345</v>
      </c>
      <c r="AB72" s="38"/>
      <c r="AC72" s="431"/>
      <c r="AF72" s="47">
        <f t="shared" si="32"/>
        <v>0</v>
      </c>
    </row>
    <row r="73" spans="1:40" ht="12.75" customHeight="1">
      <c r="A73" s="300" t="s">
        <v>6</v>
      </c>
      <c r="B73" s="311">
        <v>634</v>
      </c>
      <c r="C73" s="239">
        <v>52.5</v>
      </c>
      <c r="D73" s="453">
        <v>52.85</v>
      </c>
      <c r="E73" s="493">
        <v>100000</v>
      </c>
      <c r="F73" s="696">
        <v>52.7</v>
      </c>
      <c r="G73" s="332">
        <v>8.6E-3</v>
      </c>
      <c r="H73" s="237">
        <v>52.88</v>
      </c>
      <c r="I73" s="228">
        <v>52.88</v>
      </c>
      <c r="J73" s="292">
        <v>52.3</v>
      </c>
      <c r="K73" s="232">
        <v>52.25</v>
      </c>
      <c r="L73" s="235">
        <v>144312</v>
      </c>
      <c r="M73" s="232">
        <v>275343</v>
      </c>
      <c r="N73" s="235">
        <v>108</v>
      </c>
      <c r="O73" s="289">
        <v>45378.645555555559</v>
      </c>
      <c r="P73" s="298">
        <v>72</v>
      </c>
      <c r="Q73" s="266">
        <v>0</v>
      </c>
      <c r="R73" s="276">
        <v>0</v>
      </c>
      <c r="S73" s="278">
        <v>0</v>
      </c>
      <c r="T73" s="248">
        <v>0</v>
      </c>
      <c r="U73" s="591"/>
      <c r="V73" s="314">
        <v>0</v>
      </c>
      <c r="W73" s="615">
        <f>V72*(F72/100)</f>
        <v>0</v>
      </c>
      <c r="X73" s="588"/>
      <c r="Y73" s="601">
        <f>IFERROR(INT($AA$1/(F72/100)),"")</f>
        <v>189</v>
      </c>
      <c r="Z73" s="319">
        <f>IFERROR(IF(C73&lt;&gt;"",$Y$1/(D71/100)*(C73/100),""),"")</f>
        <v>93.461996918276185</v>
      </c>
      <c r="AA73" s="383">
        <f>IFERROR($AA$1/(D73/100)*(C71/100),"")</f>
        <v>107701.04068117315</v>
      </c>
      <c r="AB73" s="38"/>
      <c r="AC73" s="438"/>
      <c r="AD73" s="438"/>
      <c r="AE73" s="438"/>
      <c r="AF73" s="438">
        <f t="shared" si="32"/>
        <v>0</v>
      </c>
    </row>
    <row r="74" spans="1:40" ht="12.75" customHeight="1">
      <c r="A74" s="395" t="s">
        <v>18</v>
      </c>
      <c r="B74" s="390">
        <v>45</v>
      </c>
      <c r="C74" s="321">
        <v>56.12</v>
      </c>
      <c r="D74" s="259">
        <v>56.34</v>
      </c>
      <c r="E74" s="390">
        <v>18348</v>
      </c>
      <c r="F74" s="705">
        <v>56.19</v>
      </c>
      <c r="G74" s="333">
        <v>1E-3</v>
      </c>
      <c r="H74" s="241">
        <v>56.08</v>
      </c>
      <c r="I74" s="229">
        <v>56.5</v>
      </c>
      <c r="J74" s="297">
        <v>55.46</v>
      </c>
      <c r="K74" s="233">
        <v>56.13</v>
      </c>
      <c r="L74" s="250">
        <v>2911736</v>
      </c>
      <c r="M74" s="233">
        <v>5208765</v>
      </c>
      <c r="N74" s="250">
        <v>1804</v>
      </c>
      <c r="O74" s="290">
        <v>45378.64702546296</v>
      </c>
      <c r="P74" s="299">
        <v>73</v>
      </c>
      <c r="Q74" s="267">
        <v>0</v>
      </c>
      <c r="R74" s="277">
        <v>0</v>
      </c>
      <c r="S74" s="280">
        <v>0</v>
      </c>
      <c r="T74" s="247">
        <v>0</v>
      </c>
      <c r="U74" s="592"/>
      <c r="V74" s="432">
        <v>0</v>
      </c>
      <c r="W74" s="616">
        <f t="shared" si="31"/>
        <v>0</v>
      </c>
      <c r="X74" s="589"/>
      <c r="Y74" s="720">
        <f>IF(D74&lt;&gt;0,($C75*(1-$V$1))-$D74,0)</f>
        <v>-0.30000000000000426</v>
      </c>
      <c r="Z74" s="318">
        <f>IFERROR(IF(C74&lt;&gt;"",$Y$1/(D70/100)*(C74/100),""),"")</f>
        <v>101.45494700976765</v>
      </c>
      <c r="AA74" s="382">
        <f>IFERROR($Z$1/(D74/100)*(C70/100),"")</f>
        <v>99574.014909478166</v>
      </c>
      <c r="AB74" s="38"/>
      <c r="AC74" s="442">
        <f>SUM(AC70:AC73)</f>
        <v>856</v>
      </c>
      <c r="AD74" s="443"/>
      <c r="AE74" s="443" t="s">
        <v>588</v>
      </c>
      <c r="AF74" s="443">
        <f>SUM(AF70:AF73)</f>
        <v>412.01350000000002</v>
      </c>
    </row>
    <row r="75" spans="1:40" ht="12.75" customHeight="1">
      <c r="A75" s="425" t="s">
        <v>7</v>
      </c>
      <c r="B75" s="492">
        <v>45</v>
      </c>
      <c r="C75" s="411">
        <v>56.04</v>
      </c>
      <c r="D75" s="452">
        <v>56.38</v>
      </c>
      <c r="E75" s="494">
        <v>18348</v>
      </c>
      <c r="F75" s="704">
        <v>56.23</v>
      </c>
      <c r="G75" s="427">
        <v>3.9000000000000003E-3</v>
      </c>
      <c r="H75" s="413">
        <v>56.1</v>
      </c>
      <c r="I75" s="414">
        <v>56.65</v>
      </c>
      <c r="J75" s="415">
        <v>55.56</v>
      </c>
      <c r="K75" s="416">
        <v>56.01</v>
      </c>
      <c r="L75" s="421">
        <v>595818</v>
      </c>
      <c r="M75" s="416">
        <v>1065486</v>
      </c>
      <c r="N75" s="406">
        <v>731</v>
      </c>
      <c r="O75" s="407">
        <v>45378.647037037037</v>
      </c>
      <c r="P75" s="298">
        <v>74</v>
      </c>
      <c r="Q75" s="408">
        <v>0</v>
      </c>
      <c r="R75" s="428">
        <v>0</v>
      </c>
      <c r="S75" s="410">
        <v>0</v>
      </c>
      <c r="T75" s="419">
        <v>0</v>
      </c>
      <c r="U75" s="591"/>
      <c r="V75" s="433">
        <v>0</v>
      </c>
      <c r="W75" s="617">
        <f>V74*(F74/100)</f>
        <v>0</v>
      </c>
      <c r="X75" s="587"/>
      <c r="Y75" s="602">
        <f>IFERROR(INT($Z$1/(F74/100)),"")</f>
        <v>177</v>
      </c>
      <c r="Z75" s="422">
        <f>IFERROR(IF(C75&lt;&gt;"",$Y$1/(D71/100)*(C75/100),""),"")</f>
        <v>99.764005853337096</v>
      </c>
      <c r="AA75" s="429">
        <f>IFERROR($Z$1/(D75/100)*(C71/100),"")</f>
        <v>100957.78644909542</v>
      </c>
      <c r="AB75" s="38"/>
      <c r="AC75" s="732">
        <f>AF74/AC74</f>
        <v>0.48132418224299067</v>
      </c>
      <c r="AD75" s="732"/>
      <c r="AE75" s="732"/>
      <c r="AF75" s="732"/>
    </row>
    <row r="76" spans="1:40" ht="12.75" customHeight="1">
      <c r="A76" s="274" t="s">
        <v>582</v>
      </c>
      <c r="B76" s="251">
        <v>45000</v>
      </c>
      <c r="C76" s="321">
        <v>175.501</v>
      </c>
      <c r="D76" s="259">
        <v>175.97200000000001</v>
      </c>
      <c r="E76" s="251">
        <v>24941315</v>
      </c>
      <c r="F76" s="695">
        <v>175.5</v>
      </c>
      <c r="G76" s="330">
        <v>-9.4999999999999998E-3</v>
      </c>
      <c r="H76" s="238">
        <v>179</v>
      </c>
      <c r="I76" s="230">
        <v>179.40700000000001</v>
      </c>
      <c r="J76" s="294">
        <v>175.16200000000001</v>
      </c>
      <c r="K76" s="234">
        <v>177.2</v>
      </c>
      <c r="L76" s="255">
        <v>8187039515</v>
      </c>
      <c r="M76" s="234">
        <v>4630139000</v>
      </c>
      <c r="N76" s="255">
        <v>2018</v>
      </c>
      <c r="O76" s="288">
        <v>45378.646423611113</v>
      </c>
      <c r="P76" s="299">
        <v>75</v>
      </c>
      <c r="Q76" s="268">
        <v>0</v>
      </c>
      <c r="R76" s="275">
        <v>0</v>
      </c>
      <c r="S76" s="279">
        <v>0</v>
      </c>
      <c r="T76" s="249">
        <v>0</v>
      </c>
      <c r="U76" s="592"/>
      <c r="V76" s="447"/>
      <c r="W76" s="484">
        <f>V76*X76</f>
        <v>0</v>
      </c>
      <c r="X76" s="586"/>
      <c r="Y76" s="628">
        <f>IF(D76&lt;&gt;0,($C77*(1-$V$1))-$D76,0)</f>
        <v>2.0279999999999916</v>
      </c>
      <c r="Z76" s="451"/>
      <c r="AA76" s="335"/>
      <c r="AB76" s="38"/>
    </row>
    <row r="77" spans="1:40" ht="12.75" customHeight="1">
      <c r="A77" s="450" t="s">
        <v>583</v>
      </c>
      <c r="B77" s="240">
        <v>939186</v>
      </c>
      <c r="C77" s="239">
        <v>178</v>
      </c>
      <c r="D77" s="453">
        <v>178.2</v>
      </c>
      <c r="E77" s="454">
        <v>849284</v>
      </c>
      <c r="F77" s="696">
        <v>178.2</v>
      </c>
      <c r="G77" s="332">
        <v>-4.4000000000000003E-3</v>
      </c>
      <c r="H77" s="237">
        <v>179</v>
      </c>
      <c r="I77" s="228">
        <v>182.577</v>
      </c>
      <c r="J77" s="292">
        <v>177.70099999999999</v>
      </c>
      <c r="K77" s="232">
        <v>179</v>
      </c>
      <c r="L77" s="235">
        <v>2021153778</v>
      </c>
      <c r="M77" s="232">
        <v>1126736749</v>
      </c>
      <c r="N77" s="235">
        <v>1202</v>
      </c>
      <c r="O77" s="289">
        <v>45378.647141203706</v>
      </c>
      <c r="P77" s="298">
        <v>76</v>
      </c>
      <c r="Q77" s="266">
        <v>0</v>
      </c>
      <c r="R77" s="276">
        <v>0</v>
      </c>
      <c r="S77" s="278">
        <v>0</v>
      </c>
      <c r="T77" s="248">
        <v>0</v>
      </c>
      <c r="U77" s="591"/>
      <c r="V77" s="444">
        <v>0</v>
      </c>
      <c r="W77" s="479">
        <f>V76*(F76/100)</f>
        <v>0</v>
      </c>
      <c r="X77" s="588"/>
      <c r="Y77" s="600">
        <f>IFERROR(INT($Y$1/(F76/100)),"")</f>
        <v>57819</v>
      </c>
      <c r="Z77" s="391"/>
      <c r="AA77" s="336"/>
      <c r="AB77" s="38"/>
    </row>
    <row r="78" spans="1:40" ht="12.75" hidden="1" customHeight="1">
      <c r="A78" s="242" t="s">
        <v>584</v>
      </c>
      <c r="B78" s="251">
        <v>680517191</v>
      </c>
      <c r="C78" s="321">
        <v>0.16400000000000001</v>
      </c>
      <c r="D78" s="259">
        <v>0.16500000000000001</v>
      </c>
      <c r="E78" s="251">
        <v>74479442</v>
      </c>
      <c r="F78" s="705">
        <v>0.16500000000000001</v>
      </c>
      <c r="G78" s="333">
        <v>-2.3599999999999999E-2</v>
      </c>
      <c r="H78" s="241">
        <v>0.16900000000000001</v>
      </c>
      <c r="I78" s="229">
        <v>0.17599999999999999</v>
      </c>
      <c r="J78" s="297">
        <v>0.161</v>
      </c>
      <c r="K78" s="233">
        <v>0.16900000000000001</v>
      </c>
      <c r="L78" s="250">
        <v>2394342</v>
      </c>
      <c r="M78" s="233">
        <v>1448705855</v>
      </c>
      <c r="N78" s="250">
        <v>584</v>
      </c>
      <c r="O78" s="290">
        <v>45378.646226851852</v>
      </c>
      <c r="P78" s="299">
        <v>77</v>
      </c>
      <c r="Q78" s="267">
        <v>0</v>
      </c>
      <c r="R78" s="277">
        <v>0</v>
      </c>
      <c r="S78" s="280">
        <v>0</v>
      </c>
      <c r="T78" s="247">
        <v>0</v>
      </c>
      <c r="U78" s="592"/>
      <c r="V78" s="448">
        <v>0</v>
      </c>
      <c r="W78" s="480">
        <f t="shared" ref="W78" si="34">(V78*X78)</f>
        <v>0</v>
      </c>
      <c r="X78" s="586"/>
      <c r="Y78" s="719">
        <f>IF(D78&lt;&gt;0,($C79*(1-$V$1))-$D78,0)</f>
        <v>-1.0000000000000009E-3</v>
      </c>
      <c r="Z78" s="320">
        <f>IFERROR(IF(C78&lt;&gt;"",$Y$1/(D76/100)*(C78/100),""),"")</f>
        <v>94.569455009838762</v>
      </c>
      <c r="AA78" s="381">
        <f>IFERROR($AA$1/(D78/100)*(C76/100),"")</f>
        <v>106364.24242424243</v>
      </c>
      <c r="AB78" s="38"/>
    </row>
    <row r="79" spans="1:40" ht="12.75" hidden="1" customHeight="1">
      <c r="A79" s="300" t="s">
        <v>585</v>
      </c>
      <c r="B79" s="240">
        <v>182926829</v>
      </c>
      <c r="C79" s="239">
        <v>0.16400000000000001</v>
      </c>
      <c r="D79" s="453"/>
      <c r="E79" s="454"/>
      <c r="F79" s="696"/>
      <c r="G79" s="332"/>
      <c r="H79" s="237"/>
      <c r="I79" s="228"/>
      <c r="J79" s="292"/>
      <c r="K79" s="232">
        <v>0.161</v>
      </c>
      <c r="L79" s="235"/>
      <c r="M79" s="232"/>
      <c r="N79" s="235"/>
      <c r="O79" s="289"/>
      <c r="P79" s="298">
        <v>78</v>
      </c>
      <c r="Q79" s="266">
        <v>0</v>
      </c>
      <c r="R79" s="276">
        <v>0</v>
      </c>
      <c r="S79" s="278">
        <v>0</v>
      </c>
      <c r="T79" s="248">
        <v>0</v>
      </c>
      <c r="U79" s="591"/>
      <c r="V79" s="445">
        <v>0</v>
      </c>
      <c r="W79" s="481">
        <f>V78*(F78/100)</f>
        <v>0</v>
      </c>
      <c r="X79" s="588"/>
      <c r="Y79" s="601">
        <f>IFERROR(INT($AA$1/(F78/100)),"")</f>
        <v>60606</v>
      </c>
      <c r="Z79" s="319">
        <f>IFERROR(IF(C79&lt;&gt;"",$Y$1/(D77/100)*(C79/100),""),"")</f>
        <v>93.387071475821259</v>
      </c>
      <c r="AA79" s="383" t="str">
        <f>IFERROR($AA$1/(D79/100)*(C77/100),"")</f>
        <v/>
      </c>
      <c r="AB79" s="38"/>
    </row>
    <row r="80" spans="1:40" ht="12.75" customHeight="1">
      <c r="A80" s="395" t="s">
        <v>586</v>
      </c>
      <c r="B80" s="251">
        <v>457609287</v>
      </c>
      <c r="C80" s="468">
        <v>0.17499999999999999</v>
      </c>
      <c r="D80" s="469">
        <v>0.17699999999999999</v>
      </c>
      <c r="E80" s="251">
        <v>357400098</v>
      </c>
      <c r="F80" s="705">
        <v>0.17699999999999999</v>
      </c>
      <c r="G80" s="333">
        <v>-2.7400000000000001E-2</v>
      </c>
      <c r="H80" s="241">
        <v>0.17299999999999999</v>
      </c>
      <c r="I80" s="229">
        <v>0.17699999999999999</v>
      </c>
      <c r="J80" s="297">
        <v>0.17299999999999999</v>
      </c>
      <c r="K80" s="233">
        <v>0.182</v>
      </c>
      <c r="L80" s="250">
        <v>2847573</v>
      </c>
      <c r="M80" s="233">
        <v>1621962943</v>
      </c>
      <c r="N80" s="250">
        <v>783</v>
      </c>
      <c r="O80" s="290">
        <v>45378.647141203706</v>
      </c>
      <c r="P80" s="299">
        <v>79</v>
      </c>
      <c r="Q80" s="267">
        <v>0</v>
      </c>
      <c r="R80" s="277">
        <v>0</v>
      </c>
      <c r="S80" s="280">
        <v>0</v>
      </c>
      <c r="T80" s="247">
        <v>0</v>
      </c>
      <c r="U80" s="592"/>
      <c r="V80" s="449">
        <v>0</v>
      </c>
      <c r="W80" s="482">
        <f t="shared" si="31"/>
        <v>0</v>
      </c>
      <c r="X80" s="589"/>
      <c r="Y80" s="720">
        <f>IF(D80&lt;&gt;0,($C81*(1-$V$1))-$D80,0)</f>
        <v>-2.0000000000000018E-3</v>
      </c>
      <c r="Z80" s="318">
        <f>IFERROR(IF(C80&lt;&gt;"",$Y$1/(D76/100)*(C80/100),""),"")</f>
        <v>100.91252821171818</v>
      </c>
      <c r="AA80" s="382">
        <f>IFERROR($Z$1/(D80/100)*(C76/100),"")</f>
        <v>99153.107344632779</v>
      </c>
      <c r="AB80" s="38"/>
      <c r="AC80"/>
    </row>
    <row r="81" spans="1:29" ht="12.75" customHeight="1">
      <c r="A81" s="425" t="s">
        <v>587</v>
      </c>
      <c r="B81" s="426">
        <v>10000</v>
      </c>
      <c r="C81" s="411">
        <v>0.17499999999999999</v>
      </c>
      <c r="D81" s="452">
        <v>0.17599999999999999</v>
      </c>
      <c r="E81" s="420">
        <v>453765</v>
      </c>
      <c r="F81" s="704">
        <v>0.17599999999999999</v>
      </c>
      <c r="G81" s="427">
        <v>-5.6000000000000008E-3</v>
      </c>
      <c r="H81" s="413">
        <v>0.17699999999999999</v>
      </c>
      <c r="I81" s="414">
        <v>0.17699999999999999</v>
      </c>
      <c r="J81" s="415">
        <v>0.17399999999999999</v>
      </c>
      <c r="K81" s="416">
        <v>0.17699999999999999</v>
      </c>
      <c r="L81" s="406">
        <v>2129</v>
      </c>
      <c r="M81" s="416">
        <v>1217159</v>
      </c>
      <c r="N81" s="406">
        <v>19</v>
      </c>
      <c r="O81" s="407">
        <v>45378.627789351849</v>
      </c>
      <c r="P81" s="298">
        <v>80</v>
      </c>
      <c r="Q81" s="408">
        <v>0</v>
      </c>
      <c r="R81" s="428">
        <v>0</v>
      </c>
      <c r="S81" s="410">
        <v>0</v>
      </c>
      <c r="T81" s="419">
        <v>0</v>
      </c>
      <c r="U81" s="591"/>
      <c r="V81" s="446">
        <v>0</v>
      </c>
      <c r="W81" s="483">
        <f>V80*(F80/100)</f>
        <v>0</v>
      </c>
      <c r="X81" s="587"/>
      <c r="Y81" s="602">
        <f>IFERROR(INT($Z$1/(F80/100)),"")</f>
        <v>56497</v>
      </c>
      <c r="Z81" s="422">
        <f>IFERROR(IF(C81&lt;&gt;"",$Y$1/(D77/100)*(C81/100),""),"")</f>
        <v>99.65083846505317</v>
      </c>
      <c r="AA81" s="429">
        <f>IFERROR($Z$1/(D81/100)*(C77/100),"")</f>
        <v>101136.36363636365</v>
      </c>
      <c r="AB81" s="38"/>
      <c r="AC81"/>
    </row>
    <row r="82" spans="1:29" ht="12.75" customHeight="1">
      <c r="A82" s="274" t="s">
        <v>618</v>
      </c>
      <c r="B82" s="251">
        <v>208384</v>
      </c>
      <c r="C82" s="321">
        <v>101.11</v>
      </c>
      <c r="D82" s="259">
        <v>102</v>
      </c>
      <c r="E82" s="251">
        <v>39643052</v>
      </c>
      <c r="F82" s="695">
        <v>102</v>
      </c>
      <c r="G82" s="330">
        <v>1.78E-2</v>
      </c>
      <c r="H82" s="238">
        <v>100.992</v>
      </c>
      <c r="I82" s="230">
        <v>102.6</v>
      </c>
      <c r="J82" s="294">
        <v>100.5</v>
      </c>
      <c r="K82" s="234">
        <v>100.21</v>
      </c>
      <c r="L82" s="255">
        <v>87478796</v>
      </c>
      <c r="M82" s="234">
        <v>86093558</v>
      </c>
      <c r="N82" s="255">
        <v>363</v>
      </c>
      <c r="O82" s="288">
        <v>45378.646145833336</v>
      </c>
      <c r="P82" s="299">
        <v>81</v>
      </c>
      <c r="Q82" s="268">
        <v>0</v>
      </c>
      <c r="R82" s="275">
        <v>0</v>
      </c>
      <c r="S82" s="279">
        <v>0</v>
      </c>
      <c r="T82" s="249">
        <v>0</v>
      </c>
      <c r="U82" s="592"/>
      <c r="V82" s="435"/>
      <c r="W82" s="484">
        <f t="shared" si="31"/>
        <v>0</v>
      </c>
      <c r="X82" s="586"/>
      <c r="Y82" s="628">
        <f>IF(D82&lt;&gt;0,($C83*(1-$V$1))-$D82,0)</f>
        <v>0.29999999999999716</v>
      </c>
      <c r="Z82" s="451"/>
      <c r="AA82" s="335"/>
      <c r="AB82" s="38"/>
      <c r="AC82"/>
    </row>
    <row r="83" spans="1:29" ht="12.75" customHeight="1">
      <c r="A83" s="273" t="s">
        <v>619</v>
      </c>
      <c r="B83" s="240">
        <v>28910068</v>
      </c>
      <c r="C83" s="239">
        <v>102.3</v>
      </c>
      <c r="D83" s="453">
        <v>102.35</v>
      </c>
      <c r="E83" s="454">
        <v>9235379</v>
      </c>
      <c r="F83" s="696">
        <v>102.35</v>
      </c>
      <c r="G83" s="332">
        <v>5.7999999999999996E-3</v>
      </c>
      <c r="H83" s="237">
        <v>101.8</v>
      </c>
      <c r="I83" s="228">
        <v>104.8</v>
      </c>
      <c r="J83" s="292">
        <v>101.8</v>
      </c>
      <c r="K83" s="232">
        <v>101.75</v>
      </c>
      <c r="L83" s="235">
        <v>5667777942</v>
      </c>
      <c r="M83" s="232">
        <v>5538999433</v>
      </c>
      <c r="N83" s="235">
        <v>1444</v>
      </c>
      <c r="O83" s="289">
        <v>45378.647210648145</v>
      </c>
      <c r="P83" s="298">
        <v>82</v>
      </c>
      <c r="Q83" s="266">
        <v>0</v>
      </c>
      <c r="R83" s="276">
        <v>0</v>
      </c>
      <c r="S83" s="278">
        <v>0</v>
      </c>
      <c r="T83" s="248">
        <v>0</v>
      </c>
      <c r="U83" s="591"/>
      <c r="V83" s="434"/>
      <c r="W83" s="479">
        <f>V82*(D83/100)</f>
        <v>0</v>
      </c>
      <c r="X83" s="588"/>
      <c r="Y83" s="600">
        <f>IFERROR(INT($Y$1/(F82/100)),"")</f>
        <v>99483</v>
      </c>
      <c r="Z83" s="391"/>
      <c r="AA83" s="336"/>
      <c r="AB83" s="38"/>
      <c r="AC83"/>
    </row>
    <row r="84" spans="1:29" ht="12.75" hidden="1" customHeight="1">
      <c r="A84" s="242" t="s">
        <v>620</v>
      </c>
      <c r="B84" s="251"/>
      <c r="C84" s="321"/>
      <c r="D84" s="259"/>
      <c r="E84" s="251"/>
      <c r="F84" s="705"/>
      <c r="G84" s="333"/>
      <c r="H84" s="241"/>
      <c r="I84" s="229"/>
      <c r="J84" s="297"/>
      <c r="K84" s="233"/>
      <c r="L84" s="250"/>
      <c r="M84" s="233"/>
      <c r="N84" s="250"/>
      <c r="O84" s="290"/>
      <c r="P84" s="299">
        <v>83</v>
      </c>
      <c r="Q84" s="267">
        <v>0</v>
      </c>
      <c r="R84" s="277">
        <v>0</v>
      </c>
      <c r="S84" s="280">
        <v>0</v>
      </c>
      <c r="T84" s="247">
        <v>0</v>
      </c>
      <c r="U84" s="592"/>
      <c r="V84" s="315"/>
      <c r="W84" s="480">
        <f t="shared" ref="W84" si="35">(V84*X84)</f>
        <v>0</v>
      </c>
      <c r="X84" s="586"/>
      <c r="Y84" s="719">
        <f>IF(D84&lt;&gt;0,($C85*(1-$V$1))-$D84,0)</f>
        <v>0</v>
      </c>
      <c r="Z84" s="320" t="str">
        <f>IFERROR(IF(C84&lt;&gt;"",$Y$1/(D82/100)*(C84/100),""),"")</f>
        <v/>
      </c>
      <c r="AA84" s="381" t="str">
        <f>IFERROR($AA$1/(D84/100)*(C82/100),"")</f>
        <v/>
      </c>
      <c r="AB84" s="38"/>
      <c r="AC84"/>
    </row>
    <row r="85" spans="1:29" ht="12.75" hidden="1" customHeight="1">
      <c r="A85" s="300" t="s">
        <v>621</v>
      </c>
      <c r="B85" s="240"/>
      <c r="C85" s="239"/>
      <c r="D85" s="453"/>
      <c r="E85" s="454"/>
      <c r="F85" s="696"/>
      <c r="G85" s="332"/>
      <c r="H85" s="237"/>
      <c r="I85" s="228"/>
      <c r="J85" s="292"/>
      <c r="K85" s="232"/>
      <c r="L85" s="235"/>
      <c r="M85" s="232"/>
      <c r="N85" s="235"/>
      <c r="O85" s="289"/>
      <c r="P85" s="298">
        <v>84</v>
      </c>
      <c r="Q85" s="266">
        <v>0</v>
      </c>
      <c r="R85" s="276">
        <v>0</v>
      </c>
      <c r="S85" s="278">
        <v>0</v>
      </c>
      <c r="T85" s="248">
        <v>0</v>
      </c>
      <c r="U85" s="591"/>
      <c r="V85" s="314">
        <v>0</v>
      </c>
      <c r="W85" s="481">
        <f>V84*(F84/100)</f>
        <v>0</v>
      </c>
      <c r="X85" s="588"/>
      <c r="Y85" s="601" t="str">
        <f>IFERROR(INT($AA$1/(F84/100)),"")</f>
        <v/>
      </c>
      <c r="Z85" s="319" t="str">
        <f>IFERROR(IF(C85&lt;&gt;"",$Y$1/(D83/100)*(C85/100),""),"")</f>
        <v/>
      </c>
      <c r="AA85" s="383" t="str">
        <f>IFERROR($AA$1/(D85/100)*(C83/100),"")</f>
        <v/>
      </c>
      <c r="AB85" s="38"/>
      <c r="AC85"/>
    </row>
    <row r="86" spans="1:29" ht="12.75" customHeight="1">
      <c r="A86" s="395" t="s">
        <v>622</v>
      </c>
      <c r="B86" s="251"/>
      <c r="C86" s="321"/>
      <c r="D86" s="259"/>
      <c r="E86" s="251"/>
      <c r="F86" s="705"/>
      <c r="G86" s="333"/>
      <c r="H86" s="241"/>
      <c r="I86" s="229"/>
      <c r="J86" s="297"/>
      <c r="K86" s="233"/>
      <c r="L86" s="250"/>
      <c r="M86" s="233"/>
      <c r="N86" s="250"/>
      <c r="O86" s="290"/>
      <c r="P86" s="299">
        <v>85</v>
      </c>
      <c r="Q86" s="267">
        <v>0</v>
      </c>
      <c r="R86" s="277">
        <v>0</v>
      </c>
      <c r="S86" s="280">
        <v>0</v>
      </c>
      <c r="T86" s="247">
        <v>0</v>
      </c>
      <c r="U86" s="592"/>
      <c r="V86" s="432">
        <v>0</v>
      </c>
      <c r="W86" s="482">
        <f t="shared" ref="W86" si="36">(V86*X86)</f>
        <v>0</v>
      </c>
      <c r="X86" s="589"/>
      <c r="Y86" s="720">
        <f>IF(D86&lt;&gt;0,($C87*(1-$V$1))-$D86,0)</f>
        <v>0</v>
      </c>
      <c r="Z86" s="318" t="str">
        <f>IFERROR(IF(C86&lt;&gt;"",$Y$1/(D82/100)*(C86/100),""),"")</f>
        <v/>
      </c>
      <c r="AA86" s="382" t="str">
        <f>IFERROR($Z$1/(D86/100)*(C82/100),"")</f>
        <v/>
      </c>
      <c r="AB86" s="38"/>
      <c r="AC86"/>
    </row>
    <row r="87" spans="1:29" ht="12.75" customHeight="1">
      <c r="A87" s="425" t="s">
        <v>623</v>
      </c>
      <c r="B87" s="426"/>
      <c r="C87" s="411"/>
      <c r="D87" s="452"/>
      <c r="E87" s="420"/>
      <c r="F87" s="704"/>
      <c r="G87" s="427"/>
      <c r="H87" s="413"/>
      <c r="I87" s="414"/>
      <c r="J87" s="415"/>
      <c r="K87" s="416"/>
      <c r="L87" s="406"/>
      <c r="M87" s="416"/>
      <c r="N87" s="406"/>
      <c r="O87" s="407"/>
      <c r="P87" s="298">
        <v>86</v>
      </c>
      <c r="Q87" s="408">
        <v>0</v>
      </c>
      <c r="R87" s="428">
        <v>0</v>
      </c>
      <c r="S87" s="410">
        <v>0</v>
      </c>
      <c r="T87" s="419">
        <v>0</v>
      </c>
      <c r="U87" s="591"/>
      <c r="V87" s="433">
        <v>0</v>
      </c>
      <c r="W87" s="485">
        <f>V86*(F86/100)</f>
        <v>0</v>
      </c>
      <c r="X87" s="587"/>
      <c r="Y87" s="602" t="str">
        <f>IFERROR(INT($Z$1/(F86/100)),"")</f>
        <v/>
      </c>
      <c r="Z87" s="422" t="str">
        <f>IFERROR(IF(C87&lt;&gt;"",$Y$1/(D83/100)*(C87/100),""),"")</f>
        <v/>
      </c>
      <c r="AA87" s="429" t="str">
        <f>IFERROR($Z$1/(D87/100)*(C83/100),"")</f>
        <v/>
      </c>
      <c r="AB87" s="38"/>
      <c r="AC87"/>
    </row>
    <row r="88" spans="1:29" ht="12.75" customHeight="1">
      <c r="A88" s="274" t="s">
        <v>568</v>
      </c>
      <c r="B88" s="251">
        <v>150</v>
      </c>
      <c r="C88" s="321">
        <v>86200</v>
      </c>
      <c r="D88" s="259">
        <v>86470</v>
      </c>
      <c r="E88" s="251">
        <v>10390</v>
      </c>
      <c r="F88" s="695">
        <v>86470</v>
      </c>
      <c r="G88" s="330">
        <v>4.1999999999999997E-3</v>
      </c>
      <c r="H88" s="238">
        <v>87890</v>
      </c>
      <c r="I88" s="230">
        <v>89940</v>
      </c>
      <c r="J88" s="294">
        <v>86120</v>
      </c>
      <c r="K88" s="234">
        <v>86100</v>
      </c>
      <c r="L88" s="255">
        <v>68883740</v>
      </c>
      <c r="M88" s="234">
        <v>79121</v>
      </c>
      <c r="N88" s="255">
        <v>309</v>
      </c>
      <c r="O88" s="288">
        <v>45378.64508101852</v>
      </c>
      <c r="P88" s="299">
        <v>87</v>
      </c>
      <c r="Q88" s="268">
        <v>0</v>
      </c>
      <c r="R88" s="275">
        <v>0</v>
      </c>
      <c r="S88" s="279">
        <v>0</v>
      </c>
      <c r="T88" s="249">
        <v>0</v>
      </c>
      <c r="U88" s="592"/>
      <c r="V88" s="435"/>
      <c r="W88" s="484">
        <f t="shared" ref="W88" si="37">(V88*X88)</f>
        <v>0</v>
      </c>
      <c r="X88" s="586"/>
      <c r="Y88" s="628">
        <f>IF(D88&lt;&gt;0,($C89*(1-$V$1))-$D88,0)</f>
        <v>1160</v>
      </c>
      <c r="Z88" s="451"/>
      <c r="AA88" s="335"/>
      <c r="AB88" s="38"/>
      <c r="AC88"/>
    </row>
    <row r="89" spans="1:29" ht="12.75" customHeight="1">
      <c r="A89" s="273" t="s">
        <v>569</v>
      </c>
      <c r="B89" s="240">
        <v>75</v>
      </c>
      <c r="C89" s="239">
        <v>87630</v>
      </c>
      <c r="D89" s="453">
        <v>87750</v>
      </c>
      <c r="E89" s="454">
        <v>390</v>
      </c>
      <c r="F89" s="696">
        <v>87620</v>
      </c>
      <c r="G89" s="332">
        <v>-4.3E-3</v>
      </c>
      <c r="H89" s="237">
        <v>88800</v>
      </c>
      <c r="I89" s="228">
        <v>89250</v>
      </c>
      <c r="J89" s="292">
        <v>87200</v>
      </c>
      <c r="K89" s="232">
        <v>88000</v>
      </c>
      <c r="L89" s="235">
        <v>427069080</v>
      </c>
      <c r="M89" s="232">
        <v>484747</v>
      </c>
      <c r="N89" s="235">
        <v>1093</v>
      </c>
      <c r="O89" s="289">
        <v>45378.647037037037</v>
      </c>
      <c r="P89" s="298">
        <v>88</v>
      </c>
      <c r="Q89" s="266">
        <v>0</v>
      </c>
      <c r="R89" s="276">
        <v>0</v>
      </c>
      <c r="S89" s="278">
        <v>0</v>
      </c>
      <c r="T89" s="248">
        <v>0</v>
      </c>
      <c r="U89" s="591"/>
      <c r="V89" s="434">
        <v>0</v>
      </c>
      <c r="W89" s="479">
        <f>V88*(F88/100)</f>
        <v>0</v>
      </c>
      <c r="X89" s="588"/>
      <c r="Y89" s="600">
        <f>IFERROR(INT($Y$1/(F88/100)),"")</f>
        <v>117</v>
      </c>
      <c r="Z89" s="391"/>
      <c r="AA89" s="336"/>
      <c r="AB89" s="38"/>
      <c r="AC89"/>
    </row>
    <row r="90" spans="1:29" ht="12.75" hidden="1" customHeight="1">
      <c r="A90" s="242" t="s">
        <v>570</v>
      </c>
      <c r="B90" s="251"/>
      <c r="C90" s="321"/>
      <c r="D90" s="259"/>
      <c r="E90" s="251"/>
      <c r="F90" s="705"/>
      <c r="G90" s="333"/>
      <c r="H90" s="241"/>
      <c r="I90" s="229"/>
      <c r="J90" s="229"/>
      <c r="K90" s="264">
        <v>80.599999999999994</v>
      </c>
      <c r="L90" s="250"/>
      <c r="M90" s="233"/>
      <c r="N90" s="250"/>
      <c r="O90" s="290"/>
      <c r="P90" s="299">
        <v>89</v>
      </c>
      <c r="Q90" s="267">
        <v>0</v>
      </c>
      <c r="R90" s="277">
        <v>0</v>
      </c>
      <c r="S90" s="280">
        <v>0</v>
      </c>
      <c r="T90" s="247">
        <v>0</v>
      </c>
      <c r="U90" s="592"/>
      <c r="V90" s="315"/>
      <c r="W90" s="480">
        <f t="shared" ref="W90" si="38">(V90*X90)</f>
        <v>0</v>
      </c>
      <c r="X90" s="586"/>
      <c r="Y90" s="719">
        <f>IF(D90&lt;&gt;0,($C91*(1-$V$1))-$D90,0)</f>
        <v>0</v>
      </c>
      <c r="Z90" s="320" t="str">
        <f>IFERROR(IF(C90&lt;&gt;"",$Y$1/(D88/100)*(C90/100),""),"")</f>
        <v/>
      </c>
      <c r="AA90" s="381" t="str">
        <f>IFERROR($AA$1/(D90/100)*(C88/100),"")</f>
        <v/>
      </c>
      <c r="AB90" s="38"/>
      <c r="AC90"/>
    </row>
    <row r="91" spans="1:29" ht="12.75" hidden="1" customHeight="1">
      <c r="A91" s="300" t="s">
        <v>571</v>
      </c>
      <c r="B91" s="240"/>
      <c r="C91" s="239"/>
      <c r="D91" s="453"/>
      <c r="E91" s="454"/>
      <c r="F91" s="696"/>
      <c r="G91" s="332"/>
      <c r="H91" s="237"/>
      <c r="I91" s="228"/>
      <c r="J91" s="228"/>
      <c r="K91" s="261"/>
      <c r="L91" s="235"/>
      <c r="M91" s="232"/>
      <c r="N91" s="235"/>
      <c r="O91" s="289"/>
      <c r="P91" s="298">
        <v>90</v>
      </c>
      <c r="Q91" s="266">
        <v>0</v>
      </c>
      <c r="R91" s="276">
        <v>0</v>
      </c>
      <c r="S91" s="278">
        <v>0</v>
      </c>
      <c r="T91" s="248">
        <v>0</v>
      </c>
      <c r="U91" s="591"/>
      <c r="V91" s="314">
        <v>0</v>
      </c>
      <c r="W91" s="481">
        <f>V90*(F90/100)</f>
        <v>0</v>
      </c>
      <c r="X91" s="588"/>
      <c r="Y91" s="601" t="str">
        <f>IFERROR(INT($AA$1/(F90/100)),"")</f>
        <v/>
      </c>
      <c r="Z91" s="319" t="str">
        <f>IFERROR(IF(C91&lt;&gt;"",$Y$1/(D89/100)*(C91/100),""),"")</f>
        <v/>
      </c>
      <c r="AA91" s="383" t="str">
        <f>IFERROR($AA$1/(D91/100)*(C89/100),"")</f>
        <v/>
      </c>
      <c r="AB91" s="38"/>
      <c r="AC91"/>
    </row>
    <row r="92" spans="1:29" ht="12.75" customHeight="1">
      <c r="A92" s="395" t="s">
        <v>572</v>
      </c>
      <c r="B92" s="251">
        <v>3019</v>
      </c>
      <c r="C92" s="321">
        <v>85.53</v>
      </c>
      <c r="D92" s="259">
        <v>86.25</v>
      </c>
      <c r="E92" s="251">
        <v>200</v>
      </c>
      <c r="F92" s="705">
        <v>86.4</v>
      </c>
      <c r="G92" s="333">
        <v>1.46E-2</v>
      </c>
      <c r="H92" s="241">
        <v>87.45</v>
      </c>
      <c r="I92" s="229">
        <v>87.45</v>
      </c>
      <c r="J92" s="229">
        <v>85.15</v>
      </c>
      <c r="K92" s="264">
        <v>85.15</v>
      </c>
      <c r="L92" s="250">
        <v>22188</v>
      </c>
      <c r="M92" s="233">
        <v>25689</v>
      </c>
      <c r="N92" s="250">
        <v>59</v>
      </c>
      <c r="O92" s="290">
        <v>45378.638611111113</v>
      </c>
      <c r="P92" s="299">
        <v>91</v>
      </c>
      <c r="Q92" s="267">
        <v>0</v>
      </c>
      <c r="R92" s="277">
        <v>0</v>
      </c>
      <c r="S92" s="280">
        <v>0</v>
      </c>
      <c r="T92" s="247">
        <v>0</v>
      </c>
      <c r="U92" s="592"/>
      <c r="V92" s="432">
        <v>0</v>
      </c>
      <c r="W92" s="482">
        <f t="shared" ref="W92" si="39">(V92*X92)</f>
        <v>0</v>
      </c>
      <c r="X92" s="589"/>
      <c r="Y92" s="720">
        <f>IF(D92&lt;&gt;0,($C93*(1-$V$1))-$D92,0)</f>
        <v>-0.15999999999999659</v>
      </c>
      <c r="Z92" s="318">
        <f>IFERROR(IF(C92&lt;&gt;"",$Y$1/(D88/100)*(C92/100),""),"")</f>
        <v>100.36993000511032</v>
      </c>
      <c r="AA92" s="382">
        <f>IFERROR($Z$1/(D92/100)*(C88/100),"")</f>
        <v>99942.028985507233</v>
      </c>
      <c r="AB92" s="38"/>
      <c r="AC92"/>
    </row>
    <row r="93" spans="1:29" ht="12.75" customHeight="1">
      <c r="A93" s="425" t="s">
        <v>573</v>
      </c>
      <c r="B93" s="426">
        <v>365</v>
      </c>
      <c r="C93" s="411">
        <v>86.09</v>
      </c>
      <c r="D93" s="452">
        <v>86.1</v>
      </c>
      <c r="E93" s="420">
        <v>32246</v>
      </c>
      <c r="F93" s="704">
        <v>86.1</v>
      </c>
      <c r="G93" s="427">
        <v>7.6E-3</v>
      </c>
      <c r="H93" s="413">
        <v>85.4</v>
      </c>
      <c r="I93" s="414">
        <v>86.5</v>
      </c>
      <c r="J93" s="414">
        <v>85</v>
      </c>
      <c r="K93" s="430">
        <v>85.45</v>
      </c>
      <c r="L93" s="406">
        <v>288134</v>
      </c>
      <c r="M93" s="416">
        <v>335062</v>
      </c>
      <c r="N93" s="406">
        <v>385</v>
      </c>
      <c r="O93" s="407">
        <v>45378.647037037037</v>
      </c>
      <c r="P93" s="298">
        <v>92</v>
      </c>
      <c r="Q93" s="408">
        <v>0</v>
      </c>
      <c r="R93" s="428">
        <v>0</v>
      </c>
      <c r="S93" s="410">
        <v>0</v>
      </c>
      <c r="T93" s="419">
        <v>0</v>
      </c>
      <c r="U93" s="591"/>
      <c r="V93" s="433">
        <v>0</v>
      </c>
      <c r="W93" s="485">
        <f>V92*(F92/100)</f>
        <v>0</v>
      </c>
      <c r="X93" s="587"/>
      <c r="Y93" s="602">
        <f>IFERROR(INT($Z$1/(F92/100)),"")</f>
        <v>115</v>
      </c>
      <c r="Z93" s="422">
        <f>IFERROR(IF(C93&lt;&gt;"",$Y$1/(D89/100)*(C93/100),""),"")</f>
        <v>99.55342155747239</v>
      </c>
      <c r="AA93" s="429">
        <f>IFERROR($Z$1/(D93/100)*(C89/100),"")</f>
        <v>101777.00348432055</v>
      </c>
      <c r="AB93" s="38"/>
      <c r="AC93"/>
    </row>
    <row r="94" spans="1:29" ht="12.75" customHeight="1">
      <c r="A94" s="274" t="s">
        <v>535</v>
      </c>
      <c r="B94" s="251">
        <v>40</v>
      </c>
      <c r="C94" s="321">
        <v>43345</v>
      </c>
      <c r="D94" s="259">
        <v>43400</v>
      </c>
      <c r="E94" s="251">
        <v>1786</v>
      </c>
      <c r="F94" s="695">
        <v>43400</v>
      </c>
      <c r="G94" s="330">
        <v>2.4900000000000002E-2</v>
      </c>
      <c r="H94" s="238">
        <v>43220</v>
      </c>
      <c r="I94" s="230">
        <v>44940</v>
      </c>
      <c r="J94" s="230">
        <v>42800</v>
      </c>
      <c r="K94" s="263">
        <v>42345</v>
      </c>
      <c r="L94" s="255">
        <v>27956932</v>
      </c>
      <c r="M94" s="234">
        <v>64158</v>
      </c>
      <c r="N94" s="255">
        <v>242</v>
      </c>
      <c r="O94" s="288">
        <v>45378.646967592591</v>
      </c>
      <c r="P94" s="299">
        <v>93</v>
      </c>
      <c r="Q94" s="268">
        <v>0</v>
      </c>
      <c r="R94" s="275">
        <v>0</v>
      </c>
      <c r="S94" s="279">
        <v>0</v>
      </c>
      <c r="T94" s="249">
        <v>0</v>
      </c>
      <c r="U94" s="592"/>
      <c r="V94" s="435">
        <v>0</v>
      </c>
      <c r="W94" s="484">
        <f t="shared" ref="W94" si="40">(V94*X94)</f>
        <v>0</v>
      </c>
      <c r="X94" s="586"/>
      <c r="Y94" s="628">
        <f>IF(D94&lt;&gt;0,($C95*(1-$V$1))-$D94,0)</f>
        <v>660</v>
      </c>
      <c r="Z94" s="451"/>
      <c r="AA94" s="335"/>
      <c r="AB94" s="38"/>
      <c r="AC94"/>
    </row>
    <row r="95" spans="1:29" ht="12.75" customHeight="1">
      <c r="A95" s="273" t="s">
        <v>536</v>
      </c>
      <c r="B95" s="240">
        <v>40</v>
      </c>
      <c r="C95" s="239">
        <v>44060</v>
      </c>
      <c r="D95" s="453">
        <v>44100</v>
      </c>
      <c r="E95" s="454">
        <v>198019</v>
      </c>
      <c r="F95" s="696">
        <v>44060</v>
      </c>
      <c r="G95" s="332">
        <v>4.6999999999999993E-3</v>
      </c>
      <c r="H95" s="237">
        <v>43840</v>
      </c>
      <c r="I95" s="228">
        <v>44550</v>
      </c>
      <c r="J95" s="228">
        <v>43110</v>
      </c>
      <c r="K95" s="261">
        <v>43850</v>
      </c>
      <c r="L95" s="235">
        <v>616013312</v>
      </c>
      <c r="M95" s="232">
        <v>1396529</v>
      </c>
      <c r="N95" s="235">
        <v>572</v>
      </c>
      <c r="O95" s="289">
        <v>45378.646967592591</v>
      </c>
      <c r="P95" s="298">
        <v>94</v>
      </c>
      <c r="Q95" s="266">
        <v>0</v>
      </c>
      <c r="R95" s="276">
        <v>0</v>
      </c>
      <c r="S95" s="278">
        <v>0</v>
      </c>
      <c r="T95" s="248">
        <v>0</v>
      </c>
      <c r="U95" s="591"/>
      <c r="V95" s="434">
        <v>0</v>
      </c>
      <c r="W95" s="479">
        <f>V94*(F94/100)</f>
        <v>0</v>
      </c>
      <c r="X95" s="588"/>
      <c r="Y95" s="600">
        <f>IFERROR(INT($Y$1/(F94/100)),"")</f>
        <v>233</v>
      </c>
      <c r="Z95" s="391"/>
      <c r="AA95" s="336"/>
      <c r="AB95" s="38"/>
      <c r="AC95"/>
    </row>
    <row r="96" spans="1:29" ht="12.75" hidden="1" customHeight="1">
      <c r="A96" s="242" t="s">
        <v>537</v>
      </c>
      <c r="B96" s="251"/>
      <c r="C96" s="321"/>
      <c r="D96" s="259"/>
      <c r="E96" s="251"/>
      <c r="F96" s="705"/>
      <c r="G96" s="333"/>
      <c r="H96" s="241"/>
      <c r="I96" s="229"/>
      <c r="J96" s="229"/>
      <c r="K96" s="264">
        <v>38.42</v>
      </c>
      <c r="L96" s="250"/>
      <c r="M96" s="233"/>
      <c r="N96" s="250"/>
      <c r="O96" s="290"/>
      <c r="P96" s="299">
        <v>95</v>
      </c>
      <c r="Q96" s="267">
        <v>0</v>
      </c>
      <c r="R96" s="277">
        <v>0</v>
      </c>
      <c r="S96" s="280">
        <v>0</v>
      </c>
      <c r="T96" s="247">
        <v>0</v>
      </c>
      <c r="U96" s="592"/>
      <c r="V96" s="315"/>
      <c r="W96" s="480">
        <f t="shared" ref="W96" si="41">(V96*X96)</f>
        <v>0</v>
      </c>
      <c r="X96" s="586"/>
      <c r="Y96" s="719">
        <f>IF(D96&lt;&gt;0,($C97*(1-$V$1))-$D96,0)</f>
        <v>0</v>
      </c>
      <c r="Z96" s="320" t="str">
        <f>IFERROR(IF(C96&lt;&gt;"",$Y$1/(D94/100)*(C96/100),""),"")</f>
        <v/>
      </c>
      <c r="AA96" s="381" t="str">
        <f>IFERROR($AA$1/(D96/100)*(C94/100),"")</f>
        <v/>
      </c>
      <c r="AB96" s="38"/>
      <c r="AC96"/>
    </row>
    <row r="97" spans="1:29" ht="12.75" hidden="1" customHeight="1">
      <c r="A97" s="300" t="s">
        <v>538</v>
      </c>
      <c r="B97" s="240"/>
      <c r="C97" s="239"/>
      <c r="D97" s="453"/>
      <c r="E97" s="454"/>
      <c r="F97" s="696"/>
      <c r="G97" s="332"/>
      <c r="H97" s="237"/>
      <c r="I97" s="228"/>
      <c r="J97" s="228"/>
      <c r="K97" s="261">
        <v>38.011000000000003</v>
      </c>
      <c r="L97" s="235"/>
      <c r="M97" s="232"/>
      <c r="N97" s="235"/>
      <c r="O97" s="289"/>
      <c r="P97" s="298">
        <v>96</v>
      </c>
      <c r="Q97" s="266">
        <v>0</v>
      </c>
      <c r="R97" s="276">
        <v>0</v>
      </c>
      <c r="S97" s="278">
        <v>0</v>
      </c>
      <c r="T97" s="248">
        <v>0</v>
      </c>
      <c r="U97" s="591"/>
      <c r="V97" s="314">
        <v>0</v>
      </c>
      <c r="W97" s="481">
        <f>V96*(F96/100)</f>
        <v>0</v>
      </c>
      <c r="X97" s="588"/>
      <c r="Y97" s="601" t="str">
        <f>IFERROR(INT($AA$1/(F96/100)),"")</f>
        <v/>
      </c>
      <c r="Z97" s="319" t="str">
        <f>IFERROR(IF(C97&lt;&gt;"",$Y$1/(D95/100)*(C97/100),""),"")</f>
        <v/>
      </c>
      <c r="AA97" s="383" t="str">
        <f>IFERROR($AA$1/(D97/100)*(C95/100),"")</f>
        <v/>
      </c>
      <c r="AB97" s="38"/>
    </row>
    <row r="98" spans="1:29" ht="12.75" customHeight="1">
      <c r="A98" s="395" t="s">
        <v>539</v>
      </c>
      <c r="B98" s="251">
        <v>1000</v>
      </c>
      <c r="C98" s="321">
        <v>42.703000000000003</v>
      </c>
      <c r="D98" s="259">
        <v>43.298999999999999</v>
      </c>
      <c r="E98" s="251">
        <v>51</v>
      </c>
      <c r="F98" s="705">
        <v>43.298999999999999</v>
      </c>
      <c r="G98" s="333">
        <v>1.8700000000000001E-2</v>
      </c>
      <c r="H98" s="241">
        <v>42.360999999999997</v>
      </c>
      <c r="I98" s="229">
        <v>43.298999999999999</v>
      </c>
      <c r="J98" s="229">
        <v>42.360999999999997</v>
      </c>
      <c r="K98" s="264">
        <v>42.5</v>
      </c>
      <c r="L98" s="250">
        <v>4065</v>
      </c>
      <c r="M98" s="233">
        <v>9419</v>
      </c>
      <c r="N98" s="250">
        <v>23</v>
      </c>
      <c r="O98" s="290">
        <v>45378.628761574073</v>
      </c>
      <c r="P98" s="299">
        <v>97</v>
      </c>
      <c r="Q98" s="267">
        <v>0</v>
      </c>
      <c r="R98" s="277">
        <v>0</v>
      </c>
      <c r="S98" s="280">
        <v>0</v>
      </c>
      <c r="T98" s="247">
        <v>0</v>
      </c>
      <c r="U98" s="592"/>
      <c r="V98" s="432">
        <v>0</v>
      </c>
      <c r="W98" s="482">
        <f t="shared" ref="W98" si="42">(V98*X98)</f>
        <v>0</v>
      </c>
      <c r="X98" s="589"/>
      <c r="Y98" s="720">
        <f>IF(D98&lt;&gt;0,($C99*(1-$V$1))-$D98,0)</f>
        <v>-0.49699999999999989</v>
      </c>
      <c r="Z98" s="318">
        <f>IFERROR(IF(C98&lt;&gt;"",$Y$1/(D94/100)*(C98/100),""),"")</f>
        <v>99.843377792787109</v>
      </c>
      <c r="AA98" s="382">
        <f>IFERROR($Z$1/(D98/100)*(C94/100),"")</f>
        <v>100106.2380193538</v>
      </c>
      <c r="AB98" s="38"/>
      <c r="AC98" s="11"/>
    </row>
    <row r="99" spans="1:29" ht="12.75" customHeight="1">
      <c r="A99" s="425" t="s">
        <v>540</v>
      </c>
      <c r="B99" s="426">
        <v>1000</v>
      </c>
      <c r="C99" s="411">
        <v>42.802</v>
      </c>
      <c r="D99" s="452">
        <v>43.198</v>
      </c>
      <c r="E99" s="420">
        <v>9720</v>
      </c>
      <c r="F99" s="704">
        <v>43.198</v>
      </c>
      <c r="G99" s="427">
        <v>1.1599999999999999E-2</v>
      </c>
      <c r="H99" s="413">
        <v>42.85</v>
      </c>
      <c r="I99" s="414">
        <v>43.3</v>
      </c>
      <c r="J99" s="414">
        <v>42.5</v>
      </c>
      <c r="K99" s="430">
        <v>42.698999999999998</v>
      </c>
      <c r="L99" s="406">
        <v>75829</v>
      </c>
      <c r="M99" s="416">
        <v>176479</v>
      </c>
      <c r="N99" s="406">
        <v>75</v>
      </c>
      <c r="O99" s="407">
        <v>45378.645243055558</v>
      </c>
      <c r="P99" s="298">
        <v>98</v>
      </c>
      <c r="Q99" s="408">
        <v>0</v>
      </c>
      <c r="R99" s="428">
        <v>0</v>
      </c>
      <c r="S99" s="410">
        <v>0</v>
      </c>
      <c r="T99" s="419">
        <v>0</v>
      </c>
      <c r="U99" s="591"/>
      <c r="V99" s="433">
        <v>0</v>
      </c>
      <c r="W99" s="485">
        <f>V98*(F98/100)</f>
        <v>0</v>
      </c>
      <c r="X99" s="587"/>
      <c r="Y99" s="602">
        <f>IFERROR(INT($Z$1/(F98/100)),"")</f>
        <v>230</v>
      </c>
      <c r="Z99" s="422">
        <f>IFERROR(IF(C99&lt;&gt;"",$Y$1/(D95/100)*(C99/100),""),"")</f>
        <v>98.486358859507718</v>
      </c>
      <c r="AA99" s="429">
        <f>IFERROR($Z$1/(D99/100)*(C95/100),"")</f>
        <v>101995.46275290522</v>
      </c>
      <c r="AB99" s="38"/>
      <c r="AC99" s="11"/>
    </row>
    <row r="100" spans="1:29" ht="12.75" customHeight="1">
      <c r="A100" s="274" t="s">
        <v>576</v>
      </c>
      <c r="B100" s="251">
        <v>11</v>
      </c>
      <c r="C100" s="321">
        <v>25000</v>
      </c>
      <c r="D100" s="259">
        <v>25400</v>
      </c>
      <c r="E100" s="251">
        <v>296</v>
      </c>
      <c r="F100" s="695">
        <v>25000</v>
      </c>
      <c r="G100" s="330">
        <v>3.2199999999999999E-2</v>
      </c>
      <c r="H100" s="238">
        <v>24500</v>
      </c>
      <c r="I100" s="230">
        <v>26000</v>
      </c>
      <c r="J100" s="230">
        <v>23500</v>
      </c>
      <c r="K100" s="263">
        <v>24220</v>
      </c>
      <c r="L100" s="255">
        <v>3194806</v>
      </c>
      <c r="M100" s="234">
        <v>12885</v>
      </c>
      <c r="N100" s="255">
        <v>61</v>
      </c>
      <c r="O100" s="288">
        <v>45378.645208333335</v>
      </c>
      <c r="P100" s="299">
        <v>99</v>
      </c>
      <c r="Q100" s="268">
        <v>0</v>
      </c>
      <c r="R100" s="275">
        <v>0</v>
      </c>
      <c r="S100" s="279">
        <v>0</v>
      </c>
      <c r="T100" s="249">
        <v>0</v>
      </c>
      <c r="U100" s="592"/>
      <c r="V100" s="435">
        <v>0</v>
      </c>
      <c r="W100" s="484">
        <f t="shared" ref="W100" si="43">(V100*X100)</f>
        <v>0</v>
      </c>
      <c r="X100" s="586"/>
      <c r="Y100" s="628">
        <f>IF(D100&lt;&gt;0,($C101*(1-$V$1))-$D100,0)</f>
        <v>25</v>
      </c>
      <c r="Z100" s="451"/>
      <c r="AA100" s="335"/>
      <c r="AB100" s="38"/>
      <c r="AC100" s="11"/>
    </row>
    <row r="101" spans="1:29" ht="12.75" customHeight="1">
      <c r="A101" s="273" t="s">
        <v>577</v>
      </c>
      <c r="B101" s="240">
        <v>775</v>
      </c>
      <c r="C101" s="239">
        <v>25425</v>
      </c>
      <c r="D101" s="453">
        <v>25600</v>
      </c>
      <c r="E101" s="454">
        <v>420</v>
      </c>
      <c r="F101" s="696">
        <v>25425</v>
      </c>
      <c r="G101" s="332">
        <v>-1.0500000000000001E-2</v>
      </c>
      <c r="H101" s="237">
        <v>25400</v>
      </c>
      <c r="I101" s="228">
        <v>25990</v>
      </c>
      <c r="J101" s="228">
        <v>25165</v>
      </c>
      <c r="K101" s="261">
        <v>25695</v>
      </c>
      <c r="L101" s="235">
        <v>26003401</v>
      </c>
      <c r="M101" s="232">
        <v>102502</v>
      </c>
      <c r="N101" s="235">
        <v>433</v>
      </c>
      <c r="O101" s="289">
        <v>45378.646504629629</v>
      </c>
      <c r="P101" s="298">
        <v>100</v>
      </c>
      <c r="Q101" s="266">
        <v>0</v>
      </c>
      <c r="R101" s="276">
        <v>0</v>
      </c>
      <c r="S101" s="278">
        <v>0</v>
      </c>
      <c r="T101" s="248">
        <v>0</v>
      </c>
      <c r="U101" s="591"/>
      <c r="V101" s="434">
        <v>0</v>
      </c>
      <c r="W101" s="479">
        <f>V100*(F100/100)</f>
        <v>0</v>
      </c>
      <c r="X101" s="588"/>
      <c r="Y101" s="600">
        <f>IFERROR(INT($Y$1/(F100/100)),"")</f>
        <v>405</v>
      </c>
      <c r="Z101" s="391"/>
      <c r="AA101" s="336"/>
      <c r="AB101" s="38"/>
      <c r="AC101" s="11"/>
    </row>
    <row r="102" spans="1:29" ht="12.75" hidden="1" customHeight="1">
      <c r="A102" s="242" t="s">
        <v>578</v>
      </c>
      <c r="B102" s="251"/>
      <c r="C102" s="321"/>
      <c r="D102" s="259"/>
      <c r="E102" s="251"/>
      <c r="F102" s="705"/>
      <c r="G102" s="333"/>
      <c r="H102" s="241"/>
      <c r="I102" s="229"/>
      <c r="J102" s="229"/>
      <c r="K102" s="264">
        <v>30.7</v>
      </c>
      <c r="L102" s="250"/>
      <c r="M102" s="233"/>
      <c r="N102" s="250"/>
      <c r="O102" s="290"/>
      <c r="P102" s="299">
        <v>101</v>
      </c>
      <c r="Q102" s="267">
        <v>0</v>
      </c>
      <c r="R102" s="277">
        <v>0</v>
      </c>
      <c r="S102" s="280">
        <v>0</v>
      </c>
      <c r="T102" s="247">
        <v>0</v>
      </c>
      <c r="U102" s="592"/>
      <c r="V102" s="315"/>
      <c r="W102" s="480">
        <f t="shared" ref="W102" si="44">(V102*X102)</f>
        <v>0</v>
      </c>
      <c r="X102" s="586"/>
      <c r="Y102" s="719">
        <f>IF(D102&lt;&gt;0,($C103*(1-$V$1))-$D102,0)</f>
        <v>0</v>
      </c>
      <c r="Z102" s="320" t="str">
        <f>IFERROR(IF(C102&lt;&gt;"",$Y$1/(D100/100)*(C102/100),""),"")</f>
        <v/>
      </c>
      <c r="AA102" s="381" t="str">
        <f>IFERROR($AA$1/(D102/100)*(C100/100),"")</f>
        <v/>
      </c>
      <c r="AB102" s="38"/>
      <c r="AC102" s="11"/>
    </row>
    <row r="103" spans="1:29" ht="12.75" hidden="1" customHeight="1">
      <c r="A103" s="300" t="s">
        <v>579</v>
      </c>
      <c r="B103" s="240"/>
      <c r="C103" s="239"/>
      <c r="D103" s="453">
        <v>25.5</v>
      </c>
      <c r="E103" s="454">
        <v>193255</v>
      </c>
      <c r="F103" s="696"/>
      <c r="G103" s="332"/>
      <c r="H103" s="237"/>
      <c r="I103" s="228"/>
      <c r="J103" s="228"/>
      <c r="K103" s="261">
        <v>31</v>
      </c>
      <c r="L103" s="235"/>
      <c r="M103" s="232"/>
      <c r="N103" s="235"/>
      <c r="O103" s="289"/>
      <c r="P103" s="298">
        <v>102</v>
      </c>
      <c r="Q103" s="266">
        <v>0</v>
      </c>
      <c r="R103" s="276">
        <v>0</v>
      </c>
      <c r="S103" s="278">
        <v>0</v>
      </c>
      <c r="T103" s="248">
        <v>0</v>
      </c>
      <c r="U103" s="591"/>
      <c r="V103" s="314">
        <v>0</v>
      </c>
      <c r="W103" s="481">
        <f>V102*(F102/100)</f>
        <v>0</v>
      </c>
      <c r="X103" s="588"/>
      <c r="Y103" s="601" t="str">
        <f>IFERROR(INT($AA$1/(F102/100)),"")</f>
        <v/>
      </c>
      <c r="Z103" s="319" t="str">
        <f>IFERROR(IF(C103&lt;&gt;"",$Y$1/(D101/100)*(C103/100),""),"")</f>
        <v/>
      </c>
      <c r="AA103" s="383">
        <f>IFERROR($AA$1/(D103/100)*(C101/100),"")</f>
        <v>99705.882352941175</v>
      </c>
      <c r="AB103" s="38"/>
      <c r="AC103" s="11"/>
    </row>
    <row r="104" spans="1:29" ht="12.75" customHeight="1">
      <c r="A104" s="395" t="s">
        <v>580</v>
      </c>
      <c r="B104" s="251">
        <v>100</v>
      </c>
      <c r="C104" s="321">
        <v>24.9</v>
      </c>
      <c r="D104" s="259">
        <v>25</v>
      </c>
      <c r="E104" s="251">
        <v>64</v>
      </c>
      <c r="F104" s="705">
        <v>25</v>
      </c>
      <c r="G104" s="333">
        <v>0.01</v>
      </c>
      <c r="H104" s="241">
        <v>25</v>
      </c>
      <c r="I104" s="229">
        <v>25.25</v>
      </c>
      <c r="J104" s="229">
        <v>24</v>
      </c>
      <c r="K104" s="264">
        <v>25</v>
      </c>
      <c r="L104" s="250">
        <v>1255</v>
      </c>
      <c r="M104" s="233">
        <v>5141</v>
      </c>
      <c r="N104" s="250">
        <v>9</v>
      </c>
      <c r="O104" s="290">
        <v>45378.63989583333</v>
      </c>
      <c r="P104" s="299">
        <v>103</v>
      </c>
      <c r="Q104" s="267">
        <v>0</v>
      </c>
      <c r="R104" s="277">
        <v>0</v>
      </c>
      <c r="S104" s="280">
        <v>0</v>
      </c>
      <c r="T104" s="247">
        <v>0</v>
      </c>
      <c r="U104" s="592"/>
      <c r="V104" s="432">
        <v>0</v>
      </c>
      <c r="W104" s="482">
        <f t="shared" ref="W104" si="45">(V104*X104)</f>
        <v>0</v>
      </c>
      <c r="X104" s="589"/>
      <c r="Y104" s="720">
        <f>IF(D104&lt;&gt;0,($C105*(1-$V$1))-$D104,0)</f>
        <v>-0.28999999999999915</v>
      </c>
      <c r="Z104" s="318">
        <f>IFERROR(IF(C104&lt;&gt;"",$Y$1/(D100/100)*(C104/100),""),"")</f>
        <v>99.475524728990919</v>
      </c>
      <c r="AA104" s="382">
        <f>IFERROR($Z$1/(D104/100)*(C100/100),"")</f>
        <v>100000</v>
      </c>
      <c r="AB104" s="38"/>
      <c r="AC104" s="11"/>
    </row>
    <row r="105" spans="1:29" ht="12.75" customHeight="1">
      <c r="A105" s="425" t="s">
        <v>581</v>
      </c>
      <c r="B105" s="426">
        <v>142</v>
      </c>
      <c r="C105" s="411">
        <v>24.71</v>
      </c>
      <c r="D105" s="452">
        <v>25.3</v>
      </c>
      <c r="E105" s="420">
        <v>100</v>
      </c>
      <c r="F105" s="704">
        <v>24.9</v>
      </c>
      <c r="G105" s="427">
        <v>-1.5800000000000002E-2</v>
      </c>
      <c r="H105" s="413">
        <v>25</v>
      </c>
      <c r="I105" s="414">
        <v>25.25</v>
      </c>
      <c r="J105" s="414">
        <v>24.7</v>
      </c>
      <c r="K105" s="430">
        <v>25.3</v>
      </c>
      <c r="L105" s="406">
        <v>6810</v>
      </c>
      <c r="M105" s="416">
        <v>27197</v>
      </c>
      <c r="N105" s="406">
        <v>64</v>
      </c>
      <c r="O105" s="407">
        <v>45378.643541666665</v>
      </c>
      <c r="P105" s="298">
        <v>104</v>
      </c>
      <c r="Q105" s="408">
        <v>0</v>
      </c>
      <c r="R105" s="428">
        <v>0</v>
      </c>
      <c r="S105" s="410">
        <v>0</v>
      </c>
      <c r="T105" s="419">
        <v>0</v>
      </c>
      <c r="U105" s="591"/>
      <c r="V105" s="433">
        <v>0</v>
      </c>
      <c r="W105" s="485">
        <f>V104*(F104/100)</f>
        <v>0</v>
      </c>
      <c r="X105" s="587"/>
      <c r="Y105" s="602">
        <f>IFERROR(INT($Z$1/(F104/100)),"")</f>
        <v>400</v>
      </c>
      <c r="Z105" s="422">
        <f>IFERROR(IF(C105&lt;&gt;"",$Y$1/(D101/100)*(C105/100),""),"")</f>
        <v>97.94525208294975</v>
      </c>
      <c r="AA105" s="429">
        <f>IFERROR($Z$1/(D105/100)*(C101/100),"")</f>
        <v>100494.07114624506</v>
      </c>
      <c r="AB105" s="38"/>
    </row>
    <row r="106" spans="1:29" ht="12.75" customHeight="1">
      <c r="A106" s="274" t="s">
        <v>611</v>
      </c>
      <c r="B106" s="251">
        <v>59</v>
      </c>
      <c r="C106" s="321">
        <v>92410</v>
      </c>
      <c r="D106" s="259">
        <v>92630</v>
      </c>
      <c r="E106" s="251">
        <v>10000</v>
      </c>
      <c r="F106" s="695">
        <v>92410</v>
      </c>
      <c r="G106" s="330">
        <v>-1.1299999999999999E-2</v>
      </c>
      <c r="H106" s="238">
        <v>95000</v>
      </c>
      <c r="I106" s="230">
        <v>95190</v>
      </c>
      <c r="J106" s="230">
        <v>90920</v>
      </c>
      <c r="K106" s="263">
        <v>93470</v>
      </c>
      <c r="L106" s="255">
        <v>20347123</v>
      </c>
      <c r="M106" s="234">
        <v>21805</v>
      </c>
      <c r="N106" s="255">
        <v>87</v>
      </c>
      <c r="O106" s="288">
        <v>45378.644895833335</v>
      </c>
      <c r="P106" s="299">
        <v>105</v>
      </c>
      <c r="Q106" s="268">
        <v>0</v>
      </c>
      <c r="R106" s="275">
        <v>0</v>
      </c>
      <c r="S106" s="279">
        <v>0</v>
      </c>
      <c r="T106" s="249">
        <v>0</v>
      </c>
      <c r="U106" s="592"/>
      <c r="V106" s="435"/>
      <c r="W106" s="484">
        <f t="shared" ref="W106" si="46">(V106*X106)</f>
        <v>0</v>
      </c>
      <c r="X106" s="586"/>
      <c r="Y106" s="628">
        <f>IF(D106&lt;&gt;0,($C107*(1-$V$1))-$D106,0)</f>
        <v>930</v>
      </c>
      <c r="Z106" s="451"/>
      <c r="AA106" s="335"/>
      <c r="AB106" s="38"/>
    </row>
    <row r="107" spans="1:29" ht="12.75" customHeight="1">
      <c r="A107" s="273" t="s">
        <v>612</v>
      </c>
      <c r="B107" s="240">
        <v>59</v>
      </c>
      <c r="C107" s="239">
        <v>93560</v>
      </c>
      <c r="D107" s="453">
        <v>94000</v>
      </c>
      <c r="E107" s="454">
        <v>18130</v>
      </c>
      <c r="F107" s="696">
        <v>94000</v>
      </c>
      <c r="G107" s="332">
        <v>5.3E-3</v>
      </c>
      <c r="H107" s="237">
        <v>93500</v>
      </c>
      <c r="I107" s="228">
        <v>97000</v>
      </c>
      <c r="J107" s="228">
        <v>92000</v>
      </c>
      <c r="K107" s="261">
        <v>93500</v>
      </c>
      <c r="L107" s="235">
        <v>631103712</v>
      </c>
      <c r="M107" s="232">
        <v>669725</v>
      </c>
      <c r="N107" s="235">
        <v>365</v>
      </c>
      <c r="O107" s="289">
        <v>45378.646516203706</v>
      </c>
      <c r="P107" s="298">
        <v>106</v>
      </c>
      <c r="Q107" s="266">
        <v>0</v>
      </c>
      <c r="R107" s="276">
        <v>0</v>
      </c>
      <c r="S107" s="278">
        <v>0</v>
      </c>
      <c r="T107" s="248">
        <v>0</v>
      </c>
      <c r="U107" s="591"/>
      <c r="V107" s="434">
        <v>0</v>
      </c>
      <c r="W107" s="479">
        <f>V106*(F106/100)</f>
        <v>0</v>
      </c>
      <c r="X107" s="588"/>
      <c r="Y107" s="600">
        <f>IFERROR(INT($Y$1/(F106/100)),"")</f>
        <v>109</v>
      </c>
      <c r="Z107" s="391"/>
      <c r="AA107" s="336"/>
      <c r="AB107" s="38"/>
    </row>
    <row r="108" spans="1:29" ht="12.75" hidden="1" customHeight="1">
      <c r="A108" s="242" t="s">
        <v>613</v>
      </c>
      <c r="B108" s="251">
        <v>987</v>
      </c>
      <c r="C108" s="321">
        <v>1E-3</v>
      </c>
      <c r="D108" s="259">
        <v>86.99</v>
      </c>
      <c r="E108" s="251">
        <v>2300</v>
      </c>
      <c r="F108" s="705">
        <v>87</v>
      </c>
      <c r="G108" s="333">
        <v>8.6E-3</v>
      </c>
      <c r="H108" s="241">
        <v>85.54</v>
      </c>
      <c r="I108" s="229">
        <v>87</v>
      </c>
      <c r="J108" s="229">
        <v>85.54</v>
      </c>
      <c r="K108" s="264">
        <v>86.25</v>
      </c>
      <c r="L108" s="250">
        <v>4169</v>
      </c>
      <c r="M108" s="233">
        <v>4832</v>
      </c>
      <c r="N108" s="250">
        <v>9</v>
      </c>
      <c r="O108" s="290">
        <v>45378.639178240737</v>
      </c>
      <c r="P108" s="299">
        <v>107</v>
      </c>
      <c r="Q108" s="267">
        <v>0</v>
      </c>
      <c r="R108" s="277">
        <v>0</v>
      </c>
      <c r="S108" s="280">
        <v>0</v>
      </c>
      <c r="T108" s="247">
        <v>0</v>
      </c>
      <c r="U108" s="592"/>
      <c r="V108" s="315"/>
      <c r="W108" s="480">
        <f t="shared" ref="W108" si="47">(V108*X108)</f>
        <v>0</v>
      </c>
      <c r="X108" s="586"/>
      <c r="Y108" s="719">
        <f>IF(D108&lt;&gt;0,($C109*(1-$V$1))-$D108,0)</f>
        <v>-0.5899999999999892</v>
      </c>
      <c r="Z108" s="320">
        <f>IFERROR(IF(C108&lt;&gt;"",$Y$1/(D106/100)*(C108/100),""),"")</f>
        <v>1.0954661041299471E-3</v>
      </c>
      <c r="AA108" s="381">
        <f>IFERROR($AA$1/(D108/100)*(C106/100),"")</f>
        <v>106230.60121853089</v>
      </c>
      <c r="AB108" s="38"/>
    </row>
    <row r="109" spans="1:29" ht="12.75" hidden="1" customHeight="1">
      <c r="A109" s="300" t="s">
        <v>614</v>
      </c>
      <c r="B109" s="240">
        <v>31052</v>
      </c>
      <c r="C109" s="239">
        <v>86.4</v>
      </c>
      <c r="D109" s="453">
        <v>87</v>
      </c>
      <c r="E109" s="454">
        <v>250000</v>
      </c>
      <c r="F109" s="696">
        <v>86.48</v>
      </c>
      <c r="G109" s="332">
        <v>1.1399999999999999E-2</v>
      </c>
      <c r="H109" s="237">
        <v>87</v>
      </c>
      <c r="I109" s="228">
        <v>87.09</v>
      </c>
      <c r="J109" s="228">
        <v>85.75</v>
      </c>
      <c r="K109" s="261">
        <v>85.5</v>
      </c>
      <c r="L109" s="235">
        <v>1462043</v>
      </c>
      <c r="M109" s="232">
        <v>1689835</v>
      </c>
      <c r="N109" s="235">
        <v>64</v>
      </c>
      <c r="O109" s="289">
        <v>45378.639062499999</v>
      </c>
      <c r="P109" s="298">
        <v>108</v>
      </c>
      <c r="Q109" s="266">
        <v>0</v>
      </c>
      <c r="R109" s="276">
        <v>0</v>
      </c>
      <c r="S109" s="278">
        <v>0</v>
      </c>
      <c r="T109" s="248">
        <v>0</v>
      </c>
      <c r="U109" s="591"/>
      <c r="V109" s="314">
        <v>0</v>
      </c>
      <c r="W109" s="481">
        <f>V108*(F108/100)</f>
        <v>0</v>
      </c>
      <c r="X109" s="588"/>
      <c r="Y109" s="601">
        <f>IFERROR(INT($AA$1/(F108/100)),"")</f>
        <v>114</v>
      </c>
      <c r="Z109" s="319">
        <f>IFERROR(IF(C109&lt;&gt;"",$Y$1/(D107/100)*(C109/100),""),"")</f>
        <v>93.268823186043889</v>
      </c>
      <c r="AA109" s="383">
        <f>IFERROR($AA$1/(D109/100)*(C107/100),"")</f>
        <v>107540.22988505747</v>
      </c>
      <c r="AB109" s="38"/>
    </row>
    <row r="110" spans="1:29" ht="12.75" customHeight="1">
      <c r="A110" s="395" t="s">
        <v>615</v>
      </c>
      <c r="B110" s="251">
        <v>2100</v>
      </c>
      <c r="C110" s="321">
        <v>90.01</v>
      </c>
      <c r="D110" s="259">
        <v>93</v>
      </c>
      <c r="E110" s="251">
        <v>1667</v>
      </c>
      <c r="F110" s="705">
        <v>92</v>
      </c>
      <c r="G110" s="333">
        <v>-1.6E-2</v>
      </c>
      <c r="H110" s="241">
        <v>90.01</v>
      </c>
      <c r="I110" s="229">
        <v>93.2</v>
      </c>
      <c r="J110" s="229">
        <v>90</v>
      </c>
      <c r="K110" s="264">
        <v>93.5</v>
      </c>
      <c r="L110" s="250">
        <v>31893</v>
      </c>
      <c r="M110" s="233">
        <v>34304</v>
      </c>
      <c r="N110" s="250">
        <v>18</v>
      </c>
      <c r="O110" s="290">
        <v>45378.626400462963</v>
      </c>
      <c r="P110" s="299">
        <v>109</v>
      </c>
      <c r="Q110" s="267">
        <v>0</v>
      </c>
      <c r="R110" s="277">
        <v>0</v>
      </c>
      <c r="S110" s="280">
        <v>0</v>
      </c>
      <c r="T110" s="247">
        <v>0</v>
      </c>
      <c r="U110" s="592"/>
      <c r="V110" s="432">
        <v>0</v>
      </c>
      <c r="W110" s="482">
        <f t="shared" ref="W110" si="48">(V110*X110)</f>
        <v>0</v>
      </c>
      <c r="X110" s="589"/>
      <c r="Y110" s="720">
        <f>IF(D110&lt;&gt;0,($C111*(1-$V$1))-$D110,0)</f>
        <v>-0.98999999999999488</v>
      </c>
      <c r="Z110" s="318">
        <f>IFERROR(IF(C110&lt;&gt;"",$Y$1/(D106/100)*(C110/100),""),"")</f>
        <v>98.602904032736546</v>
      </c>
      <c r="AA110" s="382">
        <f>IFERROR($Z$1/(D110/100)*(C106/100),"")</f>
        <v>99365.59139784945</v>
      </c>
      <c r="AB110" s="38"/>
    </row>
    <row r="111" spans="1:29" ht="12.75" customHeight="1">
      <c r="A111" s="425" t="s">
        <v>616</v>
      </c>
      <c r="B111" s="426">
        <v>100000</v>
      </c>
      <c r="C111" s="411">
        <v>92.01</v>
      </c>
      <c r="D111" s="452">
        <v>92.6</v>
      </c>
      <c r="E111" s="420">
        <v>2321</v>
      </c>
      <c r="F111" s="704">
        <v>92</v>
      </c>
      <c r="G111" s="427">
        <v>-1.6E-2</v>
      </c>
      <c r="H111" s="413">
        <v>90.5</v>
      </c>
      <c r="I111" s="414">
        <v>93.4</v>
      </c>
      <c r="J111" s="414">
        <v>90.5</v>
      </c>
      <c r="K111" s="430">
        <v>93.5</v>
      </c>
      <c r="L111" s="406">
        <v>69041</v>
      </c>
      <c r="M111" s="416">
        <v>74581</v>
      </c>
      <c r="N111" s="406">
        <v>44</v>
      </c>
      <c r="O111" s="407">
        <v>45378.637245370373</v>
      </c>
      <c r="P111" s="298">
        <v>110</v>
      </c>
      <c r="Q111" s="408">
        <v>0</v>
      </c>
      <c r="R111" s="428">
        <v>0</v>
      </c>
      <c r="S111" s="410">
        <v>0</v>
      </c>
      <c r="T111" s="419">
        <v>0</v>
      </c>
      <c r="U111" s="591"/>
      <c r="V111" s="433">
        <v>0</v>
      </c>
      <c r="W111" s="485">
        <f>V110*(F110/100)</f>
        <v>0</v>
      </c>
      <c r="X111" s="587"/>
      <c r="Y111" s="602">
        <f>IFERROR(INT($Z$1/(F110/100)),"")</f>
        <v>108</v>
      </c>
      <c r="Z111" s="422">
        <f>IFERROR(IF(C111&lt;&gt;"",$Y$1/(D107/100)*(C111/100),""),"")</f>
        <v>99.324819691526599</v>
      </c>
      <c r="AA111" s="429">
        <f>IFERROR($Z$1/(D111/100)*(C107/100),"")</f>
        <v>101036.717062635</v>
      </c>
      <c r="AB111" s="38"/>
    </row>
    <row r="112" spans="1:29" ht="12.75" customHeight="1">
      <c r="A112" s="274" t="s">
        <v>547</v>
      </c>
      <c r="B112" s="251">
        <v>900</v>
      </c>
      <c r="C112" s="321">
        <v>48810</v>
      </c>
      <c r="D112" s="259">
        <v>49095</v>
      </c>
      <c r="E112" s="251">
        <v>100</v>
      </c>
      <c r="F112" s="695">
        <v>49095</v>
      </c>
      <c r="G112" s="330">
        <v>-1.01E-2</v>
      </c>
      <c r="H112" s="238">
        <v>49510</v>
      </c>
      <c r="I112" s="230">
        <v>50060</v>
      </c>
      <c r="J112" s="230">
        <v>48690</v>
      </c>
      <c r="K112" s="263">
        <v>49600</v>
      </c>
      <c r="L112" s="255">
        <v>204525825</v>
      </c>
      <c r="M112" s="234">
        <v>413587</v>
      </c>
      <c r="N112" s="255">
        <v>538</v>
      </c>
      <c r="O112" s="288">
        <v>45378.646527777775</v>
      </c>
      <c r="P112" s="299">
        <v>111</v>
      </c>
      <c r="Q112" s="268">
        <v>0</v>
      </c>
      <c r="R112" s="275">
        <v>0</v>
      </c>
      <c r="S112" s="279">
        <v>0</v>
      </c>
      <c r="T112" s="249">
        <v>0</v>
      </c>
      <c r="U112" s="592"/>
      <c r="V112" s="435"/>
      <c r="W112" s="484">
        <f t="shared" ref="W112" si="49">(V112*X112)</f>
        <v>0</v>
      </c>
      <c r="X112" s="586"/>
      <c r="Y112" s="628">
        <f>IF(D112&lt;&gt;0,($C113*(1-$V$1))-$D112,0)</f>
        <v>445</v>
      </c>
      <c r="Z112" s="451"/>
      <c r="AA112" s="335"/>
      <c r="AB112" s="38"/>
    </row>
    <row r="113" spans="1:28" ht="12.75" customHeight="1">
      <c r="A113" s="273" t="s">
        <v>183</v>
      </c>
      <c r="B113" s="240">
        <v>5000</v>
      </c>
      <c r="C113" s="239">
        <v>49540</v>
      </c>
      <c r="D113" s="453">
        <v>49560</v>
      </c>
      <c r="E113" s="454">
        <v>3385</v>
      </c>
      <c r="F113" s="696">
        <v>49510</v>
      </c>
      <c r="G113" s="332">
        <v>-1.5100000000000001E-2</v>
      </c>
      <c r="H113" s="237">
        <v>51000</v>
      </c>
      <c r="I113" s="228">
        <v>51000</v>
      </c>
      <c r="J113" s="228">
        <v>49310</v>
      </c>
      <c r="K113" s="261">
        <v>50270</v>
      </c>
      <c r="L113" s="235">
        <v>1231243772</v>
      </c>
      <c r="M113" s="232">
        <v>2461956</v>
      </c>
      <c r="N113" s="235">
        <v>1281</v>
      </c>
      <c r="O113" s="289">
        <v>45378.647141203706</v>
      </c>
      <c r="P113" s="298">
        <v>112</v>
      </c>
      <c r="Q113" s="266">
        <v>0</v>
      </c>
      <c r="R113" s="276">
        <v>0</v>
      </c>
      <c r="S113" s="278">
        <v>0</v>
      </c>
      <c r="T113" s="248">
        <v>0</v>
      </c>
      <c r="U113" s="591"/>
      <c r="V113" s="434">
        <v>0</v>
      </c>
      <c r="W113" s="479">
        <f>V112*(F112/100)</f>
        <v>0</v>
      </c>
      <c r="X113" s="588"/>
      <c r="Y113" s="600">
        <f>IFERROR(INT($Y$1/(F112/100)),"")</f>
        <v>206</v>
      </c>
      <c r="Z113" s="391"/>
      <c r="AA113" s="336"/>
      <c r="AB113" s="38"/>
    </row>
    <row r="114" spans="1:28" ht="12.75" hidden="1" customHeight="1">
      <c r="A114" s="242" t="s">
        <v>548</v>
      </c>
      <c r="B114" s="251"/>
      <c r="C114" s="321"/>
      <c r="D114" s="259"/>
      <c r="E114" s="251"/>
      <c r="F114" s="705"/>
      <c r="G114" s="333"/>
      <c r="H114" s="241"/>
      <c r="I114" s="229"/>
      <c r="J114" s="229"/>
      <c r="K114" s="264">
        <v>38</v>
      </c>
      <c r="L114" s="250"/>
      <c r="M114" s="233"/>
      <c r="N114" s="250"/>
      <c r="O114" s="290"/>
      <c r="P114" s="299">
        <v>113</v>
      </c>
      <c r="Q114" s="267">
        <v>0</v>
      </c>
      <c r="R114" s="277">
        <v>0</v>
      </c>
      <c r="S114" s="280">
        <v>0</v>
      </c>
      <c r="T114" s="247">
        <v>0</v>
      </c>
      <c r="U114" s="592"/>
      <c r="V114" s="315"/>
      <c r="W114" s="480">
        <f t="shared" ref="W114" si="50">(V114*X114)</f>
        <v>0</v>
      </c>
      <c r="X114" s="586"/>
      <c r="Y114" s="719">
        <f>IF(D114&lt;&gt;0,($C115*(1-$V$1))-$D114,0)</f>
        <v>0</v>
      </c>
      <c r="Z114" s="320" t="str">
        <f>IFERROR(IF(C114&lt;&gt;"",$Y$1/(D112/100)*(C114/100),""),"")</f>
        <v/>
      </c>
      <c r="AA114" s="381" t="str">
        <f>IFERROR($AA$1/(D114/100)*(C112/100),"")</f>
        <v/>
      </c>
      <c r="AB114" s="38"/>
    </row>
    <row r="115" spans="1:28" ht="12.75" hidden="1" customHeight="1">
      <c r="A115" s="300" t="s">
        <v>230</v>
      </c>
      <c r="B115" s="240"/>
      <c r="C115" s="239"/>
      <c r="D115" s="453"/>
      <c r="E115" s="454"/>
      <c r="F115" s="696"/>
      <c r="G115" s="332"/>
      <c r="H115" s="237"/>
      <c r="I115" s="228"/>
      <c r="J115" s="228"/>
      <c r="K115" s="261">
        <v>35.875</v>
      </c>
      <c r="L115" s="235"/>
      <c r="M115" s="232"/>
      <c r="N115" s="235"/>
      <c r="O115" s="289"/>
      <c r="P115" s="298">
        <v>114</v>
      </c>
      <c r="Q115" s="266">
        <v>0</v>
      </c>
      <c r="R115" s="276">
        <v>0</v>
      </c>
      <c r="S115" s="278">
        <v>0</v>
      </c>
      <c r="T115" s="248">
        <v>0</v>
      </c>
      <c r="U115" s="591"/>
      <c r="V115" s="314">
        <v>0</v>
      </c>
      <c r="W115" s="481">
        <f>V114*(F114/100)</f>
        <v>0</v>
      </c>
      <c r="X115" s="588"/>
      <c r="Y115" s="601" t="str">
        <f>IFERROR(INT($AA$1/(F114/100)),"")</f>
        <v/>
      </c>
      <c r="Z115" s="319" t="str">
        <f>IFERROR(IF(C115&lt;&gt;"",$Y$1/(D113/100)*(C115/100),""),"")</f>
        <v/>
      </c>
      <c r="AA115" s="383" t="str">
        <f>IFERROR($AA$1/(D115/100)*(C113/100),"")</f>
        <v/>
      </c>
      <c r="AB115" s="38"/>
    </row>
    <row r="116" spans="1:28" ht="12.75" customHeight="1">
      <c r="A116" s="395" t="s">
        <v>549</v>
      </c>
      <c r="B116" s="251">
        <v>4400</v>
      </c>
      <c r="C116" s="321">
        <v>49.146999999999998</v>
      </c>
      <c r="D116" s="259">
        <v>49.378999999999998</v>
      </c>
      <c r="E116" s="251">
        <v>362</v>
      </c>
      <c r="F116" s="705">
        <v>49.146999999999998</v>
      </c>
      <c r="G116" s="333">
        <v>-4.0999999999999995E-3</v>
      </c>
      <c r="H116" s="241">
        <v>49.064</v>
      </c>
      <c r="I116" s="229">
        <v>49.44</v>
      </c>
      <c r="J116" s="229">
        <v>48.755000000000003</v>
      </c>
      <c r="K116" s="264">
        <v>49.35</v>
      </c>
      <c r="L116" s="250">
        <v>101561</v>
      </c>
      <c r="M116" s="233">
        <v>207390</v>
      </c>
      <c r="N116" s="250">
        <v>142</v>
      </c>
      <c r="O116" s="290">
        <v>45378.64571759259</v>
      </c>
      <c r="P116" s="299">
        <v>115</v>
      </c>
      <c r="Q116" s="267">
        <v>0</v>
      </c>
      <c r="R116" s="277">
        <v>0</v>
      </c>
      <c r="S116" s="280">
        <v>0</v>
      </c>
      <c r="T116" s="247">
        <v>0</v>
      </c>
      <c r="U116" s="592"/>
      <c r="V116" s="432">
        <v>0</v>
      </c>
      <c r="W116" s="482">
        <f t="shared" ref="W116" si="51">(V116*X116)</f>
        <v>0</v>
      </c>
      <c r="X116" s="589"/>
      <c r="Y116" s="720">
        <f>IF(D116&lt;&gt;0,($C117*(1-$V$1))-$D116,0)</f>
        <v>-0.37800000000000011</v>
      </c>
      <c r="Z116" s="318">
        <f>IFERROR(IF(C116&lt;&gt;"",$Y$1/(D112/100)*(C116/100),""),"")</f>
        <v>101.58050251065178</v>
      </c>
      <c r="AA116" s="382">
        <f>IFERROR($Z$1/(D116/100)*(C112/100),"")</f>
        <v>98847.688288543723</v>
      </c>
      <c r="AB116" s="38"/>
    </row>
    <row r="117" spans="1:28" ht="12.75" customHeight="1">
      <c r="A117" s="425" t="s">
        <v>231</v>
      </c>
      <c r="B117" s="426">
        <v>4400</v>
      </c>
      <c r="C117" s="411">
        <v>49.000999999999998</v>
      </c>
      <c r="D117" s="452">
        <v>49.18</v>
      </c>
      <c r="E117" s="420">
        <v>362</v>
      </c>
      <c r="F117" s="704">
        <v>49.121000000000002</v>
      </c>
      <c r="G117" s="427">
        <v>4.0000000000000002E-4</v>
      </c>
      <c r="H117" s="413">
        <v>50</v>
      </c>
      <c r="I117" s="414">
        <v>50</v>
      </c>
      <c r="J117" s="414">
        <v>48.75</v>
      </c>
      <c r="K117" s="430">
        <v>49.1</v>
      </c>
      <c r="L117" s="406">
        <v>222161</v>
      </c>
      <c r="M117" s="416">
        <v>453303</v>
      </c>
      <c r="N117" s="406">
        <v>261</v>
      </c>
      <c r="O117" s="407">
        <v>45378.64571759259</v>
      </c>
      <c r="P117" s="298">
        <v>116</v>
      </c>
      <c r="Q117" s="408">
        <v>0</v>
      </c>
      <c r="R117" s="428">
        <v>0</v>
      </c>
      <c r="S117" s="410">
        <v>0</v>
      </c>
      <c r="T117" s="419">
        <v>0</v>
      </c>
      <c r="U117" s="591"/>
      <c r="V117" s="433">
        <v>0</v>
      </c>
      <c r="W117" s="485">
        <f>V116*(F116/100)</f>
        <v>0</v>
      </c>
      <c r="X117" s="587"/>
      <c r="Y117" s="602">
        <f>IFERROR(INT($Z$1/(F116/100)),"")</f>
        <v>203</v>
      </c>
      <c r="Z117" s="422">
        <f>IFERROR(IF(C117&lt;&gt;"",$Y$1/(D113/100)*(C117/100),""),"")</f>
        <v>100.32848484821464</v>
      </c>
      <c r="AA117" s="429">
        <f>IFERROR($Z$1/(D117/100)*(C113/100),"")</f>
        <v>100732.00488003253</v>
      </c>
      <c r="AB117" s="38"/>
    </row>
    <row r="118" spans="1:28" ht="12.75" customHeight="1">
      <c r="A118" s="274" t="s">
        <v>541</v>
      </c>
      <c r="B118" s="251">
        <v>36</v>
      </c>
      <c r="C118" s="321">
        <v>55510</v>
      </c>
      <c r="D118" s="259">
        <v>55630</v>
      </c>
      <c r="E118" s="251">
        <v>2300</v>
      </c>
      <c r="F118" s="695">
        <v>55630</v>
      </c>
      <c r="G118" s="330">
        <v>-1.5300000000000001E-2</v>
      </c>
      <c r="H118" s="238">
        <v>57000</v>
      </c>
      <c r="I118" s="230">
        <v>57740</v>
      </c>
      <c r="J118" s="230">
        <v>55500</v>
      </c>
      <c r="K118" s="263">
        <v>56500</v>
      </c>
      <c r="L118" s="255">
        <v>128643928</v>
      </c>
      <c r="M118" s="234">
        <v>228596</v>
      </c>
      <c r="N118" s="255">
        <v>478</v>
      </c>
      <c r="O118" s="288">
        <v>45378.646828703706</v>
      </c>
      <c r="P118" s="299">
        <v>117</v>
      </c>
      <c r="Q118" s="268">
        <v>0</v>
      </c>
      <c r="R118" s="275">
        <v>0</v>
      </c>
      <c r="S118" s="279">
        <v>0</v>
      </c>
      <c r="T118" s="249">
        <v>0</v>
      </c>
      <c r="U118" s="592"/>
      <c r="V118" s="435"/>
      <c r="W118" s="484">
        <f t="shared" ref="W118" si="52">(V118*X118)</f>
        <v>0</v>
      </c>
      <c r="X118" s="586"/>
      <c r="Y118" s="628">
        <f>IF(D118&lt;&gt;0,($C119*(1-$V$1))-$D118,0)</f>
        <v>750</v>
      </c>
      <c r="Z118" s="451"/>
      <c r="AA118" s="335"/>
      <c r="AB118" s="38"/>
    </row>
    <row r="119" spans="1:28" ht="12.75" customHeight="1">
      <c r="A119" s="273" t="s">
        <v>186</v>
      </c>
      <c r="B119" s="240">
        <v>1731</v>
      </c>
      <c r="C119" s="239">
        <v>56380</v>
      </c>
      <c r="D119" s="453">
        <v>56450</v>
      </c>
      <c r="E119" s="454">
        <v>2300</v>
      </c>
      <c r="F119" s="696">
        <v>56450</v>
      </c>
      <c r="G119" s="332">
        <v>-9.5999999999999992E-3</v>
      </c>
      <c r="H119" s="237">
        <v>57960</v>
      </c>
      <c r="I119" s="228">
        <v>57960</v>
      </c>
      <c r="J119" s="228">
        <v>56210</v>
      </c>
      <c r="K119" s="261">
        <v>57000</v>
      </c>
      <c r="L119" s="235">
        <v>686322896</v>
      </c>
      <c r="M119" s="232">
        <v>1210803</v>
      </c>
      <c r="N119" s="235">
        <v>1144</v>
      </c>
      <c r="O119" s="289">
        <v>45378.646828703706</v>
      </c>
      <c r="P119" s="298">
        <v>118</v>
      </c>
      <c r="Q119" s="266">
        <v>0</v>
      </c>
      <c r="R119" s="276">
        <v>0</v>
      </c>
      <c r="S119" s="278">
        <v>0</v>
      </c>
      <c r="T119" s="248">
        <v>0</v>
      </c>
      <c r="U119" s="591"/>
      <c r="V119" s="434">
        <v>0</v>
      </c>
      <c r="W119" s="479">
        <f>V118*(F118/100)</f>
        <v>0</v>
      </c>
      <c r="X119" s="588"/>
      <c r="Y119" s="600">
        <f>IFERROR(INT($Y$1/(F118/100)),"")</f>
        <v>182</v>
      </c>
      <c r="Z119" s="391"/>
      <c r="AA119" s="336"/>
      <c r="AB119" s="38"/>
    </row>
    <row r="120" spans="1:28" ht="12.75" hidden="1" customHeight="1">
      <c r="A120" s="242" t="s">
        <v>542</v>
      </c>
      <c r="B120" s="251"/>
      <c r="C120" s="321"/>
      <c r="D120" s="259"/>
      <c r="E120" s="251"/>
      <c r="F120" s="705"/>
      <c r="G120" s="333"/>
      <c r="H120" s="241"/>
      <c r="I120" s="229"/>
      <c r="J120" s="229"/>
      <c r="K120" s="264">
        <v>22</v>
      </c>
      <c r="L120" s="250"/>
      <c r="M120" s="233"/>
      <c r="N120" s="250"/>
      <c r="O120" s="290"/>
      <c r="P120" s="299">
        <v>119</v>
      </c>
      <c r="Q120" s="267">
        <v>0</v>
      </c>
      <c r="R120" s="277">
        <v>0</v>
      </c>
      <c r="S120" s="280">
        <v>0</v>
      </c>
      <c r="T120" s="247">
        <v>0</v>
      </c>
      <c r="U120" s="592"/>
      <c r="V120" s="315"/>
      <c r="W120" s="480">
        <f t="shared" ref="W120" si="53">(V120*X120)</f>
        <v>0</v>
      </c>
      <c r="X120" s="586"/>
      <c r="Y120" s="719">
        <f>IF(D120&lt;&gt;0,($C121*(1-$V$1))-$D120,0)</f>
        <v>0</v>
      </c>
      <c r="Z120" s="320" t="str">
        <f>IFERROR(IF(C120&lt;&gt;"",$Y$1/(D118/100)*(C120/100),""),"")</f>
        <v/>
      </c>
      <c r="AA120" s="381" t="str">
        <f>IFERROR($AA$1/(D120/100)*(C118/100),"")</f>
        <v/>
      </c>
      <c r="AB120" s="38"/>
    </row>
    <row r="121" spans="1:28" ht="12.75" hidden="1" customHeight="1">
      <c r="A121" s="300" t="s">
        <v>238</v>
      </c>
      <c r="B121" s="240"/>
      <c r="C121" s="239"/>
      <c r="D121" s="453"/>
      <c r="E121" s="454"/>
      <c r="F121" s="696"/>
      <c r="G121" s="332"/>
      <c r="H121" s="237"/>
      <c r="I121" s="228"/>
      <c r="J121" s="228"/>
      <c r="K121" s="261">
        <v>46.3</v>
      </c>
      <c r="L121" s="235"/>
      <c r="M121" s="232"/>
      <c r="N121" s="235"/>
      <c r="O121" s="289"/>
      <c r="P121" s="298">
        <v>120</v>
      </c>
      <c r="Q121" s="266">
        <v>0</v>
      </c>
      <c r="R121" s="276">
        <v>0</v>
      </c>
      <c r="S121" s="278">
        <v>0</v>
      </c>
      <c r="T121" s="248">
        <v>0</v>
      </c>
      <c r="U121" s="591"/>
      <c r="V121" s="314">
        <v>0</v>
      </c>
      <c r="W121" s="481">
        <f>V120*(F120/100)</f>
        <v>0</v>
      </c>
      <c r="X121" s="588"/>
      <c r="Y121" s="601" t="str">
        <f>IFERROR(INT($AA$1/(F120/100)),"")</f>
        <v/>
      </c>
      <c r="Z121" s="319" t="str">
        <f>IFERROR(IF(C121&lt;&gt;"",$Y$1/(D119/100)*(C121/100),""),"")</f>
        <v/>
      </c>
      <c r="AA121" s="383" t="str">
        <f>IFERROR($AA$1/(D121/100)*(C119/100),"")</f>
        <v/>
      </c>
      <c r="AB121" s="38"/>
    </row>
    <row r="122" spans="1:28" ht="12.75" customHeight="1">
      <c r="A122" s="395" t="s">
        <v>543</v>
      </c>
      <c r="B122" s="251">
        <v>264</v>
      </c>
      <c r="C122" s="321">
        <v>55.68</v>
      </c>
      <c r="D122" s="259">
        <v>55.99</v>
      </c>
      <c r="E122" s="251">
        <v>3455</v>
      </c>
      <c r="F122" s="705">
        <v>55.99</v>
      </c>
      <c r="G122" s="333">
        <v>-8.3000000000000001E-3</v>
      </c>
      <c r="H122" s="241">
        <v>56.01</v>
      </c>
      <c r="I122" s="229">
        <v>57.99</v>
      </c>
      <c r="J122" s="229">
        <v>55</v>
      </c>
      <c r="K122" s="264">
        <v>56.46</v>
      </c>
      <c r="L122" s="250">
        <v>63952</v>
      </c>
      <c r="M122" s="233">
        <v>114420</v>
      </c>
      <c r="N122" s="250">
        <v>160</v>
      </c>
      <c r="O122" s="290">
        <v>45378.643020833333</v>
      </c>
      <c r="P122" s="299">
        <v>121</v>
      </c>
      <c r="Q122" s="267">
        <v>0</v>
      </c>
      <c r="R122" s="277">
        <v>0</v>
      </c>
      <c r="S122" s="280">
        <v>0</v>
      </c>
      <c r="T122" s="247">
        <v>0</v>
      </c>
      <c r="U122" s="592"/>
      <c r="V122" s="432"/>
      <c r="W122" s="482">
        <f t="shared" ref="W122" si="54">(V122*X122)</f>
        <v>0</v>
      </c>
      <c r="X122" s="589"/>
      <c r="Y122" s="720">
        <f>IF(D122&lt;&gt;0,($C123*(1-$V$1))-$D122,0)</f>
        <v>-0.28000000000000114</v>
      </c>
      <c r="Z122" s="318">
        <f>IFERROR(IF(C122&lt;&gt;"",$Y$1/(D118/100)*(C122/100),""),"")</f>
        <v>101.5642287355566</v>
      </c>
      <c r="AA122" s="382">
        <f>IFERROR($Z$1/(D122/100)*(C118/100),"")</f>
        <v>99142.704054295406</v>
      </c>
      <c r="AB122" s="38"/>
    </row>
    <row r="123" spans="1:28" ht="12.75" customHeight="1">
      <c r="A123" s="425" t="s">
        <v>239</v>
      </c>
      <c r="B123" s="426">
        <v>264</v>
      </c>
      <c r="C123" s="411">
        <v>55.71</v>
      </c>
      <c r="D123" s="452">
        <v>55.95</v>
      </c>
      <c r="E123" s="420">
        <v>2000</v>
      </c>
      <c r="F123" s="704">
        <v>56</v>
      </c>
      <c r="G123" s="427">
        <v>8.0000000000000004E-4</v>
      </c>
      <c r="H123" s="413">
        <v>55.55</v>
      </c>
      <c r="I123" s="414">
        <v>58.03</v>
      </c>
      <c r="J123" s="414">
        <v>55.01</v>
      </c>
      <c r="K123" s="430">
        <v>55.95</v>
      </c>
      <c r="L123" s="406">
        <v>88495</v>
      </c>
      <c r="M123" s="416">
        <v>158534</v>
      </c>
      <c r="N123" s="406">
        <v>179</v>
      </c>
      <c r="O123" s="407">
        <v>45378.645138888889</v>
      </c>
      <c r="P123" s="298">
        <v>122</v>
      </c>
      <c r="Q123" s="408">
        <v>0</v>
      </c>
      <c r="R123" s="428">
        <v>0</v>
      </c>
      <c r="S123" s="410">
        <v>0</v>
      </c>
      <c r="T123" s="419">
        <v>0</v>
      </c>
      <c r="U123" s="591"/>
      <c r="V123" s="433">
        <v>0</v>
      </c>
      <c r="W123" s="486">
        <f>V122*(F122/100)</f>
        <v>0</v>
      </c>
      <c r="X123" s="587"/>
      <c r="Y123" s="602">
        <f>IFERROR(INT($Z$1/(F122/100)),"")</f>
        <v>178</v>
      </c>
      <c r="Z123" s="422">
        <f>IFERROR(IF(C123&lt;&gt;"",$Y$1/(D119/100)*(C123/100),""),"")</f>
        <v>100.14282082047441</v>
      </c>
      <c r="AA123" s="429">
        <f>IFERROR($Z$1/(D123/100)*(C119/100),"")</f>
        <v>100768.54334226988</v>
      </c>
      <c r="AB123" s="38"/>
    </row>
    <row r="124" spans="1:28" ht="12.75" customHeight="1">
      <c r="A124" s="274" t="s">
        <v>544</v>
      </c>
      <c r="B124" s="251">
        <v>3000</v>
      </c>
      <c r="C124" s="321">
        <v>45600</v>
      </c>
      <c r="D124" s="259">
        <v>45620</v>
      </c>
      <c r="E124" s="251">
        <v>102267</v>
      </c>
      <c r="F124" s="695">
        <v>45620</v>
      </c>
      <c r="G124" s="330">
        <v>-2.3599999999999999E-2</v>
      </c>
      <c r="H124" s="238">
        <v>46980</v>
      </c>
      <c r="I124" s="230">
        <v>46980</v>
      </c>
      <c r="J124" s="230">
        <v>44500</v>
      </c>
      <c r="K124" s="263">
        <v>46725</v>
      </c>
      <c r="L124" s="255">
        <v>498405377</v>
      </c>
      <c r="M124" s="234">
        <v>1089560</v>
      </c>
      <c r="N124" s="255">
        <v>807</v>
      </c>
      <c r="O124" s="288">
        <v>45378.647048611114</v>
      </c>
      <c r="P124" s="299">
        <v>123</v>
      </c>
      <c r="Q124" s="268">
        <v>0</v>
      </c>
      <c r="R124" s="275">
        <v>0</v>
      </c>
      <c r="S124" s="279">
        <v>0</v>
      </c>
      <c r="T124" s="249">
        <v>0</v>
      </c>
      <c r="U124" s="592"/>
      <c r="V124" s="435"/>
      <c r="W124" s="484">
        <f t="shared" ref="W124" si="55">(V124*X124)</f>
        <v>0</v>
      </c>
      <c r="X124" s="586"/>
      <c r="Y124" s="628">
        <f>IF(D124&lt;&gt;0,($C125*(1-$V$1))-$D124,0)</f>
        <v>680</v>
      </c>
      <c r="Z124" s="451"/>
      <c r="AA124" s="335"/>
      <c r="AB124" s="38"/>
    </row>
    <row r="125" spans="1:28" ht="12.75" customHeight="1">
      <c r="A125" s="273" t="s">
        <v>184</v>
      </c>
      <c r="B125" s="240">
        <v>2093</v>
      </c>
      <c r="C125" s="239">
        <v>46300</v>
      </c>
      <c r="D125" s="453">
        <v>46350</v>
      </c>
      <c r="E125" s="454">
        <v>322</v>
      </c>
      <c r="F125" s="696">
        <v>46300</v>
      </c>
      <c r="G125" s="332">
        <v>-1.44E-2</v>
      </c>
      <c r="H125" s="237">
        <v>47490</v>
      </c>
      <c r="I125" s="228">
        <v>47490</v>
      </c>
      <c r="J125" s="228">
        <v>45100</v>
      </c>
      <c r="K125" s="261">
        <v>46980</v>
      </c>
      <c r="L125" s="235">
        <v>2803444302</v>
      </c>
      <c r="M125" s="232">
        <v>6031121</v>
      </c>
      <c r="N125" s="235">
        <v>1864</v>
      </c>
      <c r="O125" s="289">
        <v>45378.647152777776</v>
      </c>
      <c r="P125" s="298">
        <v>124</v>
      </c>
      <c r="Q125" s="266">
        <v>0</v>
      </c>
      <c r="R125" s="276">
        <v>0</v>
      </c>
      <c r="S125" s="278">
        <v>0</v>
      </c>
      <c r="T125" s="248">
        <v>0</v>
      </c>
      <c r="U125" s="591"/>
      <c r="V125" s="434">
        <v>0</v>
      </c>
      <c r="W125" s="479">
        <f>V124*(F124/100)</f>
        <v>0</v>
      </c>
      <c r="X125" s="588"/>
      <c r="Y125" s="600">
        <f>IFERROR(INT($Y$1/(F124/100)),"")</f>
        <v>222</v>
      </c>
      <c r="Z125" s="391"/>
      <c r="AA125" s="336"/>
      <c r="AB125" s="38"/>
    </row>
    <row r="126" spans="1:28" ht="12.75" hidden="1" customHeight="1">
      <c r="A126" s="242" t="s">
        <v>545</v>
      </c>
      <c r="B126" s="251"/>
      <c r="C126" s="321"/>
      <c r="D126" s="259"/>
      <c r="E126" s="251"/>
      <c r="F126" s="705"/>
      <c r="G126" s="333"/>
      <c r="H126" s="241"/>
      <c r="I126" s="229"/>
      <c r="J126" s="229"/>
      <c r="K126" s="264">
        <v>36</v>
      </c>
      <c r="L126" s="250"/>
      <c r="M126" s="233"/>
      <c r="N126" s="250"/>
      <c r="O126" s="290"/>
      <c r="P126" s="299">
        <v>125</v>
      </c>
      <c r="Q126" s="267">
        <v>0</v>
      </c>
      <c r="R126" s="277">
        <v>0</v>
      </c>
      <c r="S126" s="280">
        <v>0</v>
      </c>
      <c r="T126" s="247">
        <v>0</v>
      </c>
      <c r="U126" s="592"/>
      <c r="V126" s="315"/>
      <c r="W126" s="480">
        <f t="shared" ref="W126" si="56">(V126*X126)</f>
        <v>0</v>
      </c>
      <c r="X126" s="586"/>
      <c r="Y126" s="719">
        <f>IF(D126&lt;&gt;0,($C127*(1-$V$1))-$D126,0)</f>
        <v>0</v>
      </c>
      <c r="Z126" s="320" t="str">
        <f>IFERROR(IF(C126&lt;&gt;"",$Y$1/(D124/100)*(C126/100),""),"")</f>
        <v/>
      </c>
      <c r="AA126" s="381" t="str">
        <f>IFERROR($AA$1/(D126/100)*(C124/100),"")</f>
        <v/>
      </c>
      <c r="AB126" s="38"/>
    </row>
    <row r="127" spans="1:28" ht="12.75" hidden="1" customHeight="1">
      <c r="A127" s="300" t="s">
        <v>240</v>
      </c>
      <c r="B127" s="240">
        <v>500000</v>
      </c>
      <c r="C127" s="239">
        <v>42</v>
      </c>
      <c r="D127" s="453"/>
      <c r="E127" s="454"/>
      <c r="F127" s="696"/>
      <c r="G127" s="332"/>
      <c r="H127" s="237"/>
      <c r="I127" s="228"/>
      <c r="J127" s="228"/>
      <c r="K127" s="261">
        <v>32.188000000000002</v>
      </c>
      <c r="L127" s="235"/>
      <c r="M127" s="232"/>
      <c r="N127" s="235"/>
      <c r="O127" s="289"/>
      <c r="P127" s="298">
        <v>126</v>
      </c>
      <c r="Q127" s="266">
        <v>0</v>
      </c>
      <c r="R127" s="276">
        <v>0</v>
      </c>
      <c r="S127" s="278">
        <v>0</v>
      </c>
      <c r="T127" s="248">
        <v>0</v>
      </c>
      <c r="U127" s="591"/>
      <c r="V127" s="314">
        <v>0</v>
      </c>
      <c r="W127" s="481">
        <f>V126*(F126/100)</f>
        <v>0</v>
      </c>
      <c r="X127" s="588"/>
      <c r="Y127" s="601" t="str">
        <f>IFERROR(INT($AA$1/(F126/100)),"")</f>
        <v/>
      </c>
      <c r="Z127" s="319">
        <f>IFERROR(IF(C127&lt;&gt;"",$Y$1/(D125/100)*(C127/100),""),"")</f>
        <v>91.949666871054873</v>
      </c>
      <c r="AA127" s="383" t="str">
        <f>IFERROR($AA$1/(D127/100)*(C125/100),"")</f>
        <v/>
      </c>
      <c r="AB127" s="38"/>
    </row>
    <row r="128" spans="1:28" ht="12.75" customHeight="1">
      <c r="A128" s="395" t="s">
        <v>546</v>
      </c>
      <c r="B128" s="251">
        <v>2204</v>
      </c>
      <c r="C128" s="321">
        <v>45.368000000000002</v>
      </c>
      <c r="D128" s="259">
        <v>45.82</v>
      </c>
      <c r="E128" s="251">
        <v>440</v>
      </c>
      <c r="F128" s="705">
        <v>45.85</v>
      </c>
      <c r="G128" s="333">
        <v>9.8999999999999991E-3</v>
      </c>
      <c r="H128" s="241">
        <v>45.9</v>
      </c>
      <c r="I128" s="229">
        <v>46.4</v>
      </c>
      <c r="J128" s="229">
        <v>44.8</v>
      </c>
      <c r="K128" s="264">
        <v>45.4</v>
      </c>
      <c r="L128" s="250">
        <v>121977</v>
      </c>
      <c r="M128" s="233">
        <v>267721</v>
      </c>
      <c r="N128" s="250">
        <v>232</v>
      </c>
      <c r="O128" s="290">
        <v>45378.644745370373</v>
      </c>
      <c r="P128" s="299">
        <v>127</v>
      </c>
      <c r="Q128" s="267">
        <v>0</v>
      </c>
      <c r="R128" s="277">
        <v>0</v>
      </c>
      <c r="S128" s="280">
        <v>0</v>
      </c>
      <c r="T128" s="247">
        <v>0</v>
      </c>
      <c r="U128" s="592"/>
      <c r="V128" s="432">
        <v>0</v>
      </c>
      <c r="W128" s="482">
        <f t="shared" ref="W128" si="57">(V128*X128)</f>
        <v>0</v>
      </c>
      <c r="X128" s="589"/>
      <c r="Y128" s="720">
        <f>IF(D128&lt;&gt;0,($C129*(1-$V$1))-$D128,0)</f>
        <v>-0.65899999999999892</v>
      </c>
      <c r="Z128" s="318">
        <f>IFERROR(IF(C128&lt;&gt;"",$Y$1/(D124/100)*(C128/100),""),"")</f>
        <v>100.91249908884414</v>
      </c>
      <c r="AA128" s="382">
        <f>IFERROR($Z$1/(D128/100)*(C124/100),"")</f>
        <v>99519.860323003057</v>
      </c>
      <c r="AB128" s="38"/>
    </row>
    <row r="129" spans="1:28" ht="12.75" customHeight="1">
      <c r="A129" s="425" t="s">
        <v>241</v>
      </c>
      <c r="B129" s="426">
        <v>4408</v>
      </c>
      <c r="C129" s="411">
        <v>45.161000000000001</v>
      </c>
      <c r="D129" s="452">
        <v>45.847000000000001</v>
      </c>
      <c r="E129" s="420">
        <v>440</v>
      </c>
      <c r="F129" s="704">
        <v>45.847999999999999</v>
      </c>
      <c r="G129" s="427">
        <v>-3.3E-3</v>
      </c>
      <c r="H129" s="413">
        <v>46</v>
      </c>
      <c r="I129" s="414">
        <v>46</v>
      </c>
      <c r="J129" s="414">
        <v>44.951000000000001</v>
      </c>
      <c r="K129" s="430">
        <v>46</v>
      </c>
      <c r="L129" s="406">
        <v>148150</v>
      </c>
      <c r="M129" s="416">
        <v>325222</v>
      </c>
      <c r="N129" s="406">
        <v>272</v>
      </c>
      <c r="O129" s="407">
        <v>45378.646238425928</v>
      </c>
      <c r="P129" s="298">
        <v>128</v>
      </c>
      <c r="Q129" s="408">
        <v>0</v>
      </c>
      <c r="R129" s="428">
        <v>0</v>
      </c>
      <c r="S129" s="410">
        <v>0</v>
      </c>
      <c r="T129" s="419">
        <v>0</v>
      </c>
      <c r="U129" s="591"/>
      <c r="V129" s="433">
        <v>0</v>
      </c>
      <c r="W129" s="485">
        <f>V128*(F128/100)</f>
        <v>0</v>
      </c>
      <c r="X129" s="587"/>
      <c r="Y129" s="602">
        <f>IFERROR(INT($Z$1/(F128/100)),"")</f>
        <v>218</v>
      </c>
      <c r="Z129" s="422">
        <f>IFERROR(IF(C129&lt;&gt;"",$Y$1/(D125/100)*(C129/100),""),"")</f>
        <v>98.869973941993095</v>
      </c>
      <c r="AA129" s="429">
        <f>IFERROR($Z$1/(D129/100)*(C125/100),"")</f>
        <v>100988.06901214911</v>
      </c>
      <c r="AB129" s="38"/>
    </row>
    <row r="130" spans="1:28" ht="12.75" customHeight="1">
      <c r="A130" s="274" t="s">
        <v>550</v>
      </c>
      <c r="B130" s="251">
        <v>2723</v>
      </c>
      <c r="C130" s="321">
        <v>44200</v>
      </c>
      <c r="D130" s="259">
        <v>44565</v>
      </c>
      <c r="E130" s="251">
        <v>6450</v>
      </c>
      <c r="F130" s="695">
        <v>44570</v>
      </c>
      <c r="G130" s="330">
        <v>1.5E-3</v>
      </c>
      <c r="H130" s="238">
        <v>45800</v>
      </c>
      <c r="I130" s="230">
        <v>45800</v>
      </c>
      <c r="J130" s="230">
        <v>43795</v>
      </c>
      <c r="K130" s="263">
        <v>44500</v>
      </c>
      <c r="L130" s="255">
        <v>24415750</v>
      </c>
      <c r="M130" s="234">
        <v>54655</v>
      </c>
      <c r="N130" s="255">
        <v>164</v>
      </c>
      <c r="O130" s="288">
        <v>45378.641782407409</v>
      </c>
      <c r="P130" s="299">
        <v>129</v>
      </c>
      <c r="Q130" s="268">
        <v>0</v>
      </c>
      <c r="R130" s="275">
        <v>0</v>
      </c>
      <c r="S130" s="279">
        <v>0</v>
      </c>
      <c r="T130" s="249">
        <v>0</v>
      </c>
      <c r="U130" s="592"/>
      <c r="V130" s="435"/>
      <c r="W130" s="484">
        <f t="shared" ref="W130" si="58">(V130*X130)</f>
        <v>0</v>
      </c>
      <c r="X130" s="586"/>
      <c r="Y130" s="628">
        <f>IF(D130&lt;&gt;0,($C131*(1-$V$1))-$D130,0)</f>
        <v>35</v>
      </c>
      <c r="Z130" s="451"/>
      <c r="AA130" s="335"/>
      <c r="AB130" s="38"/>
    </row>
    <row r="131" spans="1:28" ht="12.75" customHeight="1">
      <c r="A131" s="273" t="s">
        <v>185</v>
      </c>
      <c r="B131" s="240">
        <v>2333</v>
      </c>
      <c r="C131" s="239">
        <v>44600</v>
      </c>
      <c r="D131" s="453">
        <v>44695</v>
      </c>
      <c r="E131" s="454">
        <v>2000</v>
      </c>
      <c r="F131" s="696">
        <v>44700</v>
      </c>
      <c r="G131" s="332">
        <v>-1.1000000000000001E-2</v>
      </c>
      <c r="H131" s="237">
        <v>45990</v>
      </c>
      <c r="I131" s="228">
        <v>45990</v>
      </c>
      <c r="J131" s="228">
        <v>44400</v>
      </c>
      <c r="K131" s="261">
        <v>45200</v>
      </c>
      <c r="L131" s="235">
        <v>265058375</v>
      </c>
      <c r="M131" s="232">
        <v>590953</v>
      </c>
      <c r="N131" s="235">
        <v>584</v>
      </c>
      <c r="O131" s="289">
        <v>45378.647083333337</v>
      </c>
      <c r="P131" s="298">
        <v>130</v>
      </c>
      <c r="Q131" s="266">
        <v>0</v>
      </c>
      <c r="R131" s="276">
        <v>0</v>
      </c>
      <c r="S131" s="278">
        <v>0</v>
      </c>
      <c r="T131" s="248">
        <v>0</v>
      </c>
      <c r="U131" s="591"/>
      <c r="V131" s="434">
        <v>0</v>
      </c>
      <c r="W131" s="479">
        <f>V130*(F130/100)</f>
        <v>0</v>
      </c>
      <c r="X131" s="588"/>
      <c r="Y131" s="600">
        <f>IFERROR(INT($Y$1/(F130/100)),"")</f>
        <v>227</v>
      </c>
      <c r="Z131" s="391"/>
      <c r="AA131" s="336"/>
      <c r="AB131" s="38"/>
    </row>
    <row r="132" spans="1:28" ht="12.75" hidden="1" customHeight="1">
      <c r="A132" s="242" t="s">
        <v>551</v>
      </c>
      <c r="B132" s="251"/>
      <c r="C132" s="321"/>
      <c r="D132" s="259"/>
      <c r="E132" s="251"/>
      <c r="F132" s="705"/>
      <c r="G132" s="333"/>
      <c r="H132" s="241"/>
      <c r="I132" s="229"/>
      <c r="J132" s="229"/>
      <c r="K132" s="264">
        <v>23.22</v>
      </c>
      <c r="L132" s="250"/>
      <c r="M132" s="233"/>
      <c r="N132" s="250"/>
      <c r="O132" s="290"/>
      <c r="P132" s="299">
        <v>131</v>
      </c>
      <c r="Q132" s="267">
        <v>0</v>
      </c>
      <c r="R132" s="277">
        <v>0</v>
      </c>
      <c r="S132" s="280">
        <v>0</v>
      </c>
      <c r="T132" s="247">
        <v>0</v>
      </c>
      <c r="U132" s="592"/>
      <c r="V132" s="315"/>
      <c r="W132" s="480">
        <f t="shared" ref="W132" si="59">(V132*X132)</f>
        <v>0</v>
      </c>
      <c r="X132" s="586"/>
      <c r="Y132" s="719">
        <f>IF(D132&lt;&gt;0,($C133*(1-$V$1))-$D132,0)</f>
        <v>0</v>
      </c>
      <c r="Z132" s="320" t="str">
        <f>IFERROR(IF(C132&lt;&gt;"",$Y$1/(D130/100)*(C132/100),""),"")</f>
        <v/>
      </c>
      <c r="AA132" s="381" t="str">
        <f>IFERROR($AA$1/(D132/100)*(C130/100),"")</f>
        <v/>
      </c>
      <c r="AB132" s="38"/>
    </row>
    <row r="133" spans="1:28" ht="12.75" hidden="1" customHeight="1">
      <c r="A133" s="300" t="s">
        <v>242</v>
      </c>
      <c r="B133" s="240"/>
      <c r="C133" s="239"/>
      <c r="D133" s="453"/>
      <c r="E133" s="454"/>
      <c r="F133" s="696"/>
      <c r="G133" s="332"/>
      <c r="H133" s="237"/>
      <c r="I133" s="228"/>
      <c r="J133" s="228"/>
      <c r="K133" s="261">
        <v>26</v>
      </c>
      <c r="L133" s="235"/>
      <c r="M133" s="232"/>
      <c r="N133" s="235"/>
      <c r="O133" s="289"/>
      <c r="P133" s="298">
        <v>132</v>
      </c>
      <c r="Q133" s="266">
        <v>0</v>
      </c>
      <c r="R133" s="276">
        <v>0</v>
      </c>
      <c r="S133" s="278">
        <v>0</v>
      </c>
      <c r="T133" s="248">
        <v>0</v>
      </c>
      <c r="U133" s="591"/>
      <c r="V133" s="314">
        <v>0</v>
      </c>
      <c r="W133" s="481">
        <f>V132*(F132/100)</f>
        <v>0</v>
      </c>
      <c r="X133" s="588"/>
      <c r="Y133" s="601" t="str">
        <f>IFERROR(INT($AA$1/(F132/100)),"")</f>
        <v/>
      </c>
      <c r="Z133" s="319" t="str">
        <f>IFERROR(IF(C133&lt;&gt;"",$Y$1/(D131/100)*(C133/100),""),"")</f>
        <v/>
      </c>
      <c r="AA133" s="383" t="str">
        <f>IFERROR($AA$1/(D133/100)*(C131/100),"")</f>
        <v/>
      </c>
      <c r="AB133" s="38"/>
    </row>
    <row r="134" spans="1:28" ht="12.75" customHeight="1">
      <c r="A134" s="395" t="s">
        <v>552</v>
      </c>
      <c r="B134" s="251">
        <v>14197</v>
      </c>
      <c r="C134" s="321">
        <v>44.2</v>
      </c>
      <c r="D134" s="259">
        <v>44.6</v>
      </c>
      <c r="E134" s="251">
        <v>750</v>
      </c>
      <c r="F134" s="705">
        <v>44.2</v>
      </c>
      <c r="G134" s="333">
        <v>-7.8000000000000005E-3</v>
      </c>
      <c r="H134" s="241">
        <v>43.9</v>
      </c>
      <c r="I134" s="229">
        <v>45.9</v>
      </c>
      <c r="J134" s="229">
        <v>43.25</v>
      </c>
      <c r="K134" s="264">
        <v>44.55</v>
      </c>
      <c r="L134" s="250">
        <v>43103</v>
      </c>
      <c r="M134" s="233">
        <v>97432</v>
      </c>
      <c r="N134" s="250">
        <v>51</v>
      </c>
      <c r="O134" s="290">
        <v>45378.647141203706</v>
      </c>
      <c r="P134" s="299">
        <v>133</v>
      </c>
      <c r="Q134" s="267">
        <v>0</v>
      </c>
      <c r="R134" s="277">
        <v>0</v>
      </c>
      <c r="S134" s="280">
        <v>0</v>
      </c>
      <c r="T134" s="247">
        <v>0</v>
      </c>
      <c r="U134" s="592"/>
      <c r="V134" s="432">
        <v>0</v>
      </c>
      <c r="W134" s="482">
        <f t="shared" ref="W134" si="60">(V134*X134)</f>
        <v>0</v>
      </c>
      <c r="X134" s="589"/>
      <c r="Y134" s="720">
        <f>IF(D134&lt;&gt;0,($C135*(1-$V$1))-$D134,0)</f>
        <v>-0.75</v>
      </c>
      <c r="Z134" s="318">
        <f>IFERROR(IF(C134&lt;&gt;"",$Y$1/(D130/100)*(C134/100),""),"")</f>
        <v>100.64193234532974</v>
      </c>
      <c r="AA134" s="382">
        <f>IFERROR($Z$1/(D134/100)*(C130/100),"")</f>
        <v>99103.139013452907</v>
      </c>
      <c r="AB134" s="38"/>
    </row>
    <row r="135" spans="1:28" ht="12.75" customHeight="1">
      <c r="A135" s="425" t="s">
        <v>243</v>
      </c>
      <c r="B135" s="426">
        <v>10360</v>
      </c>
      <c r="C135" s="411">
        <v>43.85</v>
      </c>
      <c r="D135" s="452">
        <v>44.279000000000003</v>
      </c>
      <c r="E135" s="420">
        <v>9673</v>
      </c>
      <c r="F135" s="704">
        <v>43.85</v>
      </c>
      <c r="G135" s="427">
        <v>2.0000000000000001E-4</v>
      </c>
      <c r="H135" s="413">
        <v>43.8</v>
      </c>
      <c r="I135" s="414">
        <v>44.99</v>
      </c>
      <c r="J135" s="414">
        <v>42.415999999999997</v>
      </c>
      <c r="K135" s="430">
        <v>43.84</v>
      </c>
      <c r="L135" s="406">
        <v>63543</v>
      </c>
      <c r="M135" s="416">
        <v>144815</v>
      </c>
      <c r="N135" s="406">
        <v>129</v>
      </c>
      <c r="O135" s="407">
        <v>45378.644479166665</v>
      </c>
      <c r="P135" s="298">
        <v>134</v>
      </c>
      <c r="Q135" s="408">
        <v>0</v>
      </c>
      <c r="R135" s="428">
        <v>0</v>
      </c>
      <c r="S135" s="410">
        <v>0</v>
      </c>
      <c r="T135" s="419">
        <v>0</v>
      </c>
      <c r="U135" s="591"/>
      <c r="V135" s="433">
        <v>0</v>
      </c>
      <c r="W135" s="485">
        <f>V134*(F134/100)</f>
        <v>0</v>
      </c>
      <c r="X135" s="587"/>
      <c r="Y135" s="602">
        <f>IFERROR(INT($Z$1/(F134/100)),"")</f>
        <v>226</v>
      </c>
      <c r="Z135" s="422">
        <f>IFERROR(IF(C135&lt;&gt;"",$Y$1/(D131/100)*(C135/100),""),"")</f>
        <v>99.554584542805102</v>
      </c>
      <c r="AA135" s="429">
        <f>IFERROR($Z$1/(D135/100)*(C131/100),"")</f>
        <v>100724.94862124258</v>
      </c>
      <c r="AB135" s="38"/>
    </row>
    <row r="136" spans="1:28" ht="12.75" customHeight="1">
      <c r="A136" s="274" t="s">
        <v>553</v>
      </c>
      <c r="B136" s="251">
        <v>95</v>
      </c>
      <c r="C136" s="321">
        <v>58400</v>
      </c>
      <c r="D136" s="259">
        <v>58690</v>
      </c>
      <c r="E136" s="251">
        <v>1000</v>
      </c>
      <c r="F136" s="695">
        <v>58450</v>
      </c>
      <c r="G136" s="330">
        <v>-2.7400000000000001E-2</v>
      </c>
      <c r="H136" s="238">
        <v>60040</v>
      </c>
      <c r="I136" s="230">
        <v>60100</v>
      </c>
      <c r="J136" s="230">
        <v>58260</v>
      </c>
      <c r="K136" s="263">
        <v>60100</v>
      </c>
      <c r="L136" s="255">
        <v>46953774</v>
      </c>
      <c r="M136" s="234">
        <v>79895</v>
      </c>
      <c r="N136" s="255">
        <v>150</v>
      </c>
      <c r="O136" s="288">
        <v>45378.645046296297</v>
      </c>
      <c r="P136" s="299">
        <v>135</v>
      </c>
      <c r="Q136" s="268">
        <v>0</v>
      </c>
      <c r="R136" s="275">
        <v>0</v>
      </c>
      <c r="S136" s="279">
        <v>0</v>
      </c>
      <c r="T136" s="249">
        <v>0</v>
      </c>
      <c r="U136" s="592"/>
      <c r="V136" s="435"/>
      <c r="W136" s="484">
        <f t="shared" ref="W136" si="61">(V136*X136)</f>
        <v>0</v>
      </c>
      <c r="X136" s="586"/>
      <c r="Y136" s="628">
        <f>IF(D136&lt;&gt;0,($C137*(1-$V$1))-$D136,0)</f>
        <v>-180</v>
      </c>
      <c r="Z136" s="451"/>
      <c r="AA136" s="335"/>
      <c r="AB136" s="38"/>
    </row>
    <row r="137" spans="1:28" ht="12.75" customHeight="1">
      <c r="A137" s="273" t="s">
        <v>187</v>
      </c>
      <c r="B137" s="240">
        <v>2000</v>
      </c>
      <c r="C137" s="239">
        <v>58510</v>
      </c>
      <c r="D137" s="453">
        <v>59400</v>
      </c>
      <c r="E137" s="454">
        <v>85</v>
      </c>
      <c r="F137" s="696">
        <v>58430</v>
      </c>
      <c r="G137" s="332">
        <v>-2.69E-2</v>
      </c>
      <c r="H137" s="237">
        <v>60390</v>
      </c>
      <c r="I137" s="228">
        <v>60390</v>
      </c>
      <c r="J137" s="228">
        <v>58000</v>
      </c>
      <c r="K137" s="261">
        <v>60050</v>
      </c>
      <c r="L137" s="235">
        <v>269279026</v>
      </c>
      <c r="M137" s="232">
        <v>453931</v>
      </c>
      <c r="N137" s="235">
        <v>231</v>
      </c>
      <c r="O137" s="289">
        <v>45378.644386574073</v>
      </c>
      <c r="P137" s="298">
        <v>136</v>
      </c>
      <c r="Q137" s="266">
        <v>0</v>
      </c>
      <c r="R137" s="276">
        <v>0</v>
      </c>
      <c r="S137" s="278">
        <v>0</v>
      </c>
      <c r="T137" s="248">
        <v>0</v>
      </c>
      <c r="U137" s="591"/>
      <c r="V137" s="434">
        <v>0</v>
      </c>
      <c r="W137" s="479">
        <f>V136*(F136/100)</f>
        <v>0</v>
      </c>
      <c r="X137" s="588"/>
      <c r="Y137" s="600">
        <f>IFERROR(INT($Y$1/(F136/100)),"")</f>
        <v>173</v>
      </c>
      <c r="Z137" s="391"/>
      <c r="AA137" s="336"/>
      <c r="AB137" s="38"/>
    </row>
    <row r="138" spans="1:28" ht="12.75" hidden="1" customHeight="1">
      <c r="A138" s="242" t="s">
        <v>554</v>
      </c>
      <c r="B138" s="251"/>
      <c r="C138" s="321"/>
      <c r="D138" s="259"/>
      <c r="E138" s="251"/>
      <c r="F138" s="705"/>
      <c r="G138" s="333"/>
      <c r="H138" s="241"/>
      <c r="I138" s="229"/>
      <c r="J138" s="229"/>
      <c r="K138" s="264">
        <v>52</v>
      </c>
      <c r="L138" s="250"/>
      <c r="M138" s="233"/>
      <c r="N138" s="250"/>
      <c r="O138" s="290"/>
      <c r="P138" s="299">
        <v>137</v>
      </c>
      <c r="Q138" s="267">
        <v>0</v>
      </c>
      <c r="R138" s="277">
        <v>0</v>
      </c>
      <c r="S138" s="280">
        <v>0</v>
      </c>
      <c r="T138" s="247">
        <v>0</v>
      </c>
      <c r="U138" s="592"/>
      <c r="V138" s="315"/>
      <c r="W138" s="480">
        <f t="shared" ref="W138" si="62">(V138*X138)</f>
        <v>0</v>
      </c>
      <c r="X138" s="586"/>
      <c r="Y138" s="719">
        <f>IF(D138&lt;&gt;0,($C139*(1-$V$1))-$D138,0)</f>
        <v>0</v>
      </c>
      <c r="Z138" s="320" t="str">
        <f>IFERROR(IF(C138&lt;&gt;"",$Y$1/(D136/100)*(C138/100),""),"")</f>
        <v/>
      </c>
      <c r="AA138" s="381" t="str">
        <f>IFERROR($Z$1/(D138/100)*(C136/100),"")</f>
        <v/>
      </c>
      <c r="AB138" s="38"/>
    </row>
    <row r="139" spans="1:28" ht="12.75" hidden="1" customHeight="1">
      <c r="A139" s="300" t="s">
        <v>232</v>
      </c>
      <c r="B139" s="240"/>
      <c r="C139" s="239"/>
      <c r="D139" s="453"/>
      <c r="E139" s="454"/>
      <c r="F139" s="696"/>
      <c r="G139" s="332"/>
      <c r="H139" s="237"/>
      <c r="I139" s="228"/>
      <c r="J139" s="228"/>
      <c r="K139" s="261">
        <v>40</v>
      </c>
      <c r="L139" s="235"/>
      <c r="M139" s="232"/>
      <c r="N139" s="235"/>
      <c r="O139" s="289"/>
      <c r="P139" s="298">
        <v>138</v>
      </c>
      <c r="Q139" s="266">
        <v>0</v>
      </c>
      <c r="R139" s="276">
        <v>0</v>
      </c>
      <c r="S139" s="278">
        <v>0</v>
      </c>
      <c r="T139" s="248">
        <v>0</v>
      </c>
      <c r="U139" s="591"/>
      <c r="V139" s="314">
        <v>0</v>
      </c>
      <c r="W139" s="481">
        <f>V138*(F138/100)</f>
        <v>0</v>
      </c>
      <c r="X139" s="588"/>
      <c r="Y139" s="601" t="str">
        <f>IFERROR(INT($AA$1/(F138/100)),"")</f>
        <v/>
      </c>
      <c r="Z139" s="319" t="str">
        <f>IFERROR(IF(C139&lt;&gt;"",$Y$1/(D137/100)*(C139/100),""),"")</f>
        <v/>
      </c>
      <c r="AA139" s="383" t="str">
        <f>IFERROR($Z$1/(D139/100)*(C137/100),"")</f>
        <v/>
      </c>
      <c r="AB139" s="38"/>
    </row>
    <row r="140" spans="1:28" ht="12.75" customHeight="1">
      <c r="A140" s="395" t="s">
        <v>555</v>
      </c>
      <c r="B140" s="251">
        <v>857</v>
      </c>
      <c r="C140" s="321">
        <v>58.3</v>
      </c>
      <c r="D140" s="259">
        <v>58.99</v>
      </c>
      <c r="E140" s="251">
        <v>664</v>
      </c>
      <c r="F140" s="705">
        <v>58.31</v>
      </c>
      <c r="G140" s="333">
        <v>-2.81E-2</v>
      </c>
      <c r="H140" s="241">
        <v>58.01</v>
      </c>
      <c r="I140" s="229">
        <v>59</v>
      </c>
      <c r="J140" s="229">
        <v>58</v>
      </c>
      <c r="K140" s="264">
        <v>60</v>
      </c>
      <c r="L140" s="250">
        <v>24262</v>
      </c>
      <c r="M140" s="233">
        <v>41346</v>
      </c>
      <c r="N140" s="250">
        <v>22</v>
      </c>
      <c r="O140" s="290">
        <v>45378.636817129627</v>
      </c>
      <c r="P140" s="299">
        <v>139</v>
      </c>
      <c r="Q140" s="267">
        <v>0</v>
      </c>
      <c r="R140" s="277">
        <v>0</v>
      </c>
      <c r="S140" s="280">
        <v>0</v>
      </c>
      <c r="T140" s="247">
        <v>0</v>
      </c>
      <c r="U140" s="592"/>
      <c r="V140" s="432">
        <v>0</v>
      </c>
      <c r="W140" s="482">
        <f t="shared" ref="W140" si="63">(V140*X140)</f>
        <v>0</v>
      </c>
      <c r="X140" s="589"/>
      <c r="Y140" s="720">
        <f>IF(D140&lt;&gt;0,($C141*(1-$V$1))-$D140,0)</f>
        <v>-0.74000000000000199</v>
      </c>
      <c r="Z140" s="318">
        <f>IFERROR(IF(C140&lt;&gt;"",$Y$1/(D136/100)*(C140/100),""),"")</f>
        <v>100.79872841455057</v>
      </c>
      <c r="AA140" s="382">
        <f>IFERROR($Z$1/(D140/100)*(C136/100),"")</f>
        <v>98999.830479742333</v>
      </c>
      <c r="AB140" s="38"/>
    </row>
    <row r="141" spans="1:28" ht="12.75" customHeight="1">
      <c r="A141" s="425" t="s">
        <v>233</v>
      </c>
      <c r="B141" s="426">
        <v>9390</v>
      </c>
      <c r="C141" s="411">
        <v>58.25</v>
      </c>
      <c r="D141" s="452">
        <v>58.99</v>
      </c>
      <c r="E141" s="420">
        <v>8788</v>
      </c>
      <c r="F141" s="704">
        <v>58.99</v>
      </c>
      <c r="G141" s="427">
        <v>1.5E-3</v>
      </c>
      <c r="H141" s="413">
        <v>59</v>
      </c>
      <c r="I141" s="414">
        <v>59</v>
      </c>
      <c r="J141" s="414">
        <v>58</v>
      </c>
      <c r="K141" s="430">
        <v>58.9</v>
      </c>
      <c r="L141" s="406">
        <v>20580</v>
      </c>
      <c r="M141" s="416">
        <v>35210</v>
      </c>
      <c r="N141" s="406">
        <v>26</v>
      </c>
      <c r="O141" s="407">
        <v>45378.645902777775</v>
      </c>
      <c r="P141" s="298">
        <v>140</v>
      </c>
      <c r="Q141" s="408">
        <v>0</v>
      </c>
      <c r="R141" s="428">
        <v>0</v>
      </c>
      <c r="S141" s="410">
        <v>0</v>
      </c>
      <c r="T141" s="419">
        <v>0</v>
      </c>
      <c r="U141" s="591"/>
      <c r="V141" s="433">
        <v>0</v>
      </c>
      <c r="W141" s="485">
        <f>V140*(F140/100)</f>
        <v>0</v>
      </c>
      <c r="X141" s="587"/>
      <c r="Y141" s="602">
        <f>IFERROR(INT($Z$1/(F140/100)),"")</f>
        <v>171</v>
      </c>
      <c r="Z141" s="422">
        <f>IFERROR(IF(C141&lt;&gt;"",$Y$1/(D137/100)*(C141/100),""),"")</f>
        <v>99.508480124388811</v>
      </c>
      <c r="AA141" s="429">
        <f>IFERROR($Z$1/(D141/100)*(C137/100),"")</f>
        <v>99186.302763180211</v>
      </c>
      <c r="AB141" s="38"/>
    </row>
    <row r="142" spans="1:28" ht="12.75" customHeight="1">
      <c r="A142" s="274" t="s">
        <v>556</v>
      </c>
      <c r="B142" s="251">
        <v>48</v>
      </c>
      <c r="C142" s="321">
        <v>45900</v>
      </c>
      <c r="D142" s="259">
        <v>45940</v>
      </c>
      <c r="E142" s="251">
        <v>4350</v>
      </c>
      <c r="F142" s="695">
        <v>45950</v>
      </c>
      <c r="G142" s="330">
        <v>-9.7999999999999997E-3</v>
      </c>
      <c r="H142" s="238">
        <v>48100</v>
      </c>
      <c r="I142" s="230">
        <v>48450</v>
      </c>
      <c r="J142" s="230">
        <v>44760</v>
      </c>
      <c r="K142" s="263">
        <v>46405</v>
      </c>
      <c r="L142" s="255">
        <v>1140195355</v>
      </c>
      <c r="M142" s="234">
        <v>2464584</v>
      </c>
      <c r="N142" s="255">
        <v>1709</v>
      </c>
      <c r="O142" s="288">
        <v>45378.646655092591</v>
      </c>
      <c r="P142" s="299">
        <v>141</v>
      </c>
      <c r="Q142" s="268">
        <v>0</v>
      </c>
      <c r="R142" s="275">
        <v>0</v>
      </c>
      <c r="S142" s="279">
        <v>0</v>
      </c>
      <c r="T142" s="249">
        <v>0</v>
      </c>
      <c r="U142" s="592"/>
      <c r="V142" s="435"/>
      <c r="W142" s="484">
        <f t="shared" ref="W142" si="64">(V142*X142)</f>
        <v>0</v>
      </c>
      <c r="X142" s="586"/>
      <c r="Y142" s="628">
        <f>IF(D142&lt;&gt;0,($C143*(1-$V$1))-$D142,0)</f>
        <v>610</v>
      </c>
      <c r="Z142" s="451"/>
      <c r="AA142" s="335"/>
      <c r="AB142" s="38"/>
    </row>
    <row r="143" spans="1:28" ht="12.75" customHeight="1">
      <c r="A143" s="273" t="s">
        <v>164</v>
      </c>
      <c r="B143" s="240">
        <v>42</v>
      </c>
      <c r="C143" s="239">
        <v>46550</v>
      </c>
      <c r="D143" s="453">
        <v>46560</v>
      </c>
      <c r="E143" s="454">
        <v>16164</v>
      </c>
      <c r="F143" s="696">
        <v>46560</v>
      </c>
      <c r="G143" s="332">
        <v>-1.11E-2</v>
      </c>
      <c r="H143" s="237">
        <v>47900</v>
      </c>
      <c r="I143" s="228">
        <v>48615</v>
      </c>
      <c r="J143" s="228">
        <v>45400</v>
      </c>
      <c r="K143" s="261">
        <v>47085</v>
      </c>
      <c r="L143" s="235">
        <v>7341659387</v>
      </c>
      <c r="M143" s="232">
        <v>15694437</v>
      </c>
      <c r="N143" s="235">
        <v>3131</v>
      </c>
      <c r="O143" s="289">
        <v>45378.647083333337</v>
      </c>
      <c r="P143" s="298">
        <v>142</v>
      </c>
      <c r="Q143" s="266">
        <v>0</v>
      </c>
      <c r="R143" s="276">
        <v>0</v>
      </c>
      <c r="S143" s="278">
        <v>0</v>
      </c>
      <c r="T143" s="248">
        <v>0</v>
      </c>
      <c r="U143" s="591"/>
      <c r="V143" s="434">
        <v>0</v>
      </c>
      <c r="W143" s="479">
        <f>V142*(F142/100)</f>
        <v>0</v>
      </c>
      <c r="X143" s="588"/>
      <c r="Y143" s="600">
        <f>IFERROR(INT($Y$1/(F142/100)),"")</f>
        <v>220</v>
      </c>
      <c r="Z143" s="391"/>
      <c r="AA143" s="336"/>
      <c r="AB143" s="38"/>
    </row>
    <row r="144" spans="1:28" ht="12.75" hidden="1" customHeight="1">
      <c r="A144" s="242" t="s">
        <v>557</v>
      </c>
      <c r="B144" s="251">
        <v>100</v>
      </c>
      <c r="C144" s="321">
        <v>42.8</v>
      </c>
      <c r="D144" s="259">
        <v>42.89</v>
      </c>
      <c r="E144" s="251">
        <v>94</v>
      </c>
      <c r="F144" s="705">
        <v>42.9</v>
      </c>
      <c r="G144" s="333">
        <v>-1.37E-2</v>
      </c>
      <c r="H144" s="241">
        <v>42.91</v>
      </c>
      <c r="I144" s="229">
        <v>42.91</v>
      </c>
      <c r="J144" s="229">
        <v>42.89</v>
      </c>
      <c r="K144" s="264">
        <v>43.5</v>
      </c>
      <c r="L144" s="250">
        <v>6782</v>
      </c>
      <c r="M144" s="233">
        <v>15806</v>
      </c>
      <c r="N144" s="250">
        <v>3</v>
      </c>
      <c r="O144" s="290">
        <v>45378.482256944444</v>
      </c>
      <c r="P144" s="299">
        <v>143</v>
      </c>
      <c r="Q144" s="267">
        <v>0</v>
      </c>
      <c r="R144" s="277">
        <v>0</v>
      </c>
      <c r="S144" s="280">
        <v>0</v>
      </c>
      <c r="T144" s="247">
        <v>0</v>
      </c>
      <c r="U144" s="592"/>
      <c r="V144" s="315"/>
      <c r="W144" s="480">
        <f t="shared" ref="W144" si="65">(V144*X144)</f>
        <v>0</v>
      </c>
      <c r="X144" s="586"/>
      <c r="Y144" s="719">
        <f>IF(D144&lt;&gt;0,($C145*(1-$V$1))-$D144,0)</f>
        <v>-0.39000000000000057</v>
      </c>
      <c r="Z144" s="320">
        <f>IFERROR(IF(C144&lt;&gt;"",$Y$1/(D142/100)*(C144/100),""),"")</f>
        <v>94.537341742573787</v>
      </c>
      <c r="AA144" s="381">
        <f>IFERROR($AA$1/(D144/100)*(C142/100),"")</f>
        <v>107017.95290277454</v>
      </c>
      <c r="AB144" s="38"/>
    </row>
    <row r="145" spans="1:32" ht="12.75" hidden="1" customHeight="1">
      <c r="A145" s="300" t="s">
        <v>220</v>
      </c>
      <c r="B145" s="240">
        <v>25000</v>
      </c>
      <c r="C145" s="239">
        <v>42.5</v>
      </c>
      <c r="D145" s="453">
        <v>43.45</v>
      </c>
      <c r="E145" s="454">
        <v>25000</v>
      </c>
      <c r="F145" s="696">
        <v>43</v>
      </c>
      <c r="G145" s="332">
        <v>-1.1399999999999999E-2</v>
      </c>
      <c r="H145" s="237">
        <v>43.5</v>
      </c>
      <c r="I145" s="228">
        <v>43.5</v>
      </c>
      <c r="J145" s="228">
        <v>42.9</v>
      </c>
      <c r="K145" s="261">
        <v>43.5</v>
      </c>
      <c r="L145" s="235">
        <v>49042</v>
      </c>
      <c r="M145" s="232">
        <v>114237</v>
      </c>
      <c r="N145" s="235">
        <v>50</v>
      </c>
      <c r="O145" s="289">
        <v>45378.619930555556</v>
      </c>
      <c r="P145" s="298">
        <v>144</v>
      </c>
      <c r="Q145" s="266">
        <v>0</v>
      </c>
      <c r="R145" s="276">
        <v>0</v>
      </c>
      <c r="S145" s="278">
        <v>0</v>
      </c>
      <c r="T145" s="248">
        <v>0</v>
      </c>
      <c r="U145" s="591"/>
      <c r="V145" s="314">
        <v>0</v>
      </c>
      <c r="W145" s="481">
        <f>V144*(F144/100)</f>
        <v>0</v>
      </c>
      <c r="X145" s="588"/>
      <c r="Y145" s="601">
        <f>IFERROR(INT($AA$1/(F144/100)),"")</f>
        <v>233</v>
      </c>
      <c r="Z145" s="319">
        <f>IFERROR(IF(C145&lt;&gt;"",$Y$1/(D143/100)*(C145/100),""),"")</f>
        <v>92.624647166799221</v>
      </c>
      <c r="AA145" s="383">
        <f>IFERROR($AA$1/(D145/100)*(C143/100),"")</f>
        <v>107134.63751438433</v>
      </c>
      <c r="AB145" s="38"/>
    </row>
    <row r="146" spans="1:32" ht="12.75" customHeight="1">
      <c r="A146" s="395" t="s">
        <v>558</v>
      </c>
      <c r="B146" s="251">
        <v>5000</v>
      </c>
      <c r="C146" s="321">
        <v>46</v>
      </c>
      <c r="D146" s="259">
        <v>46.228000000000002</v>
      </c>
      <c r="E146" s="251">
        <v>4661</v>
      </c>
      <c r="F146" s="705">
        <v>46</v>
      </c>
      <c r="G146" s="333">
        <v>-6.1999999999999998E-3</v>
      </c>
      <c r="H146" s="241">
        <v>47</v>
      </c>
      <c r="I146" s="229">
        <v>47</v>
      </c>
      <c r="J146" s="229">
        <v>45</v>
      </c>
      <c r="K146" s="264">
        <v>46.29</v>
      </c>
      <c r="L146" s="250">
        <v>245336</v>
      </c>
      <c r="M146" s="233">
        <v>533707</v>
      </c>
      <c r="N146" s="250">
        <v>468</v>
      </c>
      <c r="O146" s="290">
        <v>45378.647210648145</v>
      </c>
      <c r="P146" s="299">
        <v>145</v>
      </c>
      <c r="Q146" s="267">
        <v>0</v>
      </c>
      <c r="R146" s="277">
        <v>0</v>
      </c>
      <c r="S146" s="280">
        <v>0</v>
      </c>
      <c r="T146" s="247">
        <v>0</v>
      </c>
      <c r="U146" s="592"/>
      <c r="V146" s="432"/>
      <c r="W146" s="482">
        <f t="shared" ref="W146" si="66">(V146*X146)</f>
        <v>0</v>
      </c>
      <c r="X146" s="589"/>
      <c r="Y146" s="720">
        <f>IF(D146&lt;&gt;0,($C147*(1-$V$1))-$D146,0)</f>
        <v>-0.32699999999999818</v>
      </c>
      <c r="Z146" s="318">
        <f>IFERROR(IF(C146&lt;&gt;"",$Y$1/(D142/100)*(C146/100),""),"")</f>
        <v>101.60555420930828</v>
      </c>
      <c r="AA146" s="382">
        <f>IFERROR($Z$1/(D146/100)*(C142/100),"")</f>
        <v>99290.473306221334</v>
      </c>
      <c r="AB146" s="38"/>
    </row>
    <row r="147" spans="1:32" ht="12.75" customHeight="1">
      <c r="A147" s="425" t="s">
        <v>221</v>
      </c>
      <c r="B147" s="426">
        <v>10000</v>
      </c>
      <c r="C147" s="411">
        <v>45.901000000000003</v>
      </c>
      <c r="D147" s="452">
        <v>46.2</v>
      </c>
      <c r="E147" s="420">
        <v>4661</v>
      </c>
      <c r="F147" s="704">
        <v>45.901000000000003</v>
      </c>
      <c r="G147" s="427">
        <v>-7.9000000000000008E-3</v>
      </c>
      <c r="H147" s="413">
        <v>46.98</v>
      </c>
      <c r="I147" s="414">
        <v>47</v>
      </c>
      <c r="J147" s="414">
        <v>43.7</v>
      </c>
      <c r="K147" s="430">
        <v>46.27</v>
      </c>
      <c r="L147" s="406">
        <v>740996</v>
      </c>
      <c r="M147" s="416">
        <v>1615759</v>
      </c>
      <c r="N147" s="406">
        <v>839</v>
      </c>
      <c r="O147" s="407">
        <v>45378.647210648145</v>
      </c>
      <c r="P147" s="298">
        <v>146</v>
      </c>
      <c r="Q147" s="408">
        <v>0</v>
      </c>
      <c r="R147" s="428">
        <v>0</v>
      </c>
      <c r="S147" s="410">
        <v>0</v>
      </c>
      <c r="T147" s="419">
        <v>0</v>
      </c>
      <c r="U147" s="591"/>
      <c r="V147" s="433">
        <v>0</v>
      </c>
      <c r="W147" s="485">
        <f>V146*(F146/100)</f>
        <v>0</v>
      </c>
      <c r="X147" s="587"/>
      <c r="Y147" s="602">
        <f>IFERROR(INT($Z$1/(F146/100)),"")</f>
        <v>217</v>
      </c>
      <c r="Z147" s="422">
        <f>IFERROR(IF(C147&lt;&gt;"",$Y$1/(D143/100)*(C147/100),""),"")</f>
        <v>100.03679834360592</v>
      </c>
      <c r="AA147" s="429">
        <f>IFERROR($Z$1/(D147/100)*(C143/100),"")</f>
        <v>100757.57575757575</v>
      </c>
      <c r="AB147" s="38"/>
    </row>
    <row r="148" spans="1:32" ht="12.75" customHeight="1">
      <c r="A148" s="274" t="s">
        <v>562</v>
      </c>
      <c r="B148" s="251">
        <v>1851</v>
      </c>
      <c r="C148" s="321">
        <v>51200</v>
      </c>
      <c r="D148" s="259">
        <v>51560</v>
      </c>
      <c r="E148" s="251">
        <v>4059</v>
      </c>
      <c r="F148" s="695">
        <v>51200</v>
      </c>
      <c r="G148" s="330">
        <v>-2.8399999999999998E-2</v>
      </c>
      <c r="H148" s="238">
        <v>53500</v>
      </c>
      <c r="I148" s="230">
        <v>54210</v>
      </c>
      <c r="J148" s="230">
        <v>50670</v>
      </c>
      <c r="K148" s="263">
        <v>52700</v>
      </c>
      <c r="L148" s="255">
        <v>108601272</v>
      </c>
      <c r="M148" s="234">
        <v>208775</v>
      </c>
      <c r="N148" s="255">
        <v>258</v>
      </c>
      <c r="O148" s="288">
        <v>45378.645416666666</v>
      </c>
      <c r="P148" s="299">
        <v>147</v>
      </c>
      <c r="Q148" s="268">
        <v>0</v>
      </c>
      <c r="R148" s="275">
        <v>0</v>
      </c>
      <c r="S148" s="279">
        <v>0</v>
      </c>
      <c r="T148" s="249">
        <v>0</v>
      </c>
      <c r="U148" s="592"/>
      <c r="V148" s="435">
        <v>0</v>
      </c>
      <c r="W148" s="484">
        <f t="shared" ref="W148" si="67">(V148*X148)</f>
        <v>0</v>
      </c>
      <c r="X148" s="586"/>
      <c r="Y148" s="628">
        <f>IF(D148&lt;&gt;0,($C149*(1-$V$1))-$D148,0)</f>
        <v>330</v>
      </c>
      <c r="Z148" s="451"/>
      <c r="AA148" s="335"/>
      <c r="AB148" s="38"/>
    </row>
    <row r="149" spans="1:32" ht="12.75" customHeight="1">
      <c r="A149" s="273" t="s">
        <v>190</v>
      </c>
      <c r="B149" s="240">
        <v>884</v>
      </c>
      <c r="C149" s="239">
        <v>51890</v>
      </c>
      <c r="D149" s="453">
        <v>52320</v>
      </c>
      <c r="E149" s="454">
        <v>4059</v>
      </c>
      <c r="F149" s="696">
        <v>52320</v>
      </c>
      <c r="G149" s="332">
        <v>-2.0199999999999999E-2</v>
      </c>
      <c r="H149" s="237">
        <v>54200</v>
      </c>
      <c r="I149" s="228">
        <v>54990</v>
      </c>
      <c r="J149" s="228">
        <v>51500</v>
      </c>
      <c r="K149" s="261">
        <v>53400</v>
      </c>
      <c r="L149" s="235">
        <v>409703688</v>
      </c>
      <c r="M149" s="232">
        <v>780320</v>
      </c>
      <c r="N149" s="235">
        <v>526</v>
      </c>
      <c r="O149" s="289">
        <v>45378.647094907406</v>
      </c>
      <c r="P149" s="298">
        <v>148</v>
      </c>
      <c r="Q149" s="266">
        <v>0</v>
      </c>
      <c r="R149" s="276">
        <v>0</v>
      </c>
      <c r="S149" s="278">
        <v>0</v>
      </c>
      <c r="T149" s="248">
        <v>0</v>
      </c>
      <c r="U149" s="591"/>
      <c r="V149" s="434">
        <v>0</v>
      </c>
      <c r="W149" s="479">
        <f>V148*(F148/100)</f>
        <v>0</v>
      </c>
      <c r="X149" s="588"/>
      <c r="Y149" s="600">
        <f>IFERROR(INT($Y$1/(F148/100)),"")</f>
        <v>198</v>
      </c>
      <c r="Z149" s="391"/>
      <c r="AA149" s="336"/>
      <c r="AB149" s="38"/>
    </row>
    <row r="150" spans="1:32" ht="12.75" hidden="1" customHeight="1">
      <c r="A150" s="242" t="s">
        <v>563</v>
      </c>
      <c r="B150" s="251"/>
      <c r="C150" s="321"/>
      <c r="D150" s="259"/>
      <c r="E150" s="251"/>
      <c r="F150" s="705"/>
      <c r="G150" s="333"/>
      <c r="H150" s="241"/>
      <c r="I150" s="229"/>
      <c r="J150" s="229"/>
      <c r="K150" s="264">
        <v>42</v>
      </c>
      <c r="L150" s="250"/>
      <c r="M150" s="233"/>
      <c r="N150" s="250"/>
      <c r="O150" s="290"/>
      <c r="P150" s="299">
        <v>149</v>
      </c>
      <c r="Q150" s="267">
        <v>0</v>
      </c>
      <c r="R150" s="277">
        <v>0</v>
      </c>
      <c r="S150" s="280">
        <v>0</v>
      </c>
      <c r="T150" s="247">
        <v>0</v>
      </c>
      <c r="U150" s="592"/>
      <c r="V150" s="315"/>
      <c r="W150" s="480">
        <f t="shared" ref="W150" si="68">(V150*X150)</f>
        <v>0</v>
      </c>
      <c r="X150" s="586"/>
      <c r="Y150" s="719">
        <f>IF(D150&lt;&gt;0,($C151*(1-$V$1))-$D150,0)</f>
        <v>0</v>
      </c>
      <c r="Z150" s="320" t="str">
        <f>IFERROR(IF(C150&lt;&gt;"",$Y$1/(D148/100)*(C150/100),""),"")</f>
        <v/>
      </c>
      <c r="AA150" s="381" t="str">
        <f>IFERROR($AA$1/(D150/100)*(C148/100),"")</f>
        <v/>
      </c>
      <c r="AB150" s="38"/>
    </row>
    <row r="151" spans="1:32" ht="12.75" hidden="1" customHeight="1">
      <c r="A151" s="300" t="s">
        <v>234</v>
      </c>
      <c r="B151" s="240"/>
      <c r="C151" s="239"/>
      <c r="D151" s="453"/>
      <c r="E151" s="454"/>
      <c r="F151" s="696"/>
      <c r="G151" s="332"/>
      <c r="H151" s="237"/>
      <c r="I151" s="228"/>
      <c r="J151" s="228"/>
      <c r="K151" s="261">
        <v>40.375</v>
      </c>
      <c r="L151" s="235"/>
      <c r="M151" s="232"/>
      <c r="N151" s="235"/>
      <c r="O151" s="289"/>
      <c r="P151" s="298">
        <v>150</v>
      </c>
      <c r="Q151" s="266">
        <v>0</v>
      </c>
      <c r="R151" s="276">
        <v>0</v>
      </c>
      <c r="S151" s="278">
        <v>0</v>
      </c>
      <c r="T151" s="248">
        <v>0</v>
      </c>
      <c r="U151" s="591"/>
      <c r="V151" s="314">
        <v>0</v>
      </c>
      <c r="W151" s="481">
        <f>V150*(F150/100)</f>
        <v>0</v>
      </c>
      <c r="X151" s="588"/>
      <c r="Y151" s="601" t="str">
        <f>IFERROR(INT($AA$1/(F150/100)),"")</f>
        <v/>
      </c>
      <c r="Z151" s="319" t="str">
        <f>IFERROR(IF(C151&lt;&gt;"",$Y$1/(D149/100)*(C151/100),""),"")</f>
        <v/>
      </c>
      <c r="AA151" s="383" t="str">
        <f>IFERROR($AA$1/(D151/100)*(C149/100),"")</f>
        <v/>
      </c>
      <c r="AB151" s="38"/>
    </row>
    <row r="152" spans="1:32" ht="12.75" customHeight="1">
      <c r="A152" s="395" t="s">
        <v>564</v>
      </c>
      <c r="B152" s="251">
        <v>2000</v>
      </c>
      <c r="C152" s="321">
        <v>51.41</v>
      </c>
      <c r="D152" s="259">
        <v>52</v>
      </c>
      <c r="E152" s="251">
        <v>21057</v>
      </c>
      <c r="F152" s="705">
        <v>52</v>
      </c>
      <c r="G152" s="333">
        <v>-1.5300000000000001E-2</v>
      </c>
      <c r="H152" s="241">
        <v>51.99</v>
      </c>
      <c r="I152" s="229">
        <v>53.09</v>
      </c>
      <c r="J152" s="229">
        <v>50.8</v>
      </c>
      <c r="K152" s="264">
        <v>52</v>
      </c>
      <c r="L152" s="250">
        <v>32679</v>
      </c>
      <c r="M152" s="233">
        <v>62874</v>
      </c>
      <c r="N152" s="250">
        <v>64</v>
      </c>
      <c r="O152" s="290">
        <v>45378.640590277777</v>
      </c>
      <c r="P152" s="299">
        <v>151</v>
      </c>
      <c r="Q152" s="267">
        <v>0</v>
      </c>
      <c r="R152" s="277">
        <v>0</v>
      </c>
      <c r="S152" s="280">
        <v>0</v>
      </c>
      <c r="T152" s="247">
        <v>0</v>
      </c>
      <c r="U152" s="592"/>
      <c r="V152" s="432">
        <v>0</v>
      </c>
      <c r="W152" s="482">
        <f t="shared" ref="W152" si="69">(V152*X152)</f>
        <v>0</v>
      </c>
      <c r="X152" s="589"/>
      <c r="Y152" s="720">
        <f>IF(D152&lt;&gt;0,($C153*(1-$V$1))-$D152,0)</f>
        <v>-0.54999999999999716</v>
      </c>
      <c r="Z152" s="318">
        <f>IFERROR(IF(C152&lt;&gt;"",$Y$1/(D148/100)*(C152/100),""),"")</f>
        <v>101.17781665721267</v>
      </c>
      <c r="AA152" s="382">
        <f>IFERROR($Z$1/(D152/100)*(C148/100),"")</f>
        <v>98461.538461538454</v>
      </c>
      <c r="AB152" s="38"/>
    </row>
    <row r="153" spans="1:32" ht="12.75" customHeight="1">
      <c r="A153" s="425" t="s">
        <v>235</v>
      </c>
      <c r="B153" s="426">
        <v>2000</v>
      </c>
      <c r="C153" s="411">
        <v>51.45</v>
      </c>
      <c r="D153" s="452">
        <v>52.04</v>
      </c>
      <c r="E153" s="420">
        <v>20215</v>
      </c>
      <c r="F153" s="704">
        <v>52.04</v>
      </c>
      <c r="G153" s="427">
        <v>8.9999999999999998E-4</v>
      </c>
      <c r="H153" s="413">
        <v>52</v>
      </c>
      <c r="I153" s="414">
        <v>52.99</v>
      </c>
      <c r="J153" s="414">
        <v>51.1</v>
      </c>
      <c r="K153" s="430">
        <v>51.99</v>
      </c>
      <c r="L153" s="406">
        <v>64700</v>
      </c>
      <c r="M153" s="416">
        <v>124375</v>
      </c>
      <c r="N153" s="406">
        <v>116</v>
      </c>
      <c r="O153" s="407">
        <v>45378.640590277777</v>
      </c>
      <c r="P153" s="298">
        <v>152</v>
      </c>
      <c r="Q153" s="408">
        <v>0</v>
      </c>
      <c r="R153" s="428">
        <v>0</v>
      </c>
      <c r="S153" s="410">
        <v>0</v>
      </c>
      <c r="T153" s="419">
        <v>0</v>
      </c>
      <c r="U153" s="591"/>
      <c r="V153" s="433">
        <v>0</v>
      </c>
      <c r="W153" s="485">
        <f>V152*(F152/100)</f>
        <v>0</v>
      </c>
      <c r="X153" s="587"/>
      <c r="Y153" s="602">
        <f>IFERROR(INT($Z$1/(F152/100)),"")</f>
        <v>192</v>
      </c>
      <c r="Z153" s="422">
        <f>IFERROR(IF(C153&lt;&gt;"",$Y$1/(D149/100)*(C153/100),""),"")</f>
        <v>99.785687076737531</v>
      </c>
      <c r="AA153" s="429">
        <f>IFERROR($Z$1/(D153/100)*(C149/100),"")</f>
        <v>99711.760184473489</v>
      </c>
      <c r="AB153" s="38"/>
    </row>
    <row r="154" spans="1:32" ht="12.75" customHeight="1">
      <c r="A154" s="274" t="s">
        <v>559</v>
      </c>
      <c r="B154" s="251">
        <v>109</v>
      </c>
      <c r="C154" s="321">
        <v>44475</v>
      </c>
      <c r="D154" s="259">
        <v>44630</v>
      </c>
      <c r="E154" s="251">
        <v>49472</v>
      </c>
      <c r="F154" s="695">
        <v>44630</v>
      </c>
      <c r="G154" s="330">
        <v>7.000000000000001E-4</v>
      </c>
      <c r="H154" s="238">
        <v>45500</v>
      </c>
      <c r="I154" s="230">
        <v>46000</v>
      </c>
      <c r="J154" s="230">
        <v>44440</v>
      </c>
      <c r="K154" s="263">
        <v>44595</v>
      </c>
      <c r="L154" s="255">
        <v>185608484</v>
      </c>
      <c r="M154" s="234">
        <v>414404</v>
      </c>
      <c r="N154" s="255">
        <v>173</v>
      </c>
      <c r="O154" s="288">
        <v>45378.646990740737</v>
      </c>
      <c r="P154" s="299"/>
      <c r="Q154" s="268"/>
      <c r="R154" s="275">
        <v>0</v>
      </c>
      <c r="S154" s="279">
        <v>0</v>
      </c>
      <c r="T154" s="249">
        <v>0</v>
      </c>
      <c r="U154" s="592"/>
      <c r="V154" s="435">
        <v>0</v>
      </c>
      <c r="W154" s="484">
        <f t="shared" ref="W154" si="70">(V154*X154)</f>
        <v>0</v>
      </c>
      <c r="X154" s="586"/>
      <c r="Y154" s="628">
        <f>IF(D154&lt;&gt;0,($C155*(1-$V$1))-$D154,0)</f>
        <v>575</v>
      </c>
      <c r="Z154" s="451"/>
      <c r="AA154" s="335"/>
      <c r="AB154" s="38"/>
      <c r="AC154" s="431">
        <v>28</v>
      </c>
      <c r="AE154" s="47">
        <v>440</v>
      </c>
      <c r="AF154" s="47">
        <f>AC154*AE154</f>
        <v>12320</v>
      </c>
    </row>
    <row r="155" spans="1:32" ht="12.75" customHeight="1">
      <c r="A155" s="273" t="s">
        <v>188</v>
      </c>
      <c r="B155" s="240">
        <v>1500</v>
      </c>
      <c r="C155" s="239">
        <v>45205</v>
      </c>
      <c r="D155" s="453">
        <v>45295</v>
      </c>
      <c r="E155" s="454">
        <v>500</v>
      </c>
      <c r="F155" s="696">
        <v>45205</v>
      </c>
      <c r="G155" s="332">
        <v>-2.0400000000000001E-2</v>
      </c>
      <c r="H155" s="237">
        <v>47050</v>
      </c>
      <c r="I155" s="228">
        <v>47050</v>
      </c>
      <c r="J155" s="228">
        <v>45020</v>
      </c>
      <c r="K155" s="261">
        <v>46150</v>
      </c>
      <c r="L155" s="235">
        <v>1170131149</v>
      </c>
      <c r="M155" s="232">
        <v>2581843</v>
      </c>
      <c r="N155" s="235">
        <v>332</v>
      </c>
      <c r="O155" s="289">
        <v>45378.646990740737</v>
      </c>
      <c r="P155" s="298"/>
      <c r="Q155" s="266"/>
      <c r="R155" s="276">
        <v>0</v>
      </c>
      <c r="S155" s="278">
        <v>0</v>
      </c>
      <c r="T155" s="248">
        <v>0</v>
      </c>
      <c r="U155" s="591"/>
      <c r="V155" s="434">
        <v>0</v>
      </c>
      <c r="W155" s="479">
        <f>V154*(F154/100)</f>
        <v>0</v>
      </c>
      <c r="X155" s="588"/>
      <c r="Y155" s="600">
        <f>IFERROR(INT($Y$1/(F154/100)),"")</f>
        <v>227</v>
      </c>
      <c r="Z155" s="391"/>
      <c r="AA155" s="336"/>
      <c r="AB155" s="38"/>
      <c r="AC155" s="431"/>
      <c r="AF155" s="47">
        <f t="shared" ref="AF155:AF157" si="71">AC155*AE155</f>
        <v>0</v>
      </c>
    </row>
    <row r="156" spans="1:32" ht="12.75" hidden="1" customHeight="1">
      <c r="A156" s="242" t="s">
        <v>560</v>
      </c>
      <c r="B156" s="251"/>
      <c r="C156" s="321"/>
      <c r="D156" s="259"/>
      <c r="E156" s="251"/>
      <c r="F156" s="705"/>
      <c r="G156" s="333"/>
      <c r="H156" s="241"/>
      <c r="I156" s="229"/>
      <c r="J156" s="229"/>
      <c r="K156" s="264">
        <v>36</v>
      </c>
      <c r="L156" s="250"/>
      <c r="M156" s="233"/>
      <c r="N156" s="250"/>
      <c r="O156" s="290"/>
      <c r="P156" s="299"/>
      <c r="Q156" s="267"/>
      <c r="R156" s="277">
        <v>0</v>
      </c>
      <c r="S156" s="280">
        <v>0</v>
      </c>
      <c r="T156" s="247">
        <v>0</v>
      </c>
      <c r="U156" s="592"/>
      <c r="V156" s="315"/>
      <c r="W156" s="480">
        <f t="shared" ref="W156" si="72">(V156*X156)</f>
        <v>0</v>
      </c>
      <c r="X156" s="586"/>
      <c r="Y156" s="719">
        <f>IF(D156&lt;&gt;0,($C157*(1-$V$1))-$D156,0)</f>
        <v>0</v>
      </c>
      <c r="Z156" s="320" t="str">
        <f>IFERROR(IF(C156&lt;&gt;"",$Y$1/(D154/100)*(C156/100),""),"")</f>
        <v/>
      </c>
      <c r="AA156" s="381" t="str">
        <f>IFERROR($AA$1/(D156/100)*(C154/100),"")</f>
        <v/>
      </c>
      <c r="AB156" s="38"/>
      <c r="AC156" s="431"/>
      <c r="AF156" s="47">
        <f t="shared" si="71"/>
        <v>0</v>
      </c>
    </row>
    <row r="157" spans="1:32" ht="12.75" hidden="1" customHeight="1">
      <c r="A157" s="300" t="s">
        <v>236</v>
      </c>
      <c r="B157" s="240"/>
      <c r="C157" s="239"/>
      <c r="D157" s="453"/>
      <c r="E157" s="454"/>
      <c r="F157" s="696"/>
      <c r="G157" s="332"/>
      <c r="H157" s="237"/>
      <c r="I157" s="228"/>
      <c r="J157" s="228"/>
      <c r="K157" s="261">
        <v>27.25</v>
      </c>
      <c r="L157" s="235"/>
      <c r="M157" s="232"/>
      <c r="N157" s="235"/>
      <c r="O157" s="289"/>
      <c r="P157" s="298"/>
      <c r="Q157" s="266"/>
      <c r="R157" s="276">
        <v>0</v>
      </c>
      <c r="S157" s="278">
        <v>0</v>
      </c>
      <c r="T157" s="248">
        <v>0</v>
      </c>
      <c r="U157" s="591"/>
      <c r="V157" s="314">
        <v>0</v>
      </c>
      <c r="W157" s="481">
        <f>V156*(F156/100)</f>
        <v>0</v>
      </c>
      <c r="X157" s="588"/>
      <c r="Y157" s="601" t="str">
        <f>IFERROR(INT($AA$1/(F156/100)),"")</f>
        <v/>
      </c>
      <c r="Z157" s="319" t="str">
        <f>IFERROR(IF(C157&lt;&gt;"",$Y$1/(D155/100)*(C157/100),""),"")</f>
        <v/>
      </c>
      <c r="AA157" s="383" t="str">
        <f>IFERROR($AA$1/(D157/100)*(C155/100),"")</f>
        <v/>
      </c>
      <c r="AB157" s="38"/>
      <c r="AC157" s="438"/>
      <c r="AD157" s="438"/>
      <c r="AE157" s="438"/>
      <c r="AF157" s="438">
        <f t="shared" si="71"/>
        <v>0</v>
      </c>
    </row>
    <row r="158" spans="1:32" ht="12.75" customHeight="1">
      <c r="A158" s="395" t="s">
        <v>561</v>
      </c>
      <c r="B158" s="251">
        <v>300</v>
      </c>
      <c r="C158" s="321">
        <v>44.523000000000003</v>
      </c>
      <c r="D158" s="259">
        <v>44.918999999999997</v>
      </c>
      <c r="E158" s="251">
        <v>1029</v>
      </c>
      <c r="F158" s="705">
        <v>44.923000000000002</v>
      </c>
      <c r="G158" s="333">
        <v>9.0000000000000011E-3</v>
      </c>
      <c r="H158" s="241">
        <v>44.85</v>
      </c>
      <c r="I158" s="229">
        <v>45</v>
      </c>
      <c r="J158" s="229">
        <v>43.8</v>
      </c>
      <c r="K158" s="264">
        <v>44.518000000000001</v>
      </c>
      <c r="L158" s="250">
        <v>13736</v>
      </c>
      <c r="M158" s="233">
        <v>30758</v>
      </c>
      <c r="N158" s="250">
        <v>25</v>
      </c>
      <c r="O158" s="290">
        <v>45378.632615740738</v>
      </c>
      <c r="P158" s="299"/>
      <c r="Q158" s="267"/>
      <c r="R158" s="277">
        <v>0</v>
      </c>
      <c r="S158" s="280">
        <v>0</v>
      </c>
      <c r="T158" s="247">
        <v>0</v>
      </c>
      <c r="U158" s="592"/>
      <c r="V158" s="432"/>
      <c r="W158" s="482">
        <f t="shared" ref="W158" si="73">(V158*X158)</f>
        <v>0</v>
      </c>
      <c r="X158" s="589"/>
      <c r="Y158" s="720">
        <f>IF(D158&lt;&gt;0,($C159*(1-$V$1))-$D158,0)</f>
        <v>-0.35899999999999466</v>
      </c>
      <c r="Z158" s="318">
        <f>IFERROR(IF(C158&lt;&gt;"",$Y$1/(D154/100)*(C158/100),""),"")</f>
        <v>101.22974461388021</v>
      </c>
      <c r="AA158" s="382">
        <f>IFERROR($Z$1/(D158/100)*(C154/100),"")</f>
        <v>99011.554130768724</v>
      </c>
      <c r="AB158" s="38"/>
      <c r="AC158" s="442">
        <f>SUM(AC154:AC157)</f>
        <v>28</v>
      </c>
      <c r="AD158" s="443"/>
      <c r="AE158" s="443" t="s">
        <v>588</v>
      </c>
      <c r="AF158" s="443">
        <f>SUM(AF154:AF157)</f>
        <v>12320</v>
      </c>
    </row>
    <row r="159" spans="1:32" ht="12.75" customHeight="1">
      <c r="A159" s="425" t="s">
        <v>237</v>
      </c>
      <c r="B159" s="426">
        <v>300</v>
      </c>
      <c r="C159" s="411">
        <v>44.56</v>
      </c>
      <c r="D159" s="452">
        <v>44.9</v>
      </c>
      <c r="E159" s="420">
        <v>6230</v>
      </c>
      <c r="F159" s="704">
        <v>44.9</v>
      </c>
      <c r="G159" s="427">
        <v>1.1000000000000001E-3</v>
      </c>
      <c r="H159" s="413">
        <v>45</v>
      </c>
      <c r="I159" s="414">
        <v>45</v>
      </c>
      <c r="J159" s="414">
        <v>43.911000000000001</v>
      </c>
      <c r="K159" s="430">
        <v>44.85</v>
      </c>
      <c r="L159" s="406">
        <v>54021</v>
      </c>
      <c r="M159" s="416">
        <v>120473</v>
      </c>
      <c r="N159" s="406">
        <v>49</v>
      </c>
      <c r="O159" s="407">
        <v>45378.640451388892</v>
      </c>
      <c r="P159" s="298"/>
      <c r="Q159" s="408"/>
      <c r="R159" s="428">
        <v>0</v>
      </c>
      <c r="S159" s="410">
        <v>0</v>
      </c>
      <c r="T159" s="419">
        <v>0</v>
      </c>
      <c r="U159" s="591"/>
      <c r="V159" s="433">
        <v>0</v>
      </c>
      <c r="W159" s="485">
        <f>V158*(F158/100)</f>
        <v>0</v>
      </c>
      <c r="X159" s="587"/>
      <c r="Y159" s="602">
        <f>IFERROR(INT($Z$1/(F158/100)),"")</f>
        <v>222</v>
      </c>
      <c r="Z159" s="422">
        <f>IFERROR(IF(C159&lt;&gt;"",$Y$1/(D155/100)*(C159/100),""),"")</f>
        <v>99.826426847352238</v>
      </c>
      <c r="AA159" s="429">
        <f>IFERROR($Z$1/(D159/100)*(C155/100),"")</f>
        <v>100679.28730512249</v>
      </c>
      <c r="AB159" s="38"/>
      <c r="AC159" s="732">
        <f>AF158/AC158</f>
        <v>440</v>
      </c>
      <c r="AD159" s="732"/>
      <c r="AE159" s="732"/>
      <c r="AF159" s="732"/>
    </row>
    <row r="160" spans="1:32" ht="12.75" customHeight="1">
      <c r="A160" s="274" t="s">
        <v>565</v>
      </c>
      <c r="B160" s="251">
        <v>200</v>
      </c>
      <c r="C160" s="321">
        <v>46515</v>
      </c>
      <c r="D160" s="259">
        <v>50480</v>
      </c>
      <c r="E160" s="251">
        <v>3290</v>
      </c>
      <c r="F160" s="695">
        <v>46500</v>
      </c>
      <c r="G160" s="330">
        <v>-7.0000000000000007E-2</v>
      </c>
      <c r="H160" s="238">
        <v>49990</v>
      </c>
      <c r="I160" s="230">
        <v>50040</v>
      </c>
      <c r="J160" s="230">
        <v>46500</v>
      </c>
      <c r="K160" s="263">
        <v>50000</v>
      </c>
      <c r="L160" s="255">
        <v>17968040</v>
      </c>
      <c r="M160" s="234">
        <v>36552</v>
      </c>
      <c r="N160" s="255">
        <v>90</v>
      </c>
      <c r="O160" s="288">
        <v>45378.642106481479</v>
      </c>
      <c r="P160" s="299"/>
      <c r="Q160" s="268"/>
      <c r="R160" s="275">
        <v>0</v>
      </c>
      <c r="S160" s="279">
        <v>0</v>
      </c>
      <c r="T160" s="249">
        <v>0</v>
      </c>
      <c r="U160" s="592"/>
      <c r="V160" s="435"/>
      <c r="W160" s="484">
        <f t="shared" ref="W160" si="74">(V160*X160)</f>
        <v>0</v>
      </c>
      <c r="X160" s="586"/>
      <c r="Y160" s="628">
        <f>IF(D160&lt;&gt;0,($C161*(1-$V$1))-$D160,0)</f>
        <v>-1050</v>
      </c>
      <c r="Z160" s="451"/>
      <c r="AA160" s="335"/>
      <c r="AB160" s="38"/>
    </row>
    <row r="161" spans="1:28" ht="12.75" customHeight="1">
      <c r="A161" s="273" t="s">
        <v>189</v>
      </c>
      <c r="B161" s="240">
        <v>200</v>
      </c>
      <c r="C161" s="239">
        <v>49430</v>
      </c>
      <c r="D161" s="453">
        <v>50180</v>
      </c>
      <c r="E161" s="454">
        <v>1800</v>
      </c>
      <c r="F161" s="696">
        <v>50190</v>
      </c>
      <c r="G161" s="332">
        <v>4.0000000000000001E-3</v>
      </c>
      <c r="H161" s="237">
        <v>49995</v>
      </c>
      <c r="I161" s="228">
        <v>50890</v>
      </c>
      <c r="J161" s="228">
        <v>49010</v>
      </c>
      <c r="K161" s="261">
        <v>49990</v>
      </c>
      <c r="L161" s="235">
        <v>36112999</v>
      </c>
      <c r="M161" s="232">
        <v>71977</v>
      </c>
      <c r="N161" s="235">
        <v>229</v>
      </c>
      <c r="O161" s="289">
        <v>45378.644907407404</v>
      </c>
      <c r="P161" s="298"/>
      <c r="Q161" s="266"/>
      <c r="R161" s="276">
        <v>0</v>
      </c>
      <c r="S161" s="278">
        <v>0</v>
      </c>
      <c r="T161" s="248">
        <v>0</v>
      </c>
      <c r="U161" s="591"/>
      <c r="V161" s="434">
        <v>0</v>
      </c>
      <c r="W161" s="479">
        <f>V160*(F160/100)</f>
        <v>0</v>
      </c>
      <c r="X161" s="588"/>
      <c r="Y161" s="600">
        <f>IFERROR(INT($Y$1/(F160/100)),"")</f>
        <v>218</v>
      </c>
      <c r="Z161" s="391"/>
      <c r="AA161" s="336"/>
      <c r="AB161" s="38"/>
    </row>
    <row r="162" spans="1:28" ht="12.75" hidden="1" customHeight="1">
      <c r="A162" s="242" t="s">
        <v>566</v>
      </c>
      <c r="B162" s="251"/>
      <c r="C162" s="321"/>
      <c r="D162" s="259"/>
      <c r="E162" s="251"/>
      <c r="F162" s="705"/>
      <c r="G162" s="333"/>
      <c r="H162" s="241"/>
      <c r="I162" s="229"/>
      <c r="J162" s="229"/>
      <c r="K162" s="264">
        <v>21.007999999999999</v>
      </c>
      <c r="L162" s="250"/>
      <c r="M162" s="233"/>
      <c r="N162" s="250"/>
      <c r="O162" s="290"/>
      <c r="P162" s="299"/>
      <c r="Q162" s="267"/>
      <c r="R162" s="277">
        <v>0</v>
      </c>
      <c r="S162" s="280">
        <v>0</v>
      </c>
      <c r="T162" s="247">
        <v>0</v>
      </c>
      <c r="U162" s="592"/>
      <c r="V162" s="315"/>
      <c r="W162" s="480">
        <f t="shared" ref="W162" si="75">(V162*X162)</f>
        <v>0</v>
      </c>
      <c r="X162" s="586"/>
      <c r="Y162" s="719">
        <f>IF(D162&lt;&gt;0,($C163*(1-$V$1))-$D162,0)</f>
        <v>0</v>
      </c>
      <c r="Z162" s="320" t="str">
        <f>IFERROR(IF(C162&lt;&gt;"",$Y$1/(D160/100)*(C162/100),""),"")</f>
        <v/>
      </c>
      <c r="AA162" s="381" t="str">
        <f>IFERROR($AA$1/(D162/100)*(C160/100),"")</f>
        <v/>
      </c>
      <c r="AB162" s="38"/>
    </row>
    <row r="163" spans="1:28" ht="12.75" hidden="1" customHeight="1">
      <c r="A163" s="300" t="s">
        <v>276</v>
      </c>
      <c r="B163" s="240"/>
      <c r="C163" s="239"/>
      <c r="D163" s="453"/>
      <c r="E163" s="454"/>
      <c r="F163" s="696"/>
      <c r="G163" s="332"/>
      <c r="H163" s="237"/>
      <c r="I163" s="228"/>
      <c r="J163" s="228"/>
      <c r="K163" s="261">
        <v>25.276</v>
      </c>
      <c r="L163" s="235"/>
      <c r="M163" s="232"/>
      <c r="N163" s="235"/>
      <c r="O163" s="289"/>
      <c r="P163" s="298"/>
      <c r="Q163" s="266"/>
      <c r="R163" s="276">
        <v>0</v>
      </c>
      <c r="S163" s="278">
        <v>0</v>
      </c>
      <c r="T163" s="248">
        <v>0</v>
      </c>
      <c r="U163" s="591"/>
      <c r="V163" s="314">
        <v>0</v>
      </c>
      <c r="W163" s="481">
        <f>V162*(F162/100)</f>
        <v>0</v>
      </c>
      <c r="X163" s="588"/>
      <c r="Y163" s="601" t="str">
        <f>IFERROR(INT($AA$1/(F162/100)),"")</f>
        <v/>
      </c>
      <c r="Z163" s="319" t="str">
        <f>IFERROR(IF(C163&lt;&gt;"",$Y$1/(D161/100)*(C163/100),""),"")</f>
        <v/>
      </c>
      <c r="AA163" s="383" t="str">
        <f>IFERROR($AA$1/(D163/100)*(C161/100),"")</f>
        <v/>
      </c>
      <c r="AB163" s="38"/>
    </row>
    <row r="164" spans="1:28" ht="12.75" customHeight="1">
      <c r="A164" s="395" t="s">
        <v>567</v>
      </c>
      <c r="B164" s="251">
        <v>1018</v>
      </c>
      <c r="C164" s="321">
        <v>49.1</v>
      </c>
      <c r="D164" s="259">
        <v>51</v>
      </c>
      <c r="E164" s="251">
        <v>1000</v>
      </c>
      <c r="F164" s="705">
        <v>49</v>
      </c>
      <c r="G164" s="333">
        <v>-2.3900000000000001E-2</v>
      </c>
      <c r="H164" s="241">
        <v>47.631999999999998</v>
      </c>
      <c r="I164" s="229">
        <v>49</v>
      </c>
      <c r="J164" s="229">
        <v>47.631999999999998</v>
      </c>
      <c r="K164" s="264">
        <v>50.2</v>
      </c>
      <c r="L164" s="250">
        <v>997</v>
      </c>
      <c r="M164" s="233">
        <v>2050</v>
      </c>
      <c r="N164" s="250">
        <v>4</v>
      </c>
      <c r="O164" s="290">
        <v>45378.585856481484</v>
      </c>
      <c r="P164" s="299"/>
      <c r="Q164" s="267"/>
      <c r="R164" s="277">
        <v>0</v>
      </c>
      <c r="S164" s="280">
        <v>0</v>
      </c>
      <c r="T164" s="247">
        <v>0</v>
      </c>
      <c r="U164" s="592"/>
      <c r="V164" s="432">
        <v>4</v>
      </c>
      <c r="W164" s="482">
        <f t="shared" ref="W164" si="76">(V164*X164)</f>
        <v>1.6</v>
      </c>
      <c r="X164" s="589">
        <v>0.4</v>
      </c>
      <c r="Y164" s="720">
        <f>IF(D164&lt;&gt;0,($C165*(1-$V$1))-$D164,0)</f>
        <v>-2.3900000000000006</v>
      </c>
      <c r="Z164" s="318">
        <f>IFERROR(IF(C164&lt;&gt;"",$Y$1/(D160/100)*(C164/100),""),"")</f>
        <v>98.699000367964501</v>
      </c>
      <c r="AA164" s="382">
        <f>IFERROR($Z$1/(D164/100)*(C160/100),"")</f>
        <v>91205.88235294116</v>
      </c>
      <c r="AB164" s="38"/>
    </row>
    <row r="165" spans="1:28" ht="12.75" customHeight="1">
      <c r="A165" s="425" t="s">
        <v>277</v>
      </c>
      <c r="B165" s="426">
        <v>501</v>
      </c>
      <c r="C165" s="411">
        <v>48.61</v>
      </c>
      <c r="D165" s="452">
        <v>50.2</v>
      </c>
      <c r="E165" s="420">
        <v>471</v>
      </c>
      <c r="F165" s="704">
        <v>50.2</v>
      </c>
      <c r="G165" s="427">
        <v>1.61E-2</v>
      </c>
      <c r="H165" s="413">
        <v>50.88</v>
      </c>
      <c r="I165" s="414">
        <v>50.88</v>
      </c>
      <c r="J165" s="414">
        <v>48.55</v>
      </c>
      <c r="K165" s="430">
        <v>49.4</v>
      </c>
      <c r="L165" s="406">
        <v>2932</v>
      </c>
      <c r="M165" s="416">
        <v>5857</v>
      </c>
      <c r="N165" s="406">
        <v>25</v>
      </c>
      <c r="O165" s="407">
        <v>45378.600393518522</v>
      </c>
      <c r="P165" s="298"/>
      <c r="Q165" s="408"/>
      <c r="R165" s="428">
        <v>0</v>
      </c>
      <c r="S165" s="410">
        <v>0</v>
      </c>
      <c r="T165" s="419">
        <v>0</v>
      </c>
      <c r="U165" s="591"/>
      <c r="V165" s="433">
        <v>0</v>
      </c>
      <c r="W165" s="485">
        <f>V164*(F164/100)</f>
        <v>1.96</v>
      </c>
      <c r="X165" s="587"/>
      <c r="Y165" s="602">
        <f>IFERROR(INT($Z$1/(F164/100)),"")</f>
        <v>204</v>
      </c>
      <c r="Z165" s="422">
        <f>IFERROR(IF(C165&lt;&gt;"",$Y$1/(D161/100)*(C165/100),""),"")</f>
        <v>98.29820159853179</v>
      </c>
      <c r="AA165" s="429">
        <f>IFERROR($Z$1/(D165/100)*(C161/100),"")</f>
        <v>98466.135458167337</v>
      </c>
      <c r="AB165" s="38"/>
    </row>
    <row r="166" spans="1:28" ht="12.75" customHeight="1">
      <c r="A166" s="274"/>
      <c r="B166" s="251"/>
      <c r="C166" s="321"/>
      <c r="D166" s="259"/>
      <c r="E166" s="251"/>
      <c r="F166" s="695"/>
      <c r="G166" s="330"/>
      <c r="H166" s="238"/>
      <c r="I166" s="230"/>
      <c r="J166" s="230"/>
      <c r="K166" s="263"/>
      <c r="L166" s="255"/>
      <c r="M166" s="234"/>
      <c r="N166" s="255"/>
      <c r="O166" s="288"/>
      <c r="P166" s="299"/>
      <c r="Q166" s="268"/>
      <c r="R166" s="275">
        <v>0</v>
      </c>
      <c r="S166" s="279">
        <v>0</v>
      </c>
      <c r="T166" s="249">
        <v>0</v>
      </c>
      <c r="U166" s="592"/>
      <c r="V166" s="435"/>
      <c r="W166" s="484">
        <f t="shared" ref="W166" si="77">(V166*X166)</f>
        <v>0</v>
      </c>
      <c r="X166" s="586"/>
      <c r="Y166" s="628">
        <f>IF(D166&lt;&gt;0,($C167*(1-$V$1))-$D166,0)</f>
        <v>0</v>
      </c>
      <c r="Z166" s="451"/>
      <c r="AA166" s="335"/>
    </row>
    <row r="167" spans="1:28" ht="12.75" customHeight="1">
      <c r="A167" s="273"/>
      <c r="B167" s="240"/>
      <c r="C167" s="239"/>
      <c r="D167" s="453"/>
      <c r="E167" s="454"/>
      <c r="F167" s="696"/>
      <c r="G167" s="332"/>
      <c r="H167" s="237"/>
      <c r="I167" s="228"/>
      <c r="J167" s="228"/>
      <c r="K167" s="261"/>
      <c r="L167" s="235"/>
      <c r="M167" s="232"/>
      <c r="N167" s="235"/>
      <c r="O167" s="289"/>
      <c r="P167" s="298"/>
      <c r="Q167" s="266"/>
      <c r="R167" s="276">
        <v>0</v>
      </c>
      <c r="S167" s="278">
        <v>0</v>
      </c>
      <c r="T167" s="248">
        <v>0</v>
      </c>
      <c r="U167" s="591"/>
      <c r="V167" s="434">
        <v>0</v>
      </c>
      <c r="W167" s="479">
        <f>V166*(D166/100)</f>
        <v>0</v>
      </c>
      <c r="X167" s="588"/>
      <c r="Y167" s="600" t="str">
        <f>IFERROR(INT($Y$1/(F166/100)),"")</f>
        <v/>
      </c>
      <c r="Z167" s="391"/>
      <c r="AA167" s="336"/>
    </row>
    <row r="168" spans="1:28" ht="12.75" hidden="1" customHeight="1">
      <c r="A168" s="242"/>
      <c r="B168" s="251"/>
      <c r="C168" s="321"/>
      <c r="D168" s="259"/>
      <c r="E168" s="251"/>
      <c r="F168" s="705"/>
      <c r="G168" s="333"/>
      <c r="H168" s="241"/>
      <c r="I168" s="229"/>
      <c r="J168" s="229"/>
      <c r="K168" s="264"/>
      <c r="L168" s="250"/>
      <c r="M168" s="233"/>
      <c r="N168" s="250"/>
      <c r="O168" s="290"/>
      <c r="P168" s="299"/>
      <c r="Q168" s="267"/>
      <c r="R168" s="277">
        <v>0</v>
      </c>
      <c r="S168" s="280">
        <v>0</v>
      </c>
      <c r="T168" s="247">
        <v>0</v>
      </c>
      <c r="U168" s="592"/>
      <c r="V168" s="315"/>
      <c r="W168" s="480">
        <f t="shared" ref="W168" si="78">(V168*X168)</f>
        <v>0</v>
      </c>
      <c r="X168" s="586"/>
      <c r="Y168" s="719">
        <f>IF(D168&lt;&gt;0,($C169*(1-$V$1))-$D168,0)</f>
        <v>0</v>
      </c>
      <c r="Z168" s="320" t="str">
        <f>IFERROR(IF(C168&lt;&gt;"",$Y$1/(D166/100)*(C168/100),""),"")</f>
        <v/>
      </c>
      <c r="AA168" s="381" t="str">
        <f>IFERROR($AA$1/(D168/100)*(C166/100),"")</f>
        <v/>
      </c>
    </row>
    <row r="169" spans="1:28" ht="12.75" hidden="1" customHeight="1">
      <c r="A169" s="300"/>
      <c r="B169" s="240"/>
      <c r="C169" s="239"/>
      <c r="D169" s="453"/>
      <c r="E169" s="454"/>
      <c r="F169" s="696"/>
      <c r="G169" s="332"/>
      <c r="H169" s="237"/>
      <c r="I169" s="228"/>
      <c r="J169" s="228"/>
      <c r="K169" s="261"/>
      <c r="L169" s="235"/>
      <c r="M169" s="232"/>
      <c r="N169" s="235"/>
      <c r="O169" s="289"/>
      <c r="P169" s="298"/>
      <c r="Q169" s="266"/>
      <c r="R169" s="276">
        <v>0</v>
      </c>
      <c r="S169" s="278">
        <v>0</v>
      </c>
      <c r="T169" s="248">
        <v>0</v>
      </c>
      <c r="U169" s="591"/>
      <c r="V169" s="314">
        <v>0</v>
      </c>
      <c r="W169" s="481">
        <f>V168*(F168/100)</f>
        <v>0</v>
      </c>
      <c r="X169" s="588"/>
      <c r="Y169" s="601" t="str">
        <f>IFERROR(INT($AA$1/(F168/100)),"")</f>
        <v/>
      </c>
      <c r="Z169" s="319" t="str">
        <f>IFERROR(IF(C169&lt;&gt;"",$Y$1/(D167/100)*(C169/100),""),"")</f>
        <v/>
      </c>
      <c r="AA169" s="383" t="str">
        <f>IFERROR($AA$1/(D169/100)*(C167/100),"")</f>
        <v/>
      </c>
    </row>
    <row r="170" spans="1:28" ht="12.75" customHeight="1">
      <c r="A170" s="395"/>
      <c r="B170" s="251"/>
      <c r="C170" s="321"/>
      <c r="D170" s="259"/>
      <c r="E170" s="251"/>
      <c r="F170" s="705"/>
      <c r="G170" s="333"/>
      <c r="H170" s="241"/>
      <c r="I170" s="229"/>
      <c r="J170" s="229"/>
      <c r="K170" s="264"/>
      <c r="L170" s="250"/>
      <c r="M170" s="233"/>
      <c r="N170" s="250"/>
      <c r="O170" s="290"/>
      <c r="P170" s="299"/>
      <c r="Q170" s="267"/>
      <c r="R170" s="277">
        <v>0</v>
      </c>
      <c r="S170" s="280">
        <v>0</v>
      </c>
      <c r="T170" s="247">
        <v>0</v>
      </c>
      <c r="U170" s="592"/>
      <c r="V170" s="432"/>
      <c r="W170" s="482">
        <f t="shared" ref="W170" si="79">(V170*X170)</f>
        <v>0</v>
      </c>
      <c r="X170" s="589"/>
      <c r="Y170" s="720">
        <f>IF(D170&lt;&gt;0,($C171*(1-$V$1))-$D170,0)</f>
        <v>0</v>
      </c>
      <c r="Z170" s="318" t="str">
        <f>IFERROR(IF(C170&lt;&gt;"",$Y$1/(D166/100)*(C170/100),""),"")</f>
        <v/>
      </c>
      <c r="AA170" s="382" t="str">
        <f>IFERROR($Z$1/(D170/100)*(C166/100),"")</f>
        <v/>
      </c>
    </row>
    <row r="171" spans="1:28" ht="12.75" customHeight="1">
      <c r="A171" s="425"/>
      <c r="B171" s="426"/>
      <c r="C171" s="411"/>
      <c r="D171" s="452"/>
      <c r="E171" s="420"/>
      <c r="F171" s="704"/>
      <c r="G171" s="427"/>
      <c r="H171" s="413"/>
      <c r="I171" s="414"/>
      <c r="J171" s="414"/>
      <c r="K171" s="430"/>
      <c r="L171" s="406"/>
      <c r="M171" s="416"/>
      <c r="N171" s="406"/>
      <c r="O171" s="407"/>
      <c r="P171" s="298"/>
      <c r="Q171" s="408"/>
      <c r="R171" s="428">
        <v>0</v>
      </c>
      <c r="S171" s="410">
        <v>0</v>
      </c>
      <c r="T171" s="419">
        <v>0</v>
      </c>
      <c r="U171" s="591"/>
      <c r="V171" s="433">
        <v>0</v>
      </c>
      <c r="W171" s="485">
        <f>V170*(C170/100)</f>
        <v>0</v>
      </c>
      <c r="X171" s="587"/>
      <c r="Y171" s="602" t="str">
        <f>IFERROR(INT($Z$1/(F170/100)),"")</f>
        <v/>
      </c>
      <c r="Z171" s="422" t="str">
        <f>IFERROR(IF(C171&lt;&gt;"",$Y$1/(D167/100)*(C171/100),""),"")</f>
        <v/>
      </c>
      <c r="AA171" s="429" t="str">
        <f>IFERROR($Z$1/(D171/100)*(C167/100),"")</f>
        <v/>
      </c>
    </row>
  </sheetData>
  <sortState xmlns:xlrd2="http://schemas.microsoft.com/office/spreadsheetml/2017/richdata2" ref="A15">
    <sortCondition descending="1" ref="A14:A15"/>
  </sortState>
  <mergeCells count="15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</mergeCells>
  <phoneticPr fontId="16" type="noConversion"/>
  <conditionalFormatting sqref="G70:G159 G60:G63 G2:G29">
    <cfRule type="cellIs" dxfId="2944" priority="14170" operator="lessThan">
      <formula>0</formula>
    </cfRule>
  </conditionalFormatting>
  <conditionalFormatting sqref="Q60:T159">
    <cfRule type="cellIs" dxfId="2943" priority="13679" operator="equal">
      <formula>0</formula>
    </cfRule>
  </conditionalFormatting>
  <conditionalFormatting sqref="V60:V81 V2:V41">
    <cfRule type="cellIs" dxfId="2942" priority="14172" operator="lessThan">
      <formula>0</formula>
    </cfRule>
    <cfRule type="cellIs" dxfId="2941" priority="14173" operator="equal">
      <formula>0</formula>
    </cfRule>
  </conditionalFormatting>
  <conditionalFormatting sqref="Y66 Y68">
    <cfRule type="cellIs" dxfId="2940" priority="9775" operator="lessThanOrEqual">
      <formula>0</formula>
    </cfRule>
  </conditionalFormatting>
  <conditionalFormatting sqref="Z30:Z34 W62:X63 Z37:Z41">
    <cfRule type="cellIs" dxfId="2939" priority="14422" operator="equal">
      <formula>0</formula>
    </cfRule>
  </conditionalFormatting>
  <conditionalFormatting sqref="W65">
    <cfRule type="cellIs" dxfId="2938" priority="9729" operator="equal">
      <formula>0</formula>
    </cfRule>
  </conditionalFormatting>
  <conditionalFormatting sqref="W64">
    <cfRule type="cellIs" dxfId="2937" priority="4839" operator="equal">
      <formula>0</formula>
    </cfRule>
    <cfRule type="cellIs" dxfId="2936" priority="4841" operator="lessThan">
      <formula>W65</formula>
    </cfRule>
    <cfRule type="cellIs" dxfId="2935" priority="9728" operator="lessThan">
      <formula>0</formula>
    </cfRule>
  </conditionalFormatting>
  <conditionalFormatting sqref="W67">
    <cfRule type="cellIs" dxfId="2934" priority="9727" operator="equal">
      <formula>0</formula>
    </cfRule>
  </conditionalFormatting>
  <conditionalFormatting sqref="W66">
    <cfRule type="cellIs" dxfId="2933" priority="4837" operator="equal">
      <formula>0</formula>
    </cfRule>
    <cfRule type="cellIs" dxfId="2932" priority="4838" operator="lessThan">
      <formula>W67</formula>
    </cfRule>
    <cfRule type="cellIs" dxfId="2931" priority="9726" operator="lessThan">
      <formula>0</formula>
    </cfRule>
  </conditionalFormatting>
  <conditionalFormatting sqref="W68">
    <cfRule type="cellIs" dxfId="2930" priority="4836" operator="equal">
      <formula>0</formula>
    </cfRule>
    <cfRule type="cellIs" dxfId="2929" priority="4842" operator="lessThan">
      <formula>W69</formula>
    </cfRule>
  </conditionalFormatting>
  <conditionalFormatting sqref="Z2 Z6 Z10 Z14 Z18">
    <cfRule type="cellIs" dxfId="2928" priority="9396" operator="equal">
      <formula>0</formula>
    </cfRule>
  </conditionalFormatting>
  <conditionalFormatting sqref="Z3 Z7 Z11 Z15 Z19">
    <cfRule type="cellIs" dxfId="2927" priority="9395" operator="equal">
      <formula>0</formula>
    </cfRule>
  </conditionalFormatting>
  <conditionalFormatting sqref="Z4 Z8 Z12 Z16 Z20">
    <cfRule type="cellIs" dxfId="2926" priority="9394" operator="equal">
      <formula>0</formula>
    </cfRule>
  </conditionalFormatting>
  <conditionalFormatting sqref="Z5 Z9 Z13 Z17 Z21">
    <cfRule type="cellIs" dxfId="2925" priority="9393" operator="equal">
      <formula>0</formula>
    </cfRule>
  </conditionalFormatting>
  <conditionalFormatting sqref="G64:G69">
    <cfRule type="cellIs" dxfId="2924" priority="8528" operator="lessThan">
      <formula>0</formula>
    </cfRule>
  </conditionalFormatting>
  <conditionalFormatting sqref="G18">
    <cfRule type="cellIs" dxfId="2923" priority="8527" operator="equal">
      <formula>0</formula>
    </cfRule>
  </conditionalFormatting>
  <conditionalFormatting sqref="G19">
    <cfRule type="cellIs" dxfId="2922" priority="8526" operator="equal">
      <formula>0</formula>
    </cfRule>
  </conditionalFormatting>
  <conditionalFormatting sqref="G20">
    <cfRule type="cellIs" dxfId="2921" priority="8525" operator="equal">
      <formula>0</formula>
    </cfRule>
  </conditionalFormatting>
  <conditionalFormatting sqref="G21">
    <cfRule type="cellIs" dxfId="2920" priority="8524" operator="equal">
      <formula>0</formula>
    </cfRule>
  </conditionalFormatting>
  <conditionalFormatting sqref="G22">
    <cfRule type="cellIs" dxfId="2919" priority="8523" operator="equal">
      <formula>0</formula>
    </cfRule>
  </conditionalFormatting>
  <conditionalFormatting sqref="G23">
    <cfRule type="cellIs" dxfId="2918" priority="8522" operator="equal">
      <formula>0</formula>
    </cfRule>
  </conditionalFormatting>
  <conditionalFormatting sqref="G24">
    <cfRule type="cellIs" dxfId="2917" priority="8521" operator="equal">
      <formula>0</formula>
    </cfRule>
  </conditionalFormatting>
  <conditionalFormatting sqref="G25">
    <cfRule type="cellIs" dxfId="2916" priority="8520" operator="equal">
      <formula>0</formula>
    </cfRule>
  </conditionalFormatting>
  <conditionalFormatting sqref="G2">
    <cfRule type="cellIs" dxfId="2915" priority="8519" operator="equal">
      <formula>0</formula>
    </cfRule>
  </conditionalFormatting>
  <conditionalFormatting sqref="G3">
    <cfRule type="cellIs" dxfId="2914" priority="8518" operator="equal">
      <formula>0</formula>
    </cfRule>
  </conditionalFormatting>
  <conditionalFormatting sqref="G4">
    <cfRule type="cellIs" dxfId="2913" priority="8517" operator="equal">
      <formula>0</formula>
    </cfRule>
  </conditionalFormatting>
  <conditionalFormatting sqref="G5">
    <cfRule type="cellIs" dxfId="2912" priority="8516" operator="equal">
      <formula>0</formula>
    </cfRule>
  </conditionalFormatting>
  <conditionalFormatting sqref="G6">
    <cfRule type="cellIs" dxfId="2911" priority="8515" operator="equal">
      <formula>0</formula>
    </cfRule>
  </conditionalFormatting>
  <conditionalFormatting sqref="G7">
    <cfRule type="cellIs" dxfId="2910" priority="8514" operator="equal">
      <formula>0</formula>
    </cfRule>
  </conditionalFormatting>
  <conditionalFormatting sqref="G8">
    <cfRule type="cellIs" dxfId="2909" priority="8513" operator="equal">
      <formula>0</formula>
    </cfRule>
  </conditionalFormatting>
  <conditionalFormatting sqref="G9">
    <cfRule type="cellIs" dxfId="2908" priority="8512" operator="equal">
      <formula>0</formula>
    </cfRule>
  </conditionalFormatting>
  <conditionalFormatting sqref="G10">
    <cfRule type="cellIs" dxfId="2907" priority="8511" operator="equal">
      <formula>0</formula>
    </cfRule>
  </conditionalFormatting>
  <conditionalFormatting sqref="G11">
    <cfRule type="cellIs" dxfId="2906" priority="8510" operator="equal">
      <formula>0</formula>
    </cfRule>
  </conditionalFormatting>
  <conditionalFormatting sqref="G12">
    <cfRule type="cellIs" dxfId="2905" priority="8509" operator="equal">
      <formula>0</formula>
    </cfRule>
  </conditionalFormatting>
  <conditionalFormatting sqref="G13">
    <cfRule type="cellIs" dxfId="2904" priority="8508" operator="equal">
      <formula>0</formula>
    </cfRule>
  </conditionalFormatting>
  <conditionalFormatting sqref="G14 G26">
    <cfRule type="cellIs" dxfId="2903" priority="8507" operator="equal">
      <formula>0</formula>
    </cfRule>
  </conditionalFormatting>
  <conditionalFormatting sqref="G15 G27">
    <cfRule type="cellIs" dxfId="2902" priority="8506" operator="equal">
      <formula>0</formula>
    </cfRule>
  </conditionalFormatting>
  <conditionalFormatting sqref="G16 G28">
    <cfRule type="cellIs" dxfId="2901" priority="8505" operator="equal">
      <formula>0</formula>
    </cfRule>
  </conditionalFormatting>
  <conditionalFormatting sqref="G17:G25 G29">
    <cfRule type="cellIs" dxfId="2900" priority="8504" operator="equal">
      <formula>0</formula>
    </cfRule>
  </conditionalFormatting>
  <conditionalFormatting sqref="Y5 Y17 Y21">
    <cfRule type="cellIs" dxfId="2899" priority="8447" operator="equal">
      <formula>0</formula>
    </cfRule>
    <cfRule type="cellIs" dxfId="2898" priority="8450" operator="greaterThan">
      <formula>Y2</formula>
    </cfRule>
  </conditionalFormatting>
  <conditionalFormatting sqref="Y3">
    <cfRule type="cellIs" dxfId="2897" priority="8449" operator="equal">
      <formula>0</formula>
    </cfRule>
  </conditionalFormatting>
  <conditionalFormatting sqref="Y4">
    <cfRule type="cellIs" dxfId="2896" priority="8448" operator="equal">
      <formula>0</formula>
    </cfRule>
  </conditionalFormatting>
  <conditionalFormatting sqref="Y9">
    <cfRule type="cellIs" dxfId="2895" priority="8441" operator="equal">
      <formula>0</formula>
    </cfRule>
    <cfRule type="cellIs" dxfId="2894" priority="8444" operator="greaterThan">
      <formula>Y6</formula>
    </cfRule>
  </conditionalFormatting>
  <conditionalFormatting sqref="Y7">
    <cfRule type="cellIs" dxfId="2893" priority="8443" operator="equal">
      <formula>0</formula>
    </cfRule>
  </conditionalFormatting>
  <conditionalFormatting sqref="Y8">
    <cfRule type="cellIs" dxfId="2892" priority="8442" operator="equal">
      <formula>0</formula>
    </cfRule>
  </conditionalFormatting>
  <conditionalFormatting sqref="Y13">
    <cfRule type="cellIs" dxfId="2891" priority="8435" operator="equal">
      <formula>0</formula>
    </cfRule>
    <cfRule type="cellIs" dxfId="2890" priority="8438" operator="greaterThan">
      <formula>Y10</formula>
    </cfRule>
  </conditionalFormatting>
  <conditionalFormatting sqref="Y11 Y15 Y19">
    <cfRule type="cellIs" dxfId="2889" priority="8437" operator="equal">
      <formula>0</formula>
    </cfRule>
  </conditionalFormatting>
  <conditionalFormatting sqref="Y12 Y16 Y20">
    <cfRule type="cellIs" dxfId="2888" priority="8436" operator="equal">
      <formula>0</formula>
    </cfRule>
  </conditionalFormatting>
  <conditionalFormatting sqref="Y5 Y9 Y13 Y17 Y21">
    <cfRule type="expression" dxfId="2887" priority="17590">
      <formula>IF($Y5&gt;$Y2,AND(MID($A5,5,1)="D"))</formula>
    </cfRule>
    <cfRule type="expression" dxfId="2886" priority="17591">
      <formula>IF($Y5&gt;$Y2,AND(MID($A5,5,1)="C"))</formula>
    </cfRule>
  </conditionalFormatting>
  <conditionalFormatting sqref="AA2:AA3 AA6:AA7 AA10:AA11 AA14 AA18">
    <cfRule type="expression" dxfId="2885" priority="17598">
      <formula>IF($Y5&gt;$Y2,AND(MID($A2,5,1)="D"))</formula>
    </cfRule>
    <cfRule type="expression" dxfId="2884" priority="17599">
      <formula>IF($Y5&gt;$Y2,AND(MID($A2,5,1)="C"))</formula>
    </cfRule>
    <cfRule type="cellIs" dxfId="2883" priority="17600" operator="equal">
      <formula>0</formula>
    </cfRule>
  </conditionalFormatting>
  <conditionalFormatting sqref="AA4:AA5 AA8:AA9 AA12:AA13 AA16 AA20">
    <cfRule type="expression" dxfId="2882" priority="17610">
      <formula>IF($Y5&gt;$Y2,AND(MID($A5,5,1)="D"))</formula>
    </cfRule>
    <cfRule type="expression" dxfId="2881" priority="17611">
      <formula>IF($Y5&gt;$Y2,AND(MID($A5,5,1)="C"))</formula>
    </cfRule>
    <cfRule type="cellIs" dxfId="2880" priority="17612" operator="equal">
      <formula>0</formula>
    </cfRule>
  </conditionalFormatting>
  <conditionalFormatting sqref="B2 B6 B10 B14">
    <cfRule type="expression" dxfId="2879" priority="17634">
      <formula>IF($Y5&gt;$Y2,AND(MID($A2,5,1)=" "))</formula>
    </cfRule>
    <cfRule type="expression" dxfId="2878" priority="17635">
      <formula>IF($Y5&gt;$Y2,AND(MID($A2,5,1)="C"))</formula>
    </cfRule>
    <cfRule type="expression" dxfId="2877" priority="17636">
      <formula>IF($Y5&gt;$Y2,AND(MID($A2,5,1)="D"))</formula>
    </cfRule>
  </conditionalFormatting>
  <conditionalFormatting sqref="E3 E7 E11 E15">
    <cfRule type="expression" dxfId="2876" priority="17649">
      <formula>IF($Y5&gt;$Y2,AND(MID($A3,5,1)=" "))</formula>
    </cfRule>
    <cfRule type="expression" dxfId="2875" priority="17650">
      <formula>IF($Y5&gt;$Y2,AND(MID($A3,5,1)="C"))</formula>
    </cfRule>
    <cfRule type="expression" dxfId="2874" priority="17651">
      <formula>IF($Y5&gt;$Y2,AND(MID($A3,5,1)="D"))</formula>
    </cfRule>
  </conditionalFormatting>
  <conditionalFormatting sqref="B4 B8 B16">
    <cfRule type="expression" dxfId="2873" priority="17664">
      <formula>IF($Y5&gt;$Y2,AND(MID($A4,5,1)=" "))</formula>
    </cfRule>
    <cfRule type="expression" dxfId="2872" priority="17665">
      <formula>IF($Y5&gt;$Y2,AND(MID($A4,5,1)="C"))</formula>
    </cfRule>
    <cfRule type="expression" dxfId="2871" priority="17666">
      <formula>IF($Y5&gt;$Y2,AND(MID($A4,5,1)="D"))</formula>
    </cfRule>
  </conditionalFormatting>
  <conditionalFormatting sqref="E5 E9 E13 E17">
    <cfRule type="expression" dxfId="2870" priority="17679">
      <formula>IF($Y5&gt;$Y2,AND(MID($A5,5,1)=" "))</formula>
    </cfRule>
    <cfRule type="expression" dxfId="2869" priority="17680">
      <formula>IF($Y5&gt;$Y2,AND(MID($A5,5,1)="C"))</formula>
    </cfRule>
    <cfRule type="expression" dxfId="2868" priority="17681">
      <formula>IF($Y5&gt;$Y2,AND(MID($A5,5,1)="D"))</formula>
    </cfRule>
  </conditionalFormatting>
  <conditionalFormatting sqref="C2 C6 C10 C14">
    <cfRule type="expression" dxfId="2867" priority="17694">
      <formula>IF($Y5&gt;$Y2,AND(MID($A2,5,1)=" "))</formula>
    </cfRule>
    <cfRule type="expression" dxfId="2866" priority="17695">
      <formula>IF($Y5&gt;$Y2,AND(MID($A2,5,1)="C"))</formula>
    </cfRule>
    <cfRule type="expression" dxfId="2865" priority="17696">
      <formula>IF($Y5&gt;$Y2,AND(MID($A2,5,1)="D"))</formula>
    </cfRule>
  </conditionalFormatting>
  <conditionalFormatting sqref="D3 D7 D11 D15">
    <cfRule type="expression" dxfId="2864" priority="17709">
      <formula>IF($Y5&gt;$Y2,AND(MID($A3,5,1)=" "))</formula>
    </cfRule>
    <cfRule type="expression" dxfId="2863" priority="17710">
      <formula>IF($Y5&gt;$Y2,AND(MID($A3,5,1)="C"))</formula>
    </cfRule>
    <cfRule type="expression" dxfId="2862" priority="17711">
      <formula>IF($Y5&gt;$Y2,AND(MID($A3,5,1)="D"))</formula>
    </cfRule>
  </conditionalFormatting>
  <conditionalFormatting sqref="D5 D9 D13 D17">
    <cfRule type="expression" dxfId="2861" priority="17724">
      <formula>IF($Y5&gt;$Y2,AND(MID($A5,5,1)=" "))</formula>
    </cfRule>
    <cfRule type="expression" dxfId="2860" priority="17725">
      <formula>IF($Y5&gt;$Y2,AND(MID($A5,5,1)="C"))</formula>
    </cfRule>
    <cfRule type="expression" dxfId="2859" priority="17726">
      <formula>IF($Y5&gt;$Y2,AND(MID($A5,5,1)="D"))</formula>
    </cfRule>
  </conditionalFormatting>
  <conditionalFormatting sqref="C4 C8 C16">
    <cfRule type="expression" dxfId="2858" priority="17739">
      <formula>IF($Y5&gt;$Y2,AND(MID($A4,5,1)=" "))</formula>
    </cfRule>
    <cfRule type="expression" dxfId="2857" priority="17740">
      <formula>IF($Y5&gt;$Y2,AND(MID($A4,5,1)="C"))</formula>
    </cfRule>
    <cfRule type="expression" dxfId="2856" priority="17741">
      <formula>IF($Y5&gt;$Y2,AND(MID($A4,5,1)="D"))</formula>
    </cfRule>
  </conditionalFormatting>
  <conditionalFormatting sqref="G160:G171">
    <cfRule type="cellIs" dxfId="2855" priority="7595" operator="lessThan">
      <formula>0</formula>
    </cfRule>
  </conditionalFormatting>
  <conditionalFormatting sqref="Q160:T171">
    <cfRule type="cellIs" dxfId="2854" priority="7592" operator="equal">
      <formula>0</formula>
    </cfRule>
  </conditionalFormatting>
  <conditionalFormatting sqref="Z66">
    <cfRule type="cellIs" dxfId="2853" priority="7569" operator="equal">
      <formula>0</formula>
    </cfRule>
  </conditionalFormatting>
  <conditionalFormatting sqref="AA66">
    <cfRule type="cellIs" dxfId="2852" priority="7568" operator="equal">
      <formula>0</formula>
    </cfRule>
  </conditionalFormatting>
  <conditionalFormatting sqref="Z67 Z69">
    <cfRule type="cellIs" dxfId="2851" priority="7566" operator="equal">
      <formula>0</formula>
    </cfRule>
  </conditionalFormatting>
  <conditionalFormatting sqref="AA67:AA69">
    <cfRule type="cellIs" dxfId="2850" priority="7565" operator="equal">
      <formula>0</formula>
    </cfRule>
  </conditionalFormatting>
  <conditionalFormatting sqref="Z72">
    <cfRule type="cellIs" dxfId="2849" priority="7564" operator="equal">
      <formula>0</formula>
    </cfRule>
  </conditionalFormatting>
  <conditionalFormatting sqref="AA72">
    <cfRule type="cellIs" dxfId="2848" priority="7563" operator="equal">
      <formula>0</formula>
    </cfRule>
  </conditionalFormatting>
  <conditionalFormatting sqref="Z73:Z75">
    <cfRule type="cellIs" dxfId="2847" priority="7561" operator="equal">
      <formula>0</formula>
    </cfRule>
  </conditionalFormatting>
  <conditionalFormatting sqref="AA73:AA75">
    <cfRule type="cellIs" dxfId="2846" priority="7560" operator="equal">
      <formula>0</formula>
    </cfRule>
  </conditionalFormatting>
  <conditionalFormatting sqref="Z78">
    <cfRule type="cellIs" dxfId="2845" priority="7559" operator="equal">
      <formula>0</formula>
    </cfRule>
  </conditionalFormatting>
  <conditionalFormatting sqref="AA78">
    <cfRule type="cellIs" dxfId="2844" priority="7558" operator="equal">
      <formula>0</formula>
    </cfRule>
  </conditionalFormatting>
  <conditionalFormatting sqref="Z79:Z81">
    <cfRule type="cellIs" dxfId="2843" priority="7556" operator="equal">
      <formula>0</formula>
    </cfRule>
  </conditionalFormatting>
  <conditionalFormatting sqref="AA79:AA81">
    <cfRule type="cellIs" dxfId="2842" priority="7555" operator="equal">
      <formula>0</formula>
    </cfRule>
  </conditionalFormatting>
  <conditionalFormatting sqref="Z84">
    <cfRule type="cellIs" dxfId="2841" priority="7554" operator="equal">
      <formula>0</formula>
    </cfRule>
  </conditionalFormatting>
  <conditionalFormatting sqref="AA84">
    <cfRule type="cellIs" dxfId="2840" priority="7553" operator="equal">
      <formula>0</formula>
    </cfRule>
  </conditionalFormatting>
  <conditionalFormatting sqref="Z85:Z87">
    <cfRule type="cellIs" dxfId="2839" priority="7551" operator="equal">
      <formula>0</formula>
    </cfRule>
  </conditionalFormatting>
  <conditionalFormatting sqref="AA85:AA87">
    <cfRule type="cellIs" dxfId="2838" priority="7550" operator="equal">
      <formula>0</formula>
    </cfRule>
  </conditionalFormatting>
  <conditionalFormatting sqref="Z90">
    <cfRule type="cellIs" dxfId="2837" priority="7549" operator="equal">
      <formula>0</formula>
    </cfRule>
  </conditionalFormatting>
  <conditionalFormatting sqref="AA90">
    <cfRule type="cellIs" dxfId="2836" priority="7548" operator="equal">
      <formula>0</formula>
    </cfRule>
  </conditionalFormatting>
  <conditionalFormatting sqref="Z91:Z93">
    <cfRule type="cellIs" dxfId="2835" priority="7546" operator="equal">
      <formula>0</formula>
    </cfRule>
  </conditionalFormatting>
  <conditionalFormatting sqref="AA91:AA93">
    <cfRule type="cellIs" dxfId="2834" priority="7545" operator="equal">
      <formula>0</formula>
    </cfRule>
  </conditionalFormatting>
  <conditionalFormatting sqref="Z96">
    <cfRule type="cellIs" dxfId="2833" priority="7544" operator="equal">
      <formula>0</formula>
    </cfRule>
  </conditionalFormatting>
  <conditionalFormatting sqref="AA96">
    <cfRule type="cellIs" dxfId="2832" priority="7543" operator="equal">
      <formula>0</formula>
    </cfRule>
  </conditionalFormatting>
  <conditionalFormatting sqref="Z97:Z99">
    <cfRule type="cellIs" dxfId="2831" priority="7541" operator="equal">
      <formula>0</formula>
    </cfRule>
  </conditionalFormatting>
  <conditionalFormatting sqref="AA97:AA99">
    <cfRule type="cellIs" dxfId="2830" priority="7540" operator="equal">
      <formula>0</formula>
    </cfRule>
  </conditionalFormatting>
  <conditionalFormatting sqref="Z102">
    <cfRule type="cellIs" dxfId="2829" priority="7539" operator="equal">
      <formula>0</formula>
    </cfRule>
  </conditionalFormatting>
  <conditionalFormatting sqref="AA102">
    <cfRule type="cellIs" dxfId="2828" priority="7538" operator="equal">
      <formula>0</formula>
    </cfRule>
  </conditionalFormatting>
  <conditionalFormatting sqref="Z103:Z105">
    <cfRule type="cellIs" dxfId="2827" priority="7536" operator="equal">
      <formula>0</formula>
    </cfRule>
  </conditionalFormatting>
  <conditionalFormatting sqref="AA103:AA105">
    <cfRule type="cellIs" dxfId="2826" priority="7535" operator="equal">
      <formula>0</formula>
    </cfRule>
  </conditionalFormatting>
  <conditionalFormatting sqref="Z108">
    <cfRule type="cellIs" dxfId="2825" priority="7534" operator="equal">
      <formula>0</formula>
    </cfRule>
  </conditionalFormatting>
  <conditionalFormatting sqref="AA108">
    <cfRule type="cellIs" dxfId="2824" priority="7533" operator="equal">
      <formula>0</formula>
    </cfRule>
  </conditionalFormatting>
  <conditionalFormatting sqref="Z109:Z111">
    <cfRule type="cellIs" dxfId="2823" priority="7531" operator="equal">
      <formula>0</formula>
    </cfRule>
  </conditionalFormatting>
  <conditionalFormatting sqref="AA109:AA111">
    <cfRule type="cellIs" dxfId="2822" priority="7530" operator="equal">
      <formula>0</formula>
    </cfRule>
  </conditionalFormatting>
  <conditionalFormatting sqref="Z114">
    <cfRule type="cellIs" dxfId="2821" priority="7529" operator="equal">
      <formula>0</formula>
    </cfRule>
  </conditionalFormatting>
  <conditionalFormatting sqref="AA114">
    <cfRule type="cellIs" dxfId="2820" priority="7528" operator="equal">
      <formula>0</formula>
    </cfRule>
  </conditionalFormatting>
  <conditionalFormatting sqref="Z138">
    <cfRule type="cellIs" dxfId="2819" priority="7509" operator="equal">
      <formula>0</formula>
    </cfRule>
  </conditionalFormatting>
  <conditionalFormatting sqref="Z115:Z117">
    <cfRule type="cellIs" dxfId="2818" priority="7526" operator="equal">
      <formula>0</formula>
    </cfRule>
  </conditionalFormatting>
  <conditionalFormatting sqref="AA115:AA117">
    <cfRule type="cellIs" dxfId="2817" priority="7525" operator="equal">
      <formula>0</formula>
    </cfRule>
  </conditionalFormatting>
  <conditionalFormatting sqref="Z120">
    <cfRule type="cellIs" dxfId="2816" priority="7524" operator="equal">
      <formula>0</formula>
    </cfRule>
  </conditionalFormatting>
  <conditionalFormatting sqref="AA120">
    <cfRule type="cellIs" dxfId="2815" priority="7523" operator="equal">
      <formula>0</formula>
    </cfRule>
  </conditionalFormatting>
  <conditionalFormatting sqref="Z139:Z141">
    <cfRule type="cellIs" dxfId="2814" priority="7506" operator="equal">
      <formula>0</formula>
    </cfRule>
  </conditionalFormatting>
  <conditionalFormatting sqref="Z121:Z123">
    <cfRule type="cellIs" dxfId="2813" priority="7521" operator="equal">
      <formula>0</formula>
    </cfRule>
  </conditionalFormatting>
  <conditionalFormatting sqref="AA121:AA123">
    <cfRule type="cellIs" dxfId="2812" priority="7520" operator="equal">
      <formula>0</formula>
    </cfRule>
  </conditionalFormatting>
  <conditionalFormatting sqref="Z126">
    <cfRule type="cellIs" dxfId="2811" priority="7519" operator="equal">
      <formula>0</formula>
    </cfRule>
  </conditionalFormatting>
  <conditionalFormatting sqref="AA126">
    <cfRule type="cellIs" dxfId="2810" priority="7518" operator="equal">
      <formula>0</formula>
    </cfRule>
  </conditionalFormatting>
  <conditionalFormatting sqref="AA144">
    <cfRule type="cellIs" dxfId="2809" priority="7503" operator="equal">
      <formula>0</formula>
    </cfRule>
  </conditionalFormatting>
  <conditionalFormatting sqref="Z127:Z129">
    <cfRule type="cellIs" dxfId="2808" priority="7516" operator="equal">
      <formula>0</formula>
    </cfRule>
  </conditionalFormatting>
  <conditionalFormatting sqref="AA127:AA129">
    <cfRule type="cellIs" dxfId="2807" priority="7515" operator="equal">
      <formula>0</formula>
    </cfRule>
  </conditionalFormatting>
  <conditionalFormatting sqref="Z132">
    <cfRule type="cellIs" dxfId="2806" priority="7514" operator="equal">
      <formula>0</formula>
    </cfRule>
  </conditionalFormatting>
  <conditionalFormatting sqref="AA132">
    <cfRule type="cellIs" dxfId="2805" priority="7513" operator="equal">
      <formula>0</formula>
    </cfRule>
  </conditionalFormatting>
  <conditionalFormatting sqref="AA145:AA147">
    <cfRule type="cellIs" dxfId="2804" priority="7500" operator="equal">
      <formula>0</formula>
    </cfRule>
  </conditionalFormatting>
  <conditionalFormatting sqref="Z133:Z135">
    <cfRule type="cellIs" dxfId="2803" priority="7511" operator="equal">
      <formula>0</formula>
    </cfRule>
  </conditionalFormatting>
  <conditionalFormatting sqref="AA133:AA135">
    <cfRule type="cellIs" dxfId="2802" priority="7510" operator="equal">
      <formula>0</formula>
    </cfRule>
  </conditionalFormatting>
  <conditionalFormatting sqref="AA138">
    <cfRule type="cellIs" dxfId="2801" priority="7508" operator="equal">
      <formula>0</formula>
    </cfRule>
  </conditionalFormatting>
  <conditionalFormatting sqref="AA139:AA141">
    <cfRule type="cellIs" dxfId="2800" priority="7505" operator="equal">
      <formula>0</formula>
    </cfRule>
  </conditionalFormatting>
  <conditionalFormatting sqref="Z144">
    <cfRule type="cellIs" dxfId="2799" priority="7504" operator="equal">
      <formula>0</formula>
    </cfRule>
  </conditionalFormatting>
  <conditionalFormatting sqref="Z156">
    <cfRule type="cellIs" dxfId="2798" priority="7494" operator="equal">
      <formula>0</formula>
    </cfRule>
  </conditionalFormatting>
  <conditionalFormatting sqref="Z145:Z147">
    <cfRule type="cellIs" dxfId="2797" priority="7501" operator="equal">
      <formula>0</formula>
    </cfRule>
  </conditionalFormatting>
  <conditionalFormatting sqref="Z150">
    <cfRule type="cellIs" dxfId="2796" priority="7499" operator="equal">
      <formula>0</formula>
    </cfRule>
  </conditionalFormatting>
  <conditionalFormatting sqref="AA150">
    <cfRule type="cellIs" dxfId="2795" priority="7498" operator="equal">
      <formula>0</formula>
    </cfRule>
  </conditionalFormatting>
  <conditionalFormatting sqref="Z157:Z159">
    <cfRule type="cellIs" dxfId="2794" priority="7491" operator="equal">
      <formula>0</formula>
    </cfRule>
  </conditionalFormatting>
  <conditionalFormatting sqref="Z151:Z153">
    <cfRule type="cellIs" dxfId="2793" priority="7496" operator="equal">
      <formula>0</formula>
    </cfRule>
  </conditionalFormatting>
  <conditionalFormatting sqref="AA151:AA153">
    <cfRule type="cellIs" dxfId="2792" priority="7495" operator="equal">
      <formula>0</formula>
    </cfRule>
  </conditionalFormatting>
  <conditionalFormatting sqref="AA156">
    <cfRule type="cellIs" dxfId="2791" priority="7493" operator="equal">
      <formula>0</formula>
    </cfRule>
  </conditionalFormatting>
  <conditionalFormatting sqref="AA162 AA168">
    <cfRule type="cellIs" dxfId="2790" priority="7488" operator="equal">
      <formula>0</formula>
    </cfRule>
  </conditionalFormatting>
  <conditionalFormatting sqref="AA157:AA159">
    <cfRule type="cellIs" dxfId="2789" priority="7490" operator="equal">
      <formula>0</formula>
    </cfRule>
  </conditionalFormatting>
  <conditionalFormatting sqref="Z162 Z168">
    <cfRule type="cellIs" dxfId="2788" priority="7489" operator="equal">
      <formula>0</formula>
    </cfRule>
  </conditionalFormatting>
  <conditionalFormatting sqref="AA163:AA165 AA169:AA171">
    <cfRule type="cellIs" dxfId="2787" priority="7485" operator="equal">
      <formula>0</formula>
    </cfRule>
  </conditionalFormatting>
  <conditionalFormatting sqref="Z163:Z165 Z169:Z171">
    <cfRule type="cellIs" dxfId="2786" priority="7486" operator="equal">
      <formula>0</formula>
    </cfRule>
  </conditionalFormatting>
  <conditionalFormatting sqref="AA68 AA74 AA80 AA86 AA92 AA98 AA104 AA110 AA116 AA122 AA128 AA134 AA140 AA146 AA152 AA158 AA164 AA170">
    <cfRule type="colorScale" priority="7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785" priority="7479" operator="equal">
      <formula>0</formula>
    </cfRule>
  </conditionalFormatting>
  <conditionalFormatting sqref="Y62">
    <cfRule type="cellIs" dxfId="2784" priority="7256" operator="greaterThan">
      <formula>Z62</formula>
    </cfRule>
    <cfRule type="cellIs" dxfId="2783" priority="7257" operator="lessThanOrEqual">
      <formula>0</formula>
    </cfRule>
  </conditionalFormatting>
  <conditionalFormatting sqref="W69">
    <cfRule type="cellIs" dxfId="2782" priority="4824" operator="equal">
      <formula>0</formula>
    </cfRule>
    <cfRule type="cellIs" dxfId="2781" priority="6301" operator="greaterThan">
      <formula>W68</formula>
    </cfRule>
  </conditionalFormatting>
  <conditionalFormatting sqref="Y67">
    <cfRule type="cellIs" dxfId="2780" priority="4964" operator="equal">
      <formula>0</formula>
    </cfRule>
  </conditionalFormatting>
  <conditionalFormatting sqref="Y69">
    <cfRule type="cellIs" dxfId="2779" priority="4963" operator="equal">
      <formula>0</formula>
    </cfRule>
  </conditionalFormatting>
  <conditionalFormatting sqref="W71">
    <cfRule type="cellIs" dxfId="2778" priority="4385" operator="lessThan">
      <formula>W70</formula>
    </cfRule>
    <cfRule type="cellIs" dxfId="2777" priority="4811" operator="equal">
      <formula>0</formula>
    </cfRule>
  </conditionalFormatting>
  <conditionalFormatting sqref="W70">
    <cfRule type="cellIs" dxfId="2776" priority="4386" operator="lessThan">
      <formula>W71</formula>
    </cfRule>
    <cfRule type="cellIs" dxfId="2775" priority="4804" operator="equal">
      <formula>0</formula>
    </cfRule>
    <cfRule type="cellIs" dxfId="2774" priority="4805" operator="lessThan">
      <formula>W71</formula>
    </cfRule>
    <cfRule type="cellIs" dxfId="2773" priority="4810" operator="lessThan">
      <formula>0</formula>
    </cfRule>
  </conditionalFormatting>
  <conditionalFormatting sqref="W73">
    <cfRule type="cellIs" dxfId="2772" priority="4809" operator="equal">
      <formula>0</formula>
    </cfRule>
  </conditionalFormatting>
  <conditionalFormatting sqref="W72">
    <cfRule type="cellIs" dxfId="2771" priority="4802" operator="equal">
      <formula>0</formula>
    </cfRule>
    <cfRule type="cellIs" dxfId="2770" priority="4803" operator="lessThan">
      <formula>W73</formula>
    </cfRule>
    <cfRule type="cellIs" dxfId="2769" priority="4808" operator="lessThan">
      <formula>0</formula>
    </cfRule>
  </conditionalFormatting>
  <conditionalFormatting sqref="W74">
    <cfRule type="cellIs" dxfId="2768" priority="4801" operator="equal">
      <formula>0</formula>
    </cfRule>
    <cfRule type="cellIs" dxfId="2767" priority="4806" operator="lessThan">
      <formula>W75</formula>
    </cfRule>
  </conditionalFormatting>
  <conditionalFormatting sqref="W79">
    <cfRule type="cellIs" dxfId="2766" priority="4797" operator="equal">
      <formula>0</formula>
    </cfRule>
  </conditionalFormatting>
  <conditionalFormatting sqref="W78">
    <cfRule type="cellIs" dxfId="2765" priority="4790" operator="equal">
      <formula>0</formula>
    </cfRule>
    <cfRule type="cellIs" dxfId="2764" priority="4791" operator="lessThan">
      <formula>W79</formula>
    </cfRule>
    <cfRule type="cellIs" dxfId="2763" priority="4796" operator="lessThan">
      <formula>0</formula>
    </cfRule>
  </conditionalFormatting>
  <conditionalFormatting sqref="W80">
    <cfRule type="cellIs" dxfId="2762" priority="4789" operator="equal">
      <formula>0</formula>
    </cfRule>
    <cfRule type="cellIs" dxfId="2761" priority="4794" operator="lessThan">
      <formula>W81</formula>
    </cfRule>
  </conditionalFormatting>
  <conditionalFormatting sqref="W85">
    <cfRule type="cellIs" dxfId="2760" priority="4785" operator="equal">
      <formula>0</formula>
    </cfRule>
  </conditionalFormatting>
  <conditionalFormatting sqref="W84">
    <cfRule type="cellIs" dxfId="2759" priority="4778" operator="equal">
      <formula>0</formula>
    </cfRule>
    <cfRule type="cellIs" dxfId="2758" priority="4779" operator="lessThan">
      <formula>W85</formula>
    </cfRule>
    <cfRule type="cellIs" dxfId="2757" priority="4784" operator="lessThan">
      <formula>0</formula>
    </cfRule>
  </conditionalFormatting>
  <conditionalFormatting sqref="W86">
    <cfRule type="cellIs" dxfId="2756" priority="4777" operator="equal">
      <formula>0</formula>
    </cfRule>
    <cfRule type="cellIs" dxfId="2755" priority="4782" operator="lessThan">
      <formula>W87</formula>
    </cfRule>
  </conditionalFormatting>
  <conditionalFormatting sqref="W87">
    <cfRule type="cellIs" dxfId="2754" priority="4776" operator="equal">
      <formula>0</formula>
    </cfRule>
    <cfRule type="cellIs" dxfId="2753" priority="4783" operator="greaterThan">
      <formula>W86</formula>
    </cfRule>
  </conditionalFormatting>
  <conditionalFormatting sqref="W91">
    <cfRule type="cellIs" dxfId="2752" priority="4773" operator="equal">
      <formula>0</formula>
    </cfRule>
  </conditionalFormatting>
  <conditionalFormatting sqref="W90">
    <cfRule type="cellIs" dxfId="2751" priority="4766" operator="equal">
      <formula>0</formula>
    </cfRule>
    <cfRule type="cellIs" dxfId="2750" priority="4767" operator="lessThan">
      <formula>W91</formula>
    </cfRule>
    <cfRule type="cellIs" dxfId="2749" priority="4772" operator="lessThan">
      <formula>0</formula>
    </cfRule>
  </conditionalFormatting>
  <conditionalFormatting sqref="W92">
    <cfRule type="cellIs" dxfId="2748" priority="4765" operator="equal">
      <formula>0</formula>
    </cfRule>
    <cfRule type="cellIs" dxfId="2747" priority="4770" operator="lessThan">
      <formula>W93</formula>
    </cfRule>
  </conditionalFormatting>
  <conditionalFormatting sqref="W93">
    <cfRule type="cellIs" dxfId="2746" priority="4764" operator="equal">
      <formula>0</formula>
    </cfRule>
    <cfRule type="cellIs" dxfId="2745" priority="4771" operator="greaterThan">
      <formula>W92</formula>
    </cfRule>
  </conditionalFormatting>
  <conditionalFormatting sqref="W97">
    <cfRule type="cellIs" dxfId="2744" priority="4761" operator="equal">
      <formula>0</formula>
    </cfRule>
  </conditionalFormatting>
  <conditionalFormatting sqref="W96">
    <cfRule type="cellIs" dxfId="2743" priority="4754" operator="equal">
      <formula>0</formula>
    </cfRule>
    <cfRule type="cellIs" dxfId="2742" priority="4755" operator="lessThan">
      <formula>W97</formula>
    </cfRule>
    <cfRule type="cellIs" dxfId="2741" priority="4760" operator="lessThan">
      <formula>0</formula>
    </cfRule>
  </conditionalFormatting>
  <conditionalFormatting sqref="W98">
    <cfRule type="cellIs" dxfId="2740" priority="4753" operator="equal">
      <formula>0</formula>
    </cfRule>
    <cfRule type="cellIs" dxfId="2739" priority="4758" operator="lessThan">
      <formula>W99</formula>
    </cfRule>
  </conditionalFormatting>
  <conditionalFormatting sqref="W99">
    <cfRule type="cellIs" dxfId="2738" priority="4752" operator="equal">
      <formula>0</formula>
    </cfRule>
    <cfRule type="cellIs" dxfId="2737" priority="4759" operator="greaterThan">
      <formula>W98</formula>
    </cfRule>
  </conditionalFormatting>
  <conditionalFormatting sqref="W103">
    <cfRule type="cellIs" dxfId="2736" priority="4749" operator="equal">
      <formula>0</formula>
    </cfRule>
  </conditionalFormatting>
  <conditionalFormatting sqref="W102">
    <cfRule type="cellIs" dxfId="2735" priority="4742" operator="equal">
      <formula>0</formula>
    </cfRule>
    <cfRule type="cellIs" dxfId="2734" priority="4743" operator="lessThan">
      <formula>W103</formula>
    </cfRule>
    <cfRule type="cellIs" dxfId="2733" priority="4748" operator="lessThan">
      <formula>0</formula>
    </cfRule>
  </conditionalFormatting>
  <conditionalFormatting sqref="W104">
    <cfRule type="cellIs" dxfId="2732" priority="4741" operator="equal">
      <formula>0</formula>
    </cfRule>
    <cfRule type="cellIs" dxfId="2731" priority="4746" operator="lessThan">
      <formula>W105</formula>
    </cfRule>
  </conditionalFormatting>
  <conditionalFormatting sqref="W105">
    <cfRule type="cellIs" dxfId="2730" priority="4740" operator="equal">
      <formula>0</formula>
    </cfRule>
    <cfRule type="cellIs" dxfId="2729" priority="4747" operator="greaterThan">
      <formula>W104</formula>
    </cfRule>
  </conditionalFormatting>
  <conditionalFormatting sqref="W109">
    <cfRule type="cellIs" dxfId="2728" priority="4737" operator="equal">
      <formula>0</formula>
    </cfRule>
  </conditionalFormatting>
  <conditionalFormatting sqref="W108">
    <cfRule type="cellIs" dxfId="2727" priority="4730" operator="equal">
      <formula>0</formula>
    </cfRule>
    <cfRule type="cellIs" dxfId="2726" priority="4731" operator="lessThan">
      <formula>W109</formula>
    </cfRule>
    <cfRule type="cellIs" dxfId="2725" priority="4736" operator="lessThan">
      <formula>0</formula>
    </cfRule>
  </conditionalFormatting>
  <conditionalFormatting sqref="W110">
    <cfRule type="cellIs" dxfId="2724" priority="4729" operator="equal">
      <formula>0</formula>
    </cfRule>
    <cfRule type="cellIs" dxfId="2723" priority="4734" operator="lessThan">
      <formula>W111</formula>
    </cfRule>
  </conditionalFormatting>
  <conditionalFormatting sqref="W111">
    <cfRule type="cellIs" dxfId="2722" priority="4728" operator="equal">
      <formula>0</formula>
    </cfRule>
    <cfRule type="cellIs" dxfId="2721" priority="4735" operator="greaterThan">
      <formula>W110</formula>
    </cfRule>
  </conditionalFormatting>
  <conditionalFormatting sqref="W115">
    <cfRule type="cellIs" dxfId="2720" priority="4725" operator="equal">
      <formula>0</formula>
    </cfRule>
  </conditionalFormatting>
  <conditionalFormatting sqref="W114">
    <cfRule type="cellIs" dxfId="2719" priority="4718" operator="equal">
      <formula>0</formula>
    </cfRule>
    <cfRule type="cellIs" dxfId="2718" priority="4719" operator="lessThan">
      <formula>W115</formula>
    </cfRule>
    <cfRule type="cellIs" dxfId="2717" priority="4724" operator="lessThan">
      <formula>0</formula>
    </cfRule>
  </conditionalFormatting>
  <conditionalFormatting sqref="W116">
    <cfRule type="cellIs" dxfId="2716" priority="4717" operator="equal">
      <formula>0</formula>
    </cfRule>
    <cfRule type="cellIs" dxfId="2715" priority="4722" operator="lessThan">
      <formula>W117</formula>
    </cfRule>
  </conditionalFormatting>
  <conditionalFormatting sqref="W117">
    <cfRule type="cellIs" dxfId="2714" priority="4716" operator="equal">
      <formula>0</formula>
    </cfRule>
    <cfRule type="cellIs" dxfId="2713" priority="4723" operator="greaterThan">
      <formula>W116</formula>
    </cfRule>
  </conditionalFormatting>
  <conditionalFormatting sqref="W121">
    <cfRule type="cellIs" dxfId="2712" priority="4713" operator="equal">
      <formula>0</formula>
    </cfRule>
  </conditionalFormatting>
  <conditionalFormatting sqref="W120">
    <cfRule type="cellIs" dxfId="2711" priority="4706" operator="equal">
      <formula>0</formula>
    </cfRule>
    <cfRule type="cellIs" dxfId="2710" priority="4707" operator="lessThan">
      <formula>W121</formula>
    </cfRule>
    <cfRule type="cellIs" dxfId="2709" priority="4712" operator="lessThan">
      <formula>0</formula>
    </cfRule>
  </conditionalFormatting>
  <conditionalFormatting sqref="W122">
    <cfRule type="cellIs" dxfId="2708" priority="4705" operator="equal">
      <formula>0</formula>
    </cfRule>
    <cfRule type="cellIs" dxfId="2707" priority="4710" operator="lessThan">
      <formula>W123</formula>
    </cfRule>
  </conditionalFormatting>
  <conditionalFormatting sqref="W123">
    <cfRule type="cellIs" dxfId="2706" priority="4704" operator="equal">
      <formula>0</formula>
    </cfRule>
    <cfRule type="cellIs" dxfId="2705" priority="4711" operator="greaterThan">
      <formula>W122</formula>
    </cfRule>
  </conditionalFormatting>
  <conditionalFormatting sqref="W127">
    <cfRule type="cellIs" dxfId="2704" priority="4701" operator="equal">
      <formula>0</formula>
    </cfRule>
  </conditionalFormatting>
  <conditionalFormatting sqref="W126">
    <cfRule type="cellIs" dxfId="2703" priority="4694" operator="equal">
      <formula>0</formula>
    </cfRule>
    <cfRule type="cellIs" dxfId="2702" priority="4695" operator="lessThan">
      <formula>W127</formula>
    </cfRule>
    <cfRule type="cellIs" dxfId="2701" priority="4700" operator="lessThan">
      <formula>0</formula>
    </cfRule>
  </conditionalFormatting>
  <conditionalFormatting sqref="W128">
    <cfRule type="cellIs" dxfId="2700" priority="4693" operator="equal">
      <formula>0</formula>
    </cfRule>
    <cfRule type="cellIs" dxfId="2699" priority="4698" operator="lessThan">
      <formula>W129</formula>
    </cfRule>
  </conditionalFormatting>
  <conditionalFormatting sqref="W129">
    <cfRule type="cellIs" dxfId="2698" priority="4692" operator="equal">
      <formula>0</formula>
    </cfRule>
    <cfRule type="cellIs" dxfId="2697" priority="4699" operator="greaterThan">
      <formula>W128</formula>
    </cfRule>
  </conditionalFormatting>
  <conditionalFormatting sqref="W133">
    <cfRule type="cellIs" dxfId="2696" priority="4689" operator="equal">
      <formula>0</formula>
    </cfRule>
  </conditionalFormatting>
  <conditionalFormatting sqref="W132">
    <cfRule type="cellIs" dxfId="2695" priority="4682" operator="equal">
      <formula>0</formula>
    </cfRule>
    <cfRule type="cellIs" dxfId="2694" priority="4683" operator="lessThan">
      <formula>W133</formula>
    </cfRule>
    <cfRule type="cellIs" dxfId="2693" priority="4688" operator="lessThan">
      <formula>0</formula>
    </cfRule>
  </conditionalFormatting>
  <conditionalFormatting sqref="W134">
    <cfRule type="cellIs" dxfId="2692" priority="4681" operator="equal">
      <formula>0</formula>
    </cfRule>
    <cfRule type="cellIs" dxfId="2691" priority="4686" operator="lessThan">
      <formula>W135</formula>
    </cfRule>
  </conditionalFormatting>
  <conditionalFormatting sqref="W135">
    <cfRule type="cellIs" dxfId="2690" priority="4680" operator="equal">
      <formula>0</formula>
    </cfRule>
    <cfRule type="cellIs" dxfId="2689" priority="4687" operator="greaterThan">
      <formula>W134</formula>
    </cfRule>
  </conditionalFormatting>
  <conditionalFormatting sqref="W139">
    <cfRule type="cellIs" dxfId="2688" priority="4677" operator="equal">
      <formula>0</formula>
    </cfRule>
  </conditionalFormatting>
  <conditionalFormatting sqref="W138">
    <cfRule type="cellIs" dxfId="2687" priority="4670" operator="equal">
      <formula>0</formula>
    </cfRule>
    <cfRule type="cellIs" dxfId="2686" priority="4671" operator="lessThan">
      <formula>W139</formula>
    </cfRule>
    <cfRule type="cellIs" dxfId="2685" priority="4676" operator="lessThan">
      <formula>0</formula>
    </cfRule>
  </conditionalFormatting>
  <conditionalFormatting sqref="W140">
    <cfRule type="cellIs" dxfId="2684" priority="4669" operator="equal">
      <formula>0</formula>
    </cfRule>
    <cfRule type="cellIs" dxfId="2683" priority="4674" operator="lessThan">
      <formula>W141</formula>
    </cfRule>
  </conditionalFormatting>
  <conditionalFormatting sqref="W141">
    <cfRule type="cellIs" dxfId="2682" priority="4668" operator="equal">
      <formula>0</formula>
    </cfRule>
    <cfRule type="cellIs" dxfId="2681" priority="4675" operator="greaterThan">
      <formula>W140</formula>
    </cfRule>
  </conditionalFormatting>
  <conditionalFormatting sqref="W145">
    <cfRule type="cellIs" dxfId="2680" priority="4665" operator="equal">
      <formula>0</formula>
    </cfRule>
  </conditionalFormatting>
  <conditionalFormatting sqref="W144">
    <cfRule type="cellIs" dxfId="2679" priority="4658" operator="equal">
      <formula>0</formula>
    </cfRule>
    <cfRule type="cellIs" dxfId="2678" priority="4659" operator="lessThan">
      <formula>W145</formula>
    </cfRule>
    <cfRule type="cellIs" dxfId="2677" priority="4664" operator="lessThan">
      <formula>0</formula>
    </cfRule>
  </conditionalFormatting>
  <conditionalFormatting sqref="W146">
    <cfRule type="cellIs" dxfId="2676" priority="4657" operator="equal">
      <formula>0</formula>
    </cfRule>
    <cfRule type="cellIs" dxfId="2675" priority="4662" operator="lessThan">
      <formula>W147</formula>
    </cfRule>
  </conditionalFormatting>
  <conditionalFormatting sqref="W147">
    <cfRule type="cellIs" dxfId="2674" priority="4656" operator="equal">
      <formula>0</formula>
    </cfRule>
    <cfRule type="cellIs" dxfId="2673" priority="4663" operator="greaterThan">
      <formula>W146</formula>
    </cfRule>
  </conditionalFormatting>
  <conditionalFormatting sqref="W151">
    <cfRule type="cellIs" dxfId="2672" priority="4653" operator="equal">
      <formula>0</formula>
    </cfRule>
  </conditionalFormatting>
  <conditionalFormatting sqref="W150">
    <cfRule type="cellIs" dxfId="2671" priority="4646" operator="equal">
      <formula>0</formula>
    </cfRule>
    <cfRule type="cellIs" dxfId="2670" priority="4647" operator="lessThan">
      <formula>W151</formula>
    </cfRule>
    <cfRule type="cellIs" dxfId="2669" priority="4652" operator="lessThan">
      <formula>0</formula>
    </cfRule>
  </conditionalFormatting>
  <conditionalFormatting sqref="W152">
    <cfRule type="cellIs" dxfId="2668" priority="4645" operator="equal">
      <formula>0</formula>
    </cfRule>
    <cfRule type="cellIs" dxfId="2667" priority="4650" operator="lessThan">
      <formula>W153</formula>
    </cfRule>
  </conditionalFormatting>
  <conditionalFormatting sqref="W153">
    <cfRule type="cellIs" dxfId="2666" priority="4644" operator="equal">
      <formula>0</formula>
    </cfRule>
    <cfRule type="cellIs" dxfId="2665" priority="4651" operator="greaterThan">
      <formula>W152</formula>
    </cfRule>
  </conditionalFormatting>
  <conditionalFormatting sqref="W155">
    <cfRule type="cellIs" dxfId="2664" priority="4643" operator="equal">
      <formula>0</formula>
    </cfRule>
  </conditionalFormatting>
  <conditionalFormatting sqref="W154">
    <cfRule type="cellIs" dxfId="2663" priority="4636" operator="equal">
      <formula>0</formula>
    </cfRule>
    <cfRule type="cellIs" dxfId="2662" priority="4637" operator="lessThan">
      <formula>W155</formula>
    </cfRule>
    <cfRule type="cellIs" dxfId="2661" priority="4642" operator="lessThan">
      <formula>0</formula>
    </cfRule>
  </conditionalFormatting>
  <conditionalFormatting sqref="W157">
    <cfRule type="cellIs" dxfId="2660" priority="4641" operator="equal">
      <formula>0</formula>
    </cfRule>
  </conditionalFormatting>
  <conditionalFormatting sqref="W156">
    <cfRule type="cellIs" dxfId="2659" priority="4634" operator="equal">
      <formula>0</formula>
    </cfRule>
    <cfRule type="cellIs" dxfId="2658" priority="4635" operator="lessThan">
      <formula>W157</formula>
    </cfRule>
    <cfRule type="cellIs" dxfId="2657" priority="4640" operator="lessThan">
      <formula>0</formula>
    </cfRule>
  </conditionalFormatting>
  <conditionalFormatting sqref="W158">
    <cfRule type="cellIs" dxfId="2656" priority="4633" operator="equal">
      <formula>0</formula>
    </cfRule>
    <cfRule type="cellIs" dxfId="2655" priority="4638" operator="lessThan">
      <formula>W159</formula>
    </cfRule>
  </conditionalFormatting>
  <conditionalFormatting sqref="W159">
    <cfRule type="cellIs" dxfId="2654" priority="4632" operator="equal">
      <formula>0</formula>
    </cfRule>
    <cfRule type="cellIs" dxfId="2653" priority="4639" operator="greaterThan">
      <formula>W158</formula>
    </cfRule>
  </conditionalFormatting>
  <conditionalFormatting sqref="W161">
    <cfRule type="cellIs" dxfId="2652" priority="4631" operator="equal">
      <formula>0</formula>
    </cfRule>
  </conditionalFormatting>
  <conditionalFormatting sqref="W160">
    <cfRule type="cellIs" dxfId="2651" priority="4624" operator="equal">
      <formula>0</formula>
    </cfRule>
    <cfRule type="cellIs" dxfId="2650" priority="4625" operator="lessThan">
      <formula>W161</formula>
    </cfRule>
    <cfRule type="cellIs" dxfId="2649" priority="4630" operator="lessThan">
      <formula>0</formula>
    </cfRule>
  </conditionalFormatting>
  <conditionalFormatting sqref="W163">
    <cfRule type="cellIs" dxfId="2648" priority="4629" operator="equal">
      <formula>0</formula>
    </cfRule>
  </conditionalFormatting>
  <conditionalFormatting sqref="W162">
    <cfRule type="cellIs" dxfId="2647" priority="4622" operator="equal">
      <formula>0</formula>
    </cfRule>
    <cfRule type="cellIs" dxfId="2646" priority="4623" operator="lessThan">
      <formula>W163</formula>
    </cfRule>
    <cfRule type="cellIs" dxfId="2645" priority="4628" operator="lessThan">
      <formula>0</formula>
    </cfRule>
  </conditionalFormatting>
  <conditionalFormatting sqref="W164">
    <cfRule type="cellIs" dxfId="2644" priority="4621" operator="equal">
      <formula>0</formula>
    </cfRule>
    <cfRule type="cellIs" dxfId="2643" priority="4626" operator="lessThan">
      <formula>W165</formula>
    </cfRule>
  </conditionalFormatting>
  <conditionalFormatting sqref="W165">
    <cfRule type="cellIs" dxfId="2642" priority="4620" operator="equal">
      <formula>0</formula>
    </cfRule>
    <cfRule type="cellIs" dxfId="2641" priority="4627" operator="greaterThan">
      <formula>W164</formula>
    </cfRule>
  </conditionalFormatting>
  <conditionalFormatting sqref="W167">
    <cfRule type="cellIs" dxfId="2640" priority="4619" operator="equal">
      <formula>0</formula>
    </cfRule>
  </conditionalFormatting>
  <conditionalFormatting sqref="W166">
    <cfRule type="cellIs" dxfId="2639" priority="4612" operator="equal">
      <formula>0</formula>
    </cfRule>
    <cfRule type="cellIs" dxfId="2638" priority="4613" operator="lessThan">
      <formula>W167</formula>
    </cfRule>
    <cfRule type="cellIs" dxfId="2637" priority="4618" operator="lessThan">
      <formula>0</formula>
    </cfRule>
  </conditionalFormatting>
  <conditionalFormatting sqref="W169">
    <cfRule type="cellIs" dxfId="2636" priority="4617" operator="equal">
      <formula>0</formula>
    </cfRule>
  </conditionalFormatting>
  <conditionalFormatting sqref="W168">
    <cfRule type="cellIs" dxfId="2635" priority="4610" operator="equal">
      <formula>0</formula>
    </cfRule>
    <cfRule type="cellIs" dxfId="2634" priority="4611" operator="lessThan">
      <formula>W169</formula>
    </cfRule>
    <cfRule type="cellIs" dxfId="2633" priority="4616" operator="lessThan">
      <formula>0</formula>
    </cfRule>
  </conditionalFormatting>
  <conditionalFormatting sqref="W170">
    <cfRule type="cellIs" dxfId="2632" priority="4609" operator="equal">
      <formula>0</formula>
    </cfRule>
    <cfRule type="cellIs" dxfId="2631" priority="4614" operator="lessThan">
      <formula>W171</formula>
    </cfRule>
  </conditionalFormatting>
  <conditionalFormatting sqref="W171">
    <cfRule type="cellIs" dxfId="2630" priority="4608" operator="equal">
      <formula>0</formula>
    </cfRule>
    <cfRule type="cellIs" dxfId="2629" priority="4615" operator="greaterThan">
      <formula>W170</formula>
    </cfRule>
  </conditionalFormatting>
  <conditionalFormatting sqref="Z68 Z74 Z80 Z86 Z92 Z98 Z104 Z110 Z116 Z122 Z128 Z134 Z140 Z146 Z152 Z158 Z164 Z170">
    <cfRule type="colorScale" priority="4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2628" priority="4379" operator="lessThan">
      <formula>W76</formula>
    </cfRule>
    <cfRule type="cellIs" dxfId="2627" priority="4384" operator="equal">
      <formula>0</formula>
    </cfRule>
  </conditionalFormatting>
  <conditionalFormatting sqref="W76">
    <cfRule type="cellIs" dxfId="2626" priority="4380" operator="lessThan">
      <formula>W77</formula>
    </cfRule>
    <cfRule type="cellIs" dxfId="2625" priority="4381" operator="equal">
      <formula>0</formula>
    </cfRule>
    <cfRule type="cellIs" dxfId="2624" priority="4382" operator="lessThan">
      <formula>W77</formula>
    </cfRule>
    <cfRule type="cellIs" dxfId="2623" priority="4383" operator="lessThan">
      <formula>0</formula>
    </cfRule>
  </conditionalFormatting>
  <conditionalFormatting sqref="W83">
    <cfRule type="cellIs" dxfId="2622" priority="4373" operator="lessThan">
      <formula>W82</formula>
    </cfRule>
    <cfRule type="cellIs" dxfId="2621" priority="4378" operator="equal">
      <formula>0</formula>
    </cfRule>
  </conditionalFormatting>
  <conditionalFormatting sqref="W82">
    <cfRule type="cellIs" dxfId="2620" priority="4374" operator="lessThan">
      <formula>W83</formula>
    </cfRule>
    <cfRule type="cellIs" dxfId="2619" priority="4375" operator="equal">
      <formula>0</formula>
    </cfRule>
    <cfRule type="cellIs" dxfId="2618" priority="4376" operator="lessThan">
      <formula>W83</formula>
    </cfRule>
    <cfRule type="cellIs" dxfId="2617" priority="4377" operator="lessThan">
      <formula>0</formula>
    </cfRule>
  </conditionalFormatting>
  <conditionalFormatting sqref="W89">
    <cfRule type="cellIs" dxfId="2616" priority="4367" operator="lessThan">
      <formula>W88</formula>
    </cfRule>
    <cfRule type="cellIs" dxfId="2615" priority="4372" operator="equal">
      <formula>0</formula>
    </cfRule>
  </conditionalFormatting>
  <conditionalFormatting sqref="W88">
    <cfRule type="cellIs" dxfId="2614" priority="4368" operator="lessThan">
      <formula>W89</formula>
    </cfRule>
    <cfRule type="cellIs" dxfId="2613" priority="4369" operator="equal">
      <formula>0</formula>
    </cfRule>
    <cfRule type="cellIs" dxfId="2612" priority="4370" operator="lessThan">
      <formula>W89</formula>
    </cfRule>
    <cfRule type="cellIs" dxfId="2611" priority="4371" operator="lessThan">
      <formula>0</formula>
    </cfRule>
  </conditionalFormatting>
  <conditionalFormatting sqref="W95">
    <cfRule type="cellIs" dxfId="2610" priority="4361" operator="lessThan">
      <formula>W94</formula>
    </cfRule>
    <cfRule type="cellIs" dxfId="2609" priority="4366" operator="equal">
      <formula>0</formula>
    </cfRule>
  </conditionalFormatting>
  <conditionalFormatting sqref="W94">
    <cfRule type="cellIs" dxfId="2608" priority="4362" operator="lessThan">
      <formula>W95</formula>
    </cfRule>
    <cfRule type="cellIs" dxfId="2607" priority="4363" operator="equal">
      <formula>0</formula>
    </cfRule>
    <cfRule type="cellIs" dxfId="2606" priority="4364" operator="lessThan">
      <formula>W95</formula>
    </cfRule>
    <cfRule type="cellIs" dxfId="2605" priority="4365" operator="lessThan">
      <formula>0</formula>
    </cfRule>
  </conditionalFormatting>
  <conditionalFormatting sqref="W101">
    <cfRule type="cellIs" dxfId="2604" priority="4355" operator="lessThan">
      <formula>W100</formula>
    </cfRule>
    <cfRule type="cellIs" dxfId="2603" priority="4360" operator="equal">
      <formula>0</formula>
    </cfRule>
  </conditionalFormatting>
  <conditionalFormatting sqref="W100">
    <cfRule type="cellIs" dxfId="2602" priority="4356" operator="lessThan">
      <formula>W101</formula>
    </cfRule>
    <cfRule type="cellIs" dxfId="2601" priority="4357" operator="equal">
      <formula>0</formula>
    </cfRule>
    <cfRule type="cellIs" dxfId="2600" priority="4358" operator="lessThan">
      <formula>W101</formula>
    </cfRule>
    <cfRule type="cellIs" dxfId="2599" priority="4359" operator="lessThan">
      <formula>0</formula>
    </cfRule>
  </conditionalFormatting>
  <conditionalFormatting sqref="W107">
    <cfRule type="cellIs" dxfId="2598" priority="4349" operator="lessThan">
      <formula>W106</formula>
    </cfRule>
    <cfRule type="cellIs" dxfId="2597" priority="4354" operator="equal">
      <formula>0</formula>
    </cfRule>
  </conditionalFormatting>
  <conditionalFormatting sqref="W106">
    <cfRule type="cellIs" dxfId="2596" priority="4350" operator="lessThan">
      <formula>W107</formula>
    </cfRule>
    <cfRule type="cellIs" dxfId="2595" priority="4351" operator="equal">
      <formula>0</formula>
    </cfRule>
    <cfRule type="cellIs" dxfId="2594" priority="4352" operator="lessThan">
      <formula>W107</formula>
    </cfRule>
    <cfRule type="cellIs" dxfId="2593" priority="4353" operator="lessThan">
      <formula>0</formula>
    </cfRule>
  </conditionalFormatting>
  <conditionalFormatting sqref="W113">
    <cfRule type="cellIs" dxfId="2592" priority="4343" operator="lessThan">
      <formula>W112</formula>
    </cfRule>
    <cfRule type="cellIs" dxfId="2591" priority="4348" operator="equal">
      <formula>0</formula>
    </cfRule>
  </conditionalFormatting>
  <conditionalFormatting sqref="W112">
    <cfRule type="cellIs" dxfId="2590" priority="4344" operator="lessThan">
      <formula>W113</formula>
    </cfRule>
    <cfRule type="cellIs" dxfId="2589" priority="4345" operator="equal">
      <formula>0</formula>
    </cfRule>
    <cfRule type="cellIs" dxfId="2588" priority="4346" operator="lessThan">
      <formula>W113</formula>
    </cfRule>
    <cfRule type="cellIs" dxfId="2587" priority="4347" operator="lessThan">
      <formula>0</formula>
    </cfRule>
  </conditionalFormatting>
  <conditionalFormatting sqref="W119">
    <cfRule type="cellIs" dxfId="2586" priority="4337" operator="lessThan">
      <formula>W118</formula>
    </cfRule>
    <cfRule type="cellIs" dxfId="2585" priority="4342" operator="equal">
      <formula>0</formula>
    </cfRule>
  </conditionalFormatting>
  <conditionalFormatting sqref="W118">
    <cfRule type="cellIs" dxfId="2584" priority="4338" operator="lessThan">
      <formula>W119</formula>
    </cfRule>
    <cfRule type="cellIs" dxfId="2583" priority="4339" operator="equal">
      <formula>0</formula>
    </cfRule>
    <cfRule type="cellIs" dxfId="2582" priority="4340" operator="lessThan">
      <formula>W119</formula>
    </cfRule>
    <cfRule type="cellIs" dxfId="2581" priority="4341" operator="lessThan">
      <formula>0</formula>
    </cfRule>
  </conditionalFormatting>
  <conditionalFormatting sqref="W125">
    <cfRule type="cellIs" dxfId="2580" priority="4331" operator="lessThan">
      <formula>W124</formula>
    </cfRule>
    <cfRule type="cellIs" dxfId="2579" priority="4336" operator="equal">
      <formula>0</formula>
    </cfRule>
  </conditionalFormatting>
  <conditionalFormatting sqref="W124">
    <cfRule type="cellIs" dxfId="2578" priority="4332" operator="lessThan">
      <formula>W125</formula>
    </cfRule>
    <cfRule type="cellIs" dxfId="2577" priority="4333" operator="equal">
      <formula>0</formula>
    </cfRule>
    <cfRule type="cellIs" dxfId="2576" priority="4334" operator="lessThan">
      <formula>W125</formula>
    </cfRule>
    <cfRule type="cellIs" dxfId="2575" priority="4335" operator="lessThan">
      <formula>0</formula>
    </cfRule>
  </conditionalFormatting>
  <conditionalFormatting sqref="W131">
    <cfRule type="cellIs" dxfId="2574" priority="4325" operator="lessThan">
      <formula>W130</formula>
    </cfRule>
    <cfRule type="cellIs" dxfId="2573" priority="4330" operator="equal">
      <formula>0</formula>
    </cfRule>
  </conditionalFormatting>
  <conditionalFormatting sqref="W130">
    <cfRule type="cellIs" dxfId="2572" priority="4326" operator="lessThan">
      <formula>W131</formula>
    </cfRule>
    <cfRule type="cellIs" dxfId="2571" priority="4327" operator="equal">
      <formula>0</formula>
    </cfRule>
    <cfRule type="cellIs" dxfId="2570" priority="4328" operator="lessThan">
      <formula>W131</formula>
    </cfRule>
    <cfRule type="cellIs" dxfId="2569" priority="4329" operator="lessThan">
      <formula>0</formula>
    </cfRule>
  </conditionalFormatting>
  <conditionalFormatting sqref="W137">
    <cfRule type="cellIs" dxfId="2568" priority="4319" operator="lessThan">
      <formula>W136</formula>
    </cfRule>
    <cfRule type="cellIs" dxfId="2567" priority="4324" operator="equal">
      <formula>0</formula>
    </cfRule>
  </conditionalFormatting>
  <conditionalFormatting sqref="W136">
    <cfRule type="cellIs" dxfId="2566" priority="4320" operator="lessThan">
      <formula>W137</formula>
    </cfRule>
    <cfRule type="cellIs" dxfId="2565" priority="4321" operator="equal">
      <formula>0</formula>
    </cfRule>
    <cfRule type="cellIs" dxfId="2564" priority="4322" operator="lessThan">
      <formula>W137</formula>
    </cfRule>
    <cfRule type="cellIs" dxfId="2563" priority="4323" operator="lessThan">
      <formula>0</formula>
    </cfRule>
  </conditionalFormatting>
  <conditionalFormatting sqref="W143">
    <cfRule type="cellIs" dxfId="2562" priority="4313" operator="lessThan">
      <formula>W142</formula>
    </cfRule>
    <cfRule type="cellIs" dxfId="2561" priority="4318" operator="equal">
      <formula>0</formula>
    </cfRule>
  </conditionalFormatting>
  <conditionalFormatting sqref="W142">
    <cfRule type="cellIs" dxfId="2560" priority="4314" operator="lessThan">
      <formula>W143</formula>
    </cfRule>
    <cfRule type="cellIs" dxfId="2559" priority="4315" operator="equal">
      <formula>0</formula>
    </cfRule>
    <cfRule type="cellIs" dxfId="2558" priority="4316" operator="lessThan">
      <formula>W143</formula>
    </cfRule>
    <cfRule type="cellIs" dxfId="2557" priority="4317" operator="lessThan">
      <formula>0</formula>
    </cfRule>
  </conditionalFormatting>
  <conditionalFormatting sqref="W149">
    <cfRule type="cellIs" dxfId="2556" priority="4307" operator="lessThan">
      <formula>W148</formula>
    </cfRule>
    <cfRule type="cellIs" dxfId="2555" priority="4312" operator="equal">
      <formula>0</formula>
    </cfRule>
  </conditionalFormatting>
  <conditionalFormatting sqref="W148">
    <cfRule type="cellIs" dxfId="2554" priority="4308" operator="lessThan">
      <formula>W149</formula>
    </cfRule>
    <cfRule type="cellIs" dxfId="2553" priority="4309" operator="equal">
      <formula>0</formula>
    </cfRule>
    <cfRule type="cellIs" dxfId="2552" priority="4310" operator="lessThan">
      <formula>W149</formula>
    </cfRule>
    <cfRule type="cellIs" dxfId="2551" priority="4311" operator="lessThan">
      <formula>0</formula>
    </cfRule>
  </conditionalFormatting>
  <conditionalFormatting sqref="V82:V87">
    <cfRule type="cellIs" dxfId="2550" priority="4305" operator="lessThan">
      <formula>0</formula>
    </cfRule>
    <cfRule type="cellIs" dxfId="2549" priority="4306" operator="equal">
      <formula>0</formula>
    </cfRule>
  </conditionalFormatting>
  <conditionalFormatting sqref="V88:V93">
    <cfRule type="cellIs" dxfId="2548" priority="4303" operator="lessThan">
      <formula>0</formula>
    </cfRule>
    <cfRule type="cellIs" dxfId="2547" priority="4304" operator="equal">
      <formula>0</formula>
    </cfRule>
  </conditionalFormatting>
  <conditionalFormatting sqref="V94:V99">
    <cfRule type="cellIs" dxfId="2546" priority="4301" operator="lessThan">
      <formula>0</formula>
    </cfRule>
    <cfRule type="cellIs" dxfId="2545" priority="4302" operator="equal">
      <formula>0</formula>
    </cfRule>
  </conditionalFormatting>
  <conditionalFormatting sqref="V100:V105">
    <cfRule type="cellIs" dxfId="2544" priority="4299" operator="lessThan">
      <formula>0</formula>
    </cfRule>
    <cfRule type="cellIs" dxfId="2543" priority="4300" operator="equal">
      <formula>0</formula>
    </cfRule>
  </conditionalFormatting>
  <conditionalFormatting sqref="V106:V111">
    <cfRule type="cellIs" dxfId="2542" priority="4297" operator="lessThan">
      <formula>0</formula>
    </cfRule>
    <cfRule type="cellIs" dxfId="2541" priority="4298" operator="equal">
      <formula>0</formula>
    </cfRule>
  </conditionalFormatting>
  <conditionalFormatting sqref="V112:V117">
    <cfRule type="cellIs" dxfId="2540" priority="4295" operator="lessThan">
      <formula>0</formula>
    </cfRule>
    <cfRule type="cellIs" dxfId="2539" priority="4296" operator="equal">
      <formula>0</formula>
    </cfRule>
  </conditionalFormatting>
  <conditionalFormatting sqref="V118:V123">
    <cfRule type="cellIs" dxfId="2538" priority="4293" operator="lessThan">
      <formula>0</formula>
    </cfRule>
    <cfRule type="cellIs" dxfId="2537" priority="4294" operator="equal">
      <formula>0</formula>
    </cfRule>
  </conditionalFormatting>
  <conditionalFormatting sqref="V124:V129">
    <cfRule type="cellIs" dxfId="2536" priority="4291" operator="lessThan">
      <formula>0</formula>
    </cfRule>
    <cfRule type="cellIs" dxfId="2535" priority="4292" operator="equal">
      <formula>0</formula>
    </cfRule>
  </conditionalFormatting>
  <conditionalFormatting sqref="V130:V135">
    <cfRule type="cellIs" dxfId="2534" priority="4289" operator="lessThan">
      <formula>0</formula>
    </cfRule>
    <cfRule type="cellIs" dxfId="2533" priority="4290" operator="equal">
      <formula>0</formula>
    </cfRule>
  </conditionalFormatting>
  <conditionalFormatting sqref="V136:V141">
    <cfRule type="cellIs" dxfId="2532" priority="4287" operator="lessThan">
      <formula>0</formula>
    </cfRule>
    <cfRule type="cellIs" dxfId="2531" priority="4288" operator="equal">
      <formula>0</formula>
    </cfRule>
  </conditionalFormatting>
  <conditionalFormatting sqref="V142:V147">
    <cfRule type="cellIs" dxfId="2530" priority="4285" operator="lessThan">
      <formula>0</formula>
    </cfRule>
    <cfRule type="cellIs" dxfId="2529" priority="4286" operator="equal">
      <formula>0</formula>
    </cfRule>
  </conditionalFormatting>
  <conditionalFormatting sqref="V148:V153">
    <cfRule type="cellIs" dxfId="2528" priority="4283" operator="lessThan">
      <formula>0</formula>
    </cfRule>
    <cfRule type="cellIs" dxfId="2527" priority="4284" operator="equal">
      <formula>0</formula>
    </cfRule>
  </conditionalFormatting>
  <conditionalFormatting sqref="V154:V159">
    <cfRule type="cellIs" dxfId="2526" priority="4281" operator="lessThan">
      <formula>0</formula>
    </cfRule>
    <cfRule type="cellIs" dxfId="2525" priority="4282" operator="equal">
      <formula>0</formula>
    </cfRule>
  </conditionalFormatting>
  <conditionalFormatting sqref="V160:V165">
    <cfRule type="cellIs" dxfId="2524" priority="4279" operator="lessThan">
      <formula>0</formula>
    </cfRule>
    <cfRule type="cellIs" dxfId="2523" priority="4280" operator="equal">
      <formula>0</formula>
    </cfRule>
  </conditionalFormatting>
  <conditionalFormatting sqref="V166:V171">
    <cfRule type="cellIs" dxfId="2522" priority="4277" operator="lessThan">
      <formula>0</formula>
    </cfRule>
    <cfRule type="cellIs" dxfId="2521" priority="4278" operator="equal">
      <formula>0</formula>
    </cfRule>
  </conditionalFormatting>
  <conditionalFormatting sqref="W75">
    <cfRule type="cellIs" dxfId="2520" priority="4236" operator="equal">
      <formula>0</formula>
    </cfRule>
    <cfRule type="cellIs" dxfId="2519" priority="4237" operator="greaterThan">
      <formula>W74</formula>
    </cfRule>
  </conditionalFormatting>
  <conditionalFormatting sqref="W81">
    <cfRule type="cellIs" dxfId="2518" priority="4234" operator="equal">
      <formula>0</formula>
    </cfRule>
    <cfRule type="cellIs" dxfId="2517" priority="4235" operator="greaterThan">
      <formula>W80</formula>
    </cfRule>
  </conditionalFormatting>
  <conditionalFormatting sqref="V45:V56">
    <cfRule type="cellIs" dxfId="2516" priority="2555" operator="lessThan">
      <formula>0</formula>
    </cfRule>
    <cfRule type="cellIs" dxfId="2515" priority="2556" operator="equal">
      <formula>0</formula>
    </cfRule>
  </conditionalFormatting>
  <conditionalFormatting sqref="G30">
    <cfRule type="cellIs" dxfId="2514" priority="2536" operator="lessThan">
      <formula>0</formula>
    </cfRule>
  </conditionalFormatting>
  <conditionalFormatting sqref="D30">
    <cfRule type="expression" dxfId="2513" priority="2534">
      <formula>E30&gt;B30</formula>
    </cfRule>
  </conditionalFormatting>
  <conditionalFormatting sqref="C30">
    <cfRule type="expression" dxfId="2512" priority="2533">
      <formula>B30&gt;E30</formula>
    </cfRule>
  </conditionalFormatting>
  <conditionalFormatting sqref="G31">
    <cfRule type="cellIs" dxfId="2511" priority="2527" operator="lessThan">
      <formula>0</formula>
    </cfRule>
  </conditionalFormatting>
  <conditionalFormatting sqref="G32">
    <cfRule type="cellIs" dxfId="2510" priority="2471" operator="lessThan">
      <formula>0</formula>
    </cfRule>
  </conditionalFormatting>
  <conditionalFormatting sqref="G33">
    <cfRule type="cellIs" dxfId="2509" priority="2465" operator="lessThan">
      <formula>0</formula>
    </cfRule>
  </conditionalFormatting>
  <conditionalFormatting sqref="G34 G36 G38 G40 G45 G47 G49 G51 G53 G55">
    <cfRule type="cellIs" dxfId="2508" priority="2457" operator="lessThan">
      <formula>0</formula>
    </cfRule>
  </conditionalFormatting>
  <conditionalFormatting sqref="G35 G37 G39 G41 G46 G48 G50 G52 G54 G56">
    <cfRule type="cellIs" dxfId="2507" priority="2451" operator="lessThan">
      <formula>0</formula>
    </cfRule>
  </conditionalFormatting>
  <conditionalFormatting sqref="D31">
    <cfRule type="expression" dxfId="2506" priority="2327">
      <formula>E31&gt;B31</formula>
    </cfRule>
  </conditionalFormatting>
  <conditionalFormatting sqref="C31">
    <cfRule type="expression" dxfId="2505" priority="2326">
      <formula>B31&gt;E31</formula>
    </cfRule>
  </conditionalFormatting>
  <conditionalFormatting sqref="D32 D34 D36 D38 D40 D45 D47 D49 D51 D53 D55">
    <cfRule type="expression" dxfId="2504" priority="2325">
      <formula>E32&gt;B32</formula>
    </cfRule>
  </conditionalFormatting>
  <conditionalFormatting sqref="C32 C34 C36 C38 C40 C45 C47 C49 C51 C53 C55">
    <cfRule type="expression" dxfId="2503" priority="2324">
      <formula>B32&gt;E32</formula>
    </cfRule>
  </conditionalFormatting>
  <conditionalFormatting sqref="D33 D35 D37 D39 D41 D46 D48 D50 D52 D54 D56">
    <cfRule type="expression" dxfId="2502" priority="2323">
      <formula>E33&gt;B33</formula>
    </cfRule>
  </conditionalFormatting>
  <conditionalFormatting sqref="C33 C35 C37 C39 C41 C46 C48 C50 C52 C54 C56">
    <cfRule type="expression" dxfId="2501" priority="2322">
      <formula>B33&gt;E33</formula>
    </cfRule>
  </conditionalFormatting>
  <conditionalFormatting sqref="Y30:Y34 Y37:Y41">
    <cfRule type="cellIs" dxfId="2500" priority="2279" operator="equal">
      <formula>0</formula>
    </cfRule>
  </conditionalFormatting>
  <conditionalFormatting sqref="AA15 AA19">
    <cfRule type="expression" dxfId="2499" priority="17822">
      <formula>IF($Y26&gt;$Y15,AND(MID($A15,5,1)="D"))</formula>
    </cfRule>
    <cfRule type="expression" dxfId="2498" priority="17823">
      <formula>IF($Y26&gt;$Y15,AND(MID($A15,5,1)="C"))</formula>
    </cfRule>
    <cfRule type="cellIs" dxfId="2497" priority="17824" operator="equal">
      <formula>0</formula>
    </cfRule>
  </conditionalFormatting>
  <conditionalFormatting sqref="AA17 AA21">
    <cfRule type="expression" dxfId="2496" priority="17828">
      <formula>IF($Y26&gt;$Y15,AND(MID($A26,5,1)="D"))</formula>
    </cfRule>
    <cfRule type="expression" dxfId="2495" priority="17829">
      <formula>IF($Y26&gt;$Y15,AND(MID($A26,5,1)="C"))</formula>
    </cfRule>
    <cfRule type="cellIs" dxfId="2494" priority="17830" operator="equal">
      <formula>0</formula>
    </cfRule>
  </conditionalFormatting>
  <conditionalFormatting sqref="W22:W29">
    <cfRule type="cellIs" dxfId="2493" priority="2232" operator="equal">
      <formula>0</formula>
    </cfRule>
  </conditionalFormatting>
  <conditionalFormatting sqref="W27 W23">
    <cfRule type="cellIs" dxfId="2492" priority="2046" operator="equal">
      <formula>"STOP"</formula>
    </cfRule>
    <cfRule type="cellIs" dxfId="2491" priority="2047" operator="equal">
      <formula>"TRAILING"</formula>
    </cfRule>
  </conditionalFormatting>
  <conditionalFormatting sqref="X60">
    <cfRule type="cellIs" dxfId="2490" priority="2167" operator="equal">
      <formula>0</formula>
    </cfRule>
    <cfRule type="expression" dxfId="2489" priority="2168">
      <formula>F60*100&lt;X60</formula>
    </cfRule>
    <cfRule type="expression" dxfId="2488" priority="2169">
      <formula>X60&lt;F60*100</formula>
    </cfRule>
  </conditionalFormatting>
  <conditionalFormatting sqref="X61">
    <cfRule type="cellIs" dxfId="2487" priority="2164" operator="equal">
      <formula>0</formula>
    </cfRule>
    <cfRule type="expression" dxfId="2486" priority="2165">
      <formula>F61*100&lt;X61</formula>
    </cfRule>
    <cfRule type="expression" dxfId="2485" priority="2166">
      <formula>X61&lt;F61*100</formula>
    </cfRule>
  </conditionalFormatting>
  <conditionalFormatting sqref="W60:W61">
    <cfRule type="cellIs" dxfId="2484" priority="2163" operator="equal">
      <formula>0</formula>
    </cfRule>
  </conditionalFormatting>
  <conditionalFormatting sqref="W60">
    <cfRule type="containsText" dxfId="2483" priority="2161" operator="containsText" text="STOP">
      <formula>NOT(ISERROR(SEARCH("STOP",W60)))</formula>
    </cfRule>
    <cfRule type="containsText" dxfId="2482" priority="2162" operator="containsText" text="TRAILING">
      <formula>NOT(ISERROR(SEARCH("TRAILING",W60)))</formula>
    </cfRule>
  </conditionalFormatting>
  <conditionalFormatting sqref="W61">
    <cfRule type="containsText" dxfId="2481" priority="2159" operator="containsText" text="STOP">
      <formula>NOT(ISERROR(SEARCH("STOP",W61)))</formula>
    </cfRule>
    <cfRule type="containsText" dxfId="2480" priority="2160" operator="containsText" text="TRAILING">
      <formula>NOT(ISERROR(SEARCH("TRAILING",W61)))</formula>
    </cfRule>
  </conditionalFormatting>
  <conditionalFormatting sqref="V42:V43">
    <cfRule type="cellIs" dxfId="2479" priority="2156" operator="lessThan">
      <formula>0</formula>
    </cfRule>
    <cfRule type="cellIs" dxfId="2478" priority="2157" operator="equal">
      <formula>0</formula>
    </cfRule>
  </conditionalFormatting>
  <conditionalFormatting sqref="G43">
    <cfRule type="cellIs" dxfId="2477" priority="2153" operator="lessThan">
      <formula>0</formula>
    </cfRule>
  </conditionalFormatting>
  <conditionalFormatting sqref="G42">
    <cfRule type="cellIs" dxfId="2476" priority="2151" operator="lessThan">
      <formula>0</formula>
    </cfRule>
  </conditionalFormatting>
  <conditionalFormatting sqref="D43">
    <cfRule type="expression" dxfId="2475" priority="2149">
      <formula>E43&gt;B43</formula>
    </cfRule>
  </conditionalFormatting>
  <conditionalFormatting sqref="C43">
    <cfRule type="expression" dxfId="2474" priority="2148">
      <formula>B43&gt;E43</formula>
    </cfRule>
  </conditionalFormatting>
  <conditionalFormatting sqref="D42">
    <cfRule type="expression" dxfId="2473" priority="2147">
      <formula>E42&gt;B42</formula>
    </cfRule>
  </conditionalFormatting>
  <conditionalFormatting sqref="C42">
    <cfRule type="expression" dxfId="2472" priority="2146">
      <formula>B42&gt;E42</formula>
    </cfRule>
  </conditionalFormatting>
  <conditionalFormatting sqref="V57:V59">
    <cfRule type="cellIs" dxfId="2471" priority="2127" operator="lessThan">
      <formula>0</formula>
    </cfRule>
    <cfRule type="cellIs" dxfId="2470" priority="2128" operator="equal">
      <formula>0</formula>
    </cfRule>
  </conditionalFormatting>
  <conditionalFormatting sqref="G58">
    <cfRule type="cellIs" dxfId="2469" priority="2124" operator="lessThan">
      <formula>0</formula>
    </cfRule>
  </conditionalFormatting>
  <conditionalFormatting sqref="G57 G59">
    <cfRule type="cellIs" dxfId="2468" priority="2122" operator="lessThan">
      <formula>0</formula>
    </cfRule>
  </conditionalFormatting>
  <conditionalFormatting sqref="D58">
    <cfRule type="expression" dxfId="2467" priority="2120">
      <formula>E58&gt;B58</formula>
    </cfRule>
  </conditionalFormatting>
  <conditionalFormatting sqref="C58">
    <cfRule type="expression" dxfId="2466" priority="2119">
      <formula>B58&gt;E58</formula>
    </cfRule>
  </conditionalFormatting>
  <conditionalFormatting sqref="D57 D59">
    <cfRule type="expression" dxfId="2465" priority="2118">
      <formula>E57&gt;B57</formula>
    </cfRule>
  </conditionalFormatting>
  <conditionalFormatting sqref="C57 C59">
    <cfRule type="expression" dxfId="2464" priority="2117">
      <formula>B57&gt;E57</formula>
    </cfRule>
  </conditionalFormatting>
  <conditionalFormatting sqref="B45">
    <cfRule type="cellIs" dxfId="2463" priority="2098" operator="greaterThan">
      <formula>E45</formula>
    </cfRule>
  </conditionalFormatting>
  <conditionalFormatting sqref="B46">
    <cfRule type="cellIs" dxfId="2462" priority="2097" operator="greaterThan">
      <formula>E46</formula>
    </cfRule>
  </conditionalFormatting>
  <conditionalFormatting sqref="B47 B49 B51 B53 B55 B57 B59">
    <cfRule type="cellIs" dxfId="2461" priority="2096" operator="greaterThan">
      <formula>E47</formula>
    </cfRule>
  </conditionalFormatting>
  <conditionalFormatting sqref="B48 B50 B52 B54 B56 B58">
    <cfRule type="cellIs" dxfId="2460" priority="2095" operator="greaterThan">
      <formula>E48</formula>
    </cfRule>
  </conditionalFormatting>
  <conditionalFormatting sqref="E45">
    <cfRule type="cellIs" dxfId="2459" priority="2094" operator="greaterThan">
      <formula>B45</formula>
    </cfRule>
  </conditionalFormatting>
  <conditionalFormatting sqref="E46">
    <cfRule type="cellIs" dxfId="2458" priority="2093" operator="greaterThan">
      <formula>B46</formula>
    </cfRule>
  </conditionalFormatting>
  <conditionalFormatting sqref="E47 E49 E51 E55 E57 E59">
    <cfRule type="cellIs" dxfId="2457" priority="2092" operator="greaterThan">
      <formula>B47</formula>
    </cfRule>
  </conditionalFormatting>
  <conditionalFormatting sqref="E48 E50 E52 E54 E56 E58">
    <cfRule type="cellIs" dxfId="2456" priority="2091" operator="greaterThan">
      <formula>B48</formula>
    </cfRule>
  </conditionalFormatting>
  <conditionalFormatting sqref="E53">
    <cfRule type="cellIs" dxfId="2455" priority="2090" operator="greaterThan">
      <formula>H53</formula>
    </cfRule>
  </conditionalFormatting>
  <conditionalFormatting sqref="B30">
    <cfRule type="cellIs" dxfId="2454" priority="2089" operator="greaterThan">
      <formula>E30</formula>
    </cfRule>
  </conditionalFormatting>
  <conditionalFormatting sqref="B31">
    <cfRule type="cellIs" dxfId="2453" priority="2088" operator="greaterThan">
      <formula>E31</formula>
    </cfRule>
  </conditionalFormatting>
  <conditionalFormatting sqref="B32 B34 B36 B38 B40 B42">
    <cfRule type="cellIs" dxfId="2452" priority="2087" operator="greaterThan">
      <formula>E32</formula>
    </cfRule>
  </conditionalFormatting>
  <conditionalFormatting sqref="B33 B35 B37 B39 B41 B43">
    <cfRule type="cellIs" dxfId="2451" priority="2086" operator="greaterThan">
      <formula>E33</formula>
    </cfRule>
  </conditionalFormatting>
  <conditionalFormatting sqref="E30">
    <cfRule type="cellIs" dxfId="2450" priority="2085" operator="greaterThan">
      <formula>B30</formula>
    </cfRule>
  </conditionalFormatting>
  <conditionalFormatting sqref="E31">
    <cfRule type="cellIs" dxfId="2449" priority="2084" operator="greaterThan">
      <formula>B31</formula>
    </cfRule>
  </conditionalFormatting>
  <conditionalFormatting sqref="E32 E34 E36 E40 E42">
    <cfRule type="cellIs" dxfId="2448" priority="2083" operator="greaterThan">
      <formula>B32</formula>
    </cfRule>
  </conditionalFormatting>
  <conditionalFormatting sqref="E33 E35 E37 E39 E41 E43">
    <cfRule type="cellIs" dxfId="2447" priority="2082" operator="greaterThan">
      <formula>B33</formula>
    </cfRule>
  </conditionalFormatting>
  <conditionalFormatting sqref="E38">
    <cfRule type="cellIs" dxfId="2446" priority="2081" operator="greaterThan">
      <formula>H38</formula>
    </cfRule>
  </conditionalFormatting>
  <conditionalFormatting sqref="M45:M59">
    <cfRule type="dataBar" priority="20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3">
    <cfRule type="dataBar" priority="20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2445" priority="2070" operator="equal">
      <formula>0</formula>
    </cfRule>
    <cfRule type="expression" dxfId="2444" priority="2071">
      <formula>G35*100&lt;Y35</formula>
    </cfRule>
    <cfRule type="expression" dxfId="2443" priority="2072">
      <formula>Y35&lt;G35*100</formula>
    </cfRule>
  </conditionalFormatting>
  <conditionalFormatting sqref="Y36:Z36">
    <cfRule type="cellIs" dxfId="2441" priority="2064" operator="equal">
      <formula>0</formula>
    </cfRule>
  </conditionalFormatting>
  <conditionalFormatting sqref="Y43:Z43">
    <cfRule type="cellIs" dxfId="2440" priority="2056" operator="equal">
      <formula>0</formula>
    </cfRule>
    <cfRule type="expression" dxfId="2439" priority="2057">
      <formula>G43*100&lt;Y43</formula>
    </cfRule>
    <cfRule type="expression" dxfId="2438" priority="2058">
      <formula>Y43&lt;G43*100</formula>
    </cfRule>
  </conditionalFormatting>
  <conditionalFormatting sqref="Y42:Z42">
    <cfRule type="cellIs" dxfId="2437" priority="2053" operator="equal">
      <formula>0</formula>
    </cfRule>
    <cfRule type="expression" dxfId="2436" priority="2054">
      <formula>G42*100&lt;Y42</formula>
    </cfRule>
    <cfRule type="expression" dxfId="2435" priority="2055">
      <formula>Y42&lt;G42*100</formula>
    </cfRule>
  </conditionalFormatting>
  <conditionalFormatting sqref="W26 W22">
    <cfRule type="cellIs" dxfId="2434" priority="2040" operator="equal">
      <formula>"STOP"</formula>
    </cfRule>
    <cfRule type="cellIs" dxfId="2433" priority="2041" operator="equal">
      <formula>"TRAILING"</formula>
    </cfRule>
  </conditionalFormatting>
  <conditionalFormatting sqref="W29 W25">
    <cfRule type="cellIs" dxfId="2432" priority="2038" operator="equal">
      <formula>"STOP"</formula>
    </cfRule>
    <cfRule type="cellIs" dxfId="2431" priority="2039" operator="equal">
      <formula>"TRAILING"</formula>
    </cfRule>
  </conditionalFormatting>
  <conditionalFormatting sqref="W28 W24">
    <cfRule type="cellIs" dxfId="2430" priority="2036" operator="equal">
      <formula>"STOP"</formula>
    </cfRule>
    <cfRule type="cellIs" dxfId="2429" priority="2037" operator="equal">
      <formula>"TRAILING"</formula>
    </cfRule>
  </conditionalFormatting>
  <conditionalFormatting sqref="W29 W25">
    <cfRule type="cellIs" dxfId="2428" priority="1997" operator="equal">
      <formula>"STOP"</formula>
    </cfRule>
    <cfRule type="cellIs" dxfId="2427" priority="1998" operator="equal">
      <formula>"TRAILING"</formula>
    </cfRule>
  </conditionalFormatting>
  <conditionalFormatting sqref="W28 W24">
    <cfRule type="cellIs" dxfId="2426" priority="1995" operator="equal">
      <formula>"STOP"</formula>
    </cfRule>
    <cfRule type="cellIs" dxfId="2425" priority="1996" operator="equal">
      <formula>"TRAILING"</formula>
    </cfRule>
  </conditionalFormatting>
  <conditionalFormatting sqref="W30:W31">
    <cfRule type="cellIs" dxfId="2424" priority="1978" operator="equal">
      <formula>0</formula>
    </cfRule>
  </conditionalFormatting>
  <conditionalFormatting sqref="W31">
    <cfRule type="cellIs" dxfId="2423" priority="1976" operator="equal">
      <formula>"STOP"</formula>
    </cfRule>
    <cfRule type="cellIs" dxfId="2422" priority="1977" operator="equal">
      <formula>"TRAILING"</formula>
    </cfRule>
  </conditionalFormatting>
  <conditionalFormatting sqref="W30">
    <cfRule type="cellIs" dxfId="2421" priority="1974" operator="equal">
      <formula>"STOP"</formula>
    </cfRule>
    <cfRule type="cellIs" dxfId="2420" priority="1975" operator="equal">
      <formula>"TRAILING"</formula>
    </cfRule>
  </conditionalFormatting>
  <conditionalFormatting sqref="W31">
    <cfRule type="cellIs" dxfId="2419" priority="1972" operator="equal">
      <formula>"STOP"</formula>
    </cfRule>
    <cfRule type="cellIs" dxfId="2418" priority="1973" operator="equal">
      <formula>"TRAILING"</formula>
    </cfRule>
  </conditionalFormatting>
  <conditionalFormatting sqref="W30">
    <cfRule type="cellIs" dxfId="2417" priority="1970" operator="equal">
      <formula>"STOP"</formula>
    </cfRule>
    <cfRule type="cellIs" dxfId="2416" priority="1971" operator="equal">
      <formula>"TRAILING"</formula>
    </cfRule>
  </conditionalFormatting>
  <conditionalFormatting sqref="W32:W33">
    <cfRule type="cellIs" dxfId="2415" priority="1969" operator="equal">
      <formula>0</formula>
    </cfRule>
  </conditionalFormatting>
  <conditionalFormatting sqref="W33">
    <cfRule type="cellIs" dxfId="2414" priority="1967" operator="equal">
      <formula>"STOP"</formula>
    </cfRule>
    <cfRule type="cellIs" dxfId="2413" priority="1968" operator="equal">
      <formula>"TRAILING"</formula>
    </cfRule>
  </conditionalFormatting>
  <conditionalFormatting sqref="W32">
    <cfRule type="cellIs" dxfId="2412" priority="1965" operator="equal">
      <formula>"STOP"</formula>
    </cfRule>
    <cfRule type="cellIs" dxfId="2411" priority="1966" operator="equal">
      <formula>"TRAILING"</formula>
    </cfRule>
  </conditionalFormatting>
  <conditionalFormatting sqref="W33">
    <cfRule type="cellIs" dxfId="2410" priority="1963" operator="equal">
      <formula>"STOP"</formula>
    </cfRule>
    <cfRule type="cellIs" dxfId="2409" priority="1964" operator="equal">
      <formula>"TRAILING"</formula>
    </cfRule>
  </conditionalFormatting>
  <conditionalFormatting sqref="W32">
    <cfRule type="cellIs" dxfId="2408" priority="1961" operator="equal">
      <formula>"STOP"</formula>
    </cfRule>
    <cfRule type="cellIs" dxfId="2407" priority="1962" operator="equal">
      <formula>"TRAILING"</formula>
    </cfRule>
  </conditionalFormatting>
  <conditionalFormatting sqref="W34:W35">
    <cfRule type="cellIs" dxfId="2406" priority="1960" operator="equal">
      <formula>0</formula>
    </cfRule>
  </conditionalFormatting>
  <conditionalFormatting sqref="W35">
    <cfRule type="cellIs" dxfId="2405" priority="1958" operator="equal">
      <formula>"STOP"</formula>
    </cfRule>
    <cfRule type="cellIs" dxfId="2404" priority="1959" operator="equal">
      <formula>"TRAILING"</formula>
    </cfRule>
  </conditionalFormatting>
  <conditionalFormatting sqref="W34">
    <cfRule type="cellIs" dxfId="2403" priority="1956" operator="equal">
      <formula>"STOP"</formula>
    </cfRule>
    <cfRule type="cellIs" dxfId="2402" priority="1957" operator="equal">
      <formula>"TRAILING"</formula>
    </cfRule>
  </conditionalFormatting>
  <conditionalFormatting sqref="W35">
    <cfRule type="cellIs" dxfId="2401" priority="1954" operator="equal">
      <formula>"STOP"</formula>
    </cfRule>
    <cfRule type="cellIs" dxfId="2400" priority="1955" operator="equal">
      <formula>"TRAILING"</formula>
    </cfRule>
  </conditionalFormatting>
  <conditionalFormatting sqref="W34">
    <cfRule type="cellIs" dxfId="2399" priority="1952" operator="equal">
      <formula>"STOP"</formula>
    </cfRule>
    <cfRule type="cellIs" dxfId="2398" priority="1953" operator="equal">
      <formula>"TRAILING"</formula>
    </cfRule>
  </conditionalFormatting>
  <conditionalFormatting sqref="W36:W37">
    <cfRule type="cellIs" dxfId="2397" priority="1951" operator="equal">
      <formula>0</formula>
    </cfRule>
  </conditionalFormatting>
  <conditionalFormatting sqref="W37">
    <cfRule type="cellIs" dxfId="2396" priority="1949" operator="equal">
      <formula>"STOP"</formula>
    </cfRule>
    <cfRule type="cellIs" dxfId="2395" priority="1950" operator="equal">
      <formula>"TRAILING"</formula>
    </cfRule>
  </conditionalFormatting>
  <conditionalFormatting sqref="W36">
    <cfRule type="cellIs" dxfId="2394" priority="1947" operator="equal">
      <formula>"STOP"</formula>
    </cfRule>
    <cfRule type="cellIs" dxfId="2393" priority="1948" operator="equal">
      <formula>"TRAILING"</formula>
    </cfRule>
  </conditionalFormatting>
  <conditionalFormatting sqref="W37">
    <cfRule type="cellIs" dxfId="2392" priority="1945" operator="equal">
      <formula>"STOP"</formula>
    </cfRule>
    <cfRule type="cellIs" dxfId="2391" priority="1946" operator="equal">
      <formula>"TRAILING"</formula>
    </cfRule>
  </conditionalFormatting>
  <conditionalFormatting sqref="W36">
    <cfRule type="cellIs" dxfId="2390" priority="1943" operator="equal">
      <formula>"STOP"</formula>
    </cfRule>
    <cfRule type="cellIs" dxfId="2389" priority="1944" operator="equal">
      <formula>"TRAILING"</formula>
    </cfRule>
  </conditionalFormatting>
  <conditionalFormatting sqref="W38:W39">
    <cfRule type="cellIs" dxfId="2388" priority="1942" operator="equal">
      <formula>0</formula>
    </cfRule>
  </conditionalFormatting>
  <conditionalFormatting sqref="W39">
    <cfRule type="cellIs" dxfId="2387" priority="1940" operator="equal">
      <formula>"STOP"</formula>
    </cfRule>
    <cfRule type="cellIs" dxfId="2386" priority="1941" operator="equal">
      <formula>"TRAILING"</formula>
    </cfRule>
  </conditionalFormatting>
  <conditionalFormatting sqref="W38">
    <cfRule type="cellIs" dxfId="2385" priority="1938" operator="equal">
      <formula>"STOP"</formula>
    </cfRule>
    <cfRule type="cellIs" dxfId="2384" priority="1939" operator="equal">
      <formula>"TRAILING"</formula>
    </cfRule>
  </conditionalFormatting>
  <conditionalFormatting sqref="W39">
    <cfRule type="cellIs" dxfId="2383" priority="1936" operator="equal">
      <formula>"STOP"</formula>
    </cfRule>
    <cfRule type="cellIs" dxfId="2382" priority="1937" operator="equal">
      <formula>"TRAILING"</formula>
    </cfRule>
  </conditionalFormatting>
  <conditionalFormatting sqref="W38">
    <cfRule type="cellIs" dxfId="2381" priority="1934" operator="equal">
      <formula>"STOP"</formula>
    </cfRule>
    <cfRule type="cellIs" dxfId="2380" priority="1935" operator="equal">
      <formula>"TRAILING"</formula>
    </cfRule>
  </conditionalFormatting>
  <conditionalFormatting sqref="W40:W41">
    <cfRule type="cellIs" dxfId="2379" priority="1933" operator="equal">
      <formula>0</formula>
    </cfRule>
  </conditionalFormatting>
  <conditionalFormatting sqref="W41">
    <cfRule type="cellIs" dxfId="2378" priority="1931" operator="equal">
      <formula>"STOP"</formula>
    </cfRule>
    <cfRule type="cellIs" dxfId="2377" priority="1932" operator="equal">
      <formula>"TRAILING"</formula>
    </cfRule>
  </conditionalFormatting>
  <conditionalFormatting sqref="W40">
    <cfRule type="cellIs" dxfId="2376" priority="1929" operator="equal">
      <formula>"STOP"</formula>
    </cfRule>
    <cfRule type="cellIs" dxfId="2375" priority="1930" operator="equal">
      <formula>"TRAILING"</formula>
    </cfRule>
  </conditionalFormatting>
  <conditionalFormatting sqref="W41">
    <cfRule type="cellIs" dxfId="2374" priority="1927" operator="equal">
      <formula>"STOP"</formula>
    </cfRule>
    <cfRule type="cellIs" dxfId="2373" priority="1928" operator="equal">
      <formula>"TRAILING"</formula>
    </cfRule>
  </conditionalFormatting>
  <conditionalFormatting sqref="W40">
    <cfRule type="cellIs" dxfId="2372" priority="1925" operator="equal">
      <formula>"STOP"</formula>
    </cfRule>
    <cfRule type="cellIs" dxfId="2371" priority="1926" operator="equal">
      <formula>"TRAILING"</formula>
    </cfRule>
  </conditionalFormatting>
  <conditionalFormatting sqref="W42:W43">
    <cfRule type="cellIs" dxfId="2370" priority="1924" operator="equal">
      <formula>0</formula>
    </cfRule>
  </conditionalFormatting>
  <conditionalFormatting sqref="W43">
    <cfRule type="cellIs" dxfId="2369" priority="1922" operator="equal">
      <formula>"STOP"</formula>
    </cfRule>
    <cfRule type="cellIs" dxfId="2368" priority="1923" operator="equal">
      <formula>"TRAILING"</formula>
    </cfRule>
  </conditionalFormatting>
  <conditionalFormatting sqref="W42">
    <cfRule type="cellIs" dxfId="2367" priority="1920" operator="equal">
      <formula>"STOP"</formula>
    </cfRule>
    <cfRule type="cellIs" dxfId="2366" priority="1921" operator="equal">
      <formula>"TRAILING"</formula>
    </cfRule>
  </conditionalFormatting>
  <conditionalFormatting sqref="W43">
    <cfRule type="cellIs" dxfId="2365" priority="1918" operator="equal">
      <formula>"STOP"</formula>
    </cfRule>
    <cfRule type="cellIs" dxfId="2364" priority="1919" operator="equal">
      <formula>"TRAILING"</formula>
    </cfRule>
  </conditionalFormatting>
  <conditionalFormatting sqref="W42">
    <cfRule type="cellIs" dxfId="2363" priority="1916" operator="equal">
      <formula>"STOP"</formula>
    </cfRule>
    <cfRule type="cellIs" dxfId="2362" priority="1917" operator="equal">
      <formula>"TRAILING"</formula>
    </cfRule>
  </conditionalFormatting>
  <conditionalFormatting sqref="X26 X22">
    <cfRule type="expression" dxfId="2356" priority="1750">
      <formula>X22*100&lt;C22</formula>
    </cfRule>
    <cfRule type="cellIs" dxfId="2355" priority="1751" operator="equal">
      <formula>0</formula>
    </cfRule>
  </conditionalFormatting>
  <conditionalFormatting sqref="X27 X23">
    <cfRule type="expression" dxfId="2354" priority="1748">
      <formula>X23*100&lt;C23</formula>
    </cfRule>
    <cfRule type="cellIs" dxfId="2353" priority="1749" operator="equal">
      <formula>0</formula>
    </cfRule>
  </conditionalFormatting>
  <conditionalFormatting sqref="X28 X24">
    <cfRule type="expression" dxfId="2352" priority="1746">
      <formula>X24*100&lt;C24</formula>
    </cfRule>
    <cfRule type="cellIs" dxfId="2351" priority="1747" operator="equal">
      <formula>0</formula>
    </cfRule>
  </conditionalFormatting>
  <conditionalFormatting sqref="X29 X25">
    <cfRule type="expression" dxfId="2350" priority="1744">
      <formula>X25*100&lt;C25</formula>
    </cfRule>
    <cfRule type="cellIs" dxfId="2349" priority="1745" operator="equal">
      <formula>0</formula>
    </cfRule>
  </conditionalFormatting>
  <conditionalFormatting sqref="X64">
    <cfRule type="expression" dxfId="2348" priority="1646">
      <formula>X64*100&lt;C64</formula>
    </cfRule>
    <cfRule type="cellIs" dxfId="2347" priority="1647" operator="equal">
      <formula>0</formula>
    </cfRule>
  </conditionalFormatting>
  <conditionalFormatting sqref="X65">
    <cfRule type="expression" dxfId="2346" priority="1644">
      <formula>X65*100&lt;C65</formula>
    </cfRule>
    <cfRule type="cellIs" dxfId="2345" priority="1645" operator="equal">
      <formula>0</formula>
    </cfRule>
  </conditionalFormatting>
  <conditionalFormatting sqref="X66">
    <cfRule type="expression" dxfId="2344" priority="1642">
      <formula>X66*100&lt;C66</formula>
    </cfRule>
    <cfRule type="cellIs" dxfId="2343" priority="1643" operator="equal">
      <formula>0</formula>
    </cfRule>
  </conditionalFormatting>
  <conditionalFormatting sqref="X67">
    <cfRule type="expression" dxfId="2342" priority="1640">
      <formula>X67*100&lt;C67</formula>
    </cfRule>
    <cfRule type="cellIs" dxfId="2341" priority="1641" operator="equal">
      <formula>0</formula>
    </cfRule>
  </conditionalFormatting>
  <conditionalFormatting sqref="X68">
    <cfRule type="expression" dxfId="2340" priority="1638">
      <formula>X68*100&lt;C68</formula>
    </cfRule>
    <cfRule type="cellIs" dxfId="2339" priority="1639" operator="equal">
      <formula>0</formula>
    </cfRule>
  </conditionalFormatting>
  <conditionalFormatting sqref="X69">
    <cfRule type="expression" dxfId="2338" priority="1636">
      <formula>X69*100&lt;C69</formula>
    </cfRule>
    <cfRule type="cellIs" dxfId="2337" priority="1637" operator="equal">
      <formula>0</formula>
    </cfRule>
  </conditionalFormatting>
  <conditionalFormatting sqref="X70">
    <cfRule type="expression" dxfId="2336" priority="1634">
      <formula>X70*100&lt;C70</formula>
    </cfRule>
    <cfRule type="cellIs" dxfId="2335" priority="1635" operator="equal">
      <formula>0</formula>
    </cfRule>
  </conditionalFormatting>
  <conditionalFormatting sqref="X71">
    <cfRule type="expression" dxfId="2334" priority="1632">
      <formula>X71*100&lt;C71</formula>
    </cfRule>
    <cfRule type="cellIs" dxfId="2333" priority="1633" operator="equal">
      <formula>0</formula>
    </cfRule>
  </conditionalFormatting>
  <conditionalFormatting sqref="X72">
    <cfRule type="expression" dxfId="2332" priority="1630">
      <formula>X72*100&lt;C72</formula>
    </cfRule>
    <cfRule type="cellIs" dxfId="2331" priority="1631" operator="equal">
      <formula>0</formula>
    </cfRule>
  </conditionalFormatting>
  <conditionalFormatting sqref="X73">
    <cfRule type="expression" dxfId="2330" priority="1628">
      <formula>X73*100&lt;C73</formula>
    </cfRule>
    <cfRule type="cellIs" dxfId="2329" priority="1629" operator="equal">
      <formula>0</formula>
    </cfRule>
  </conditionalFormatting>
  <conditionalFormatting sqref="X74">
    <cfRule type="expression" dxfId="2328" priority="1626">
      <formula>X74*100&lt;C74</formula>
    </cfRule>
    <cfRule type="cellIs" dxfId="2327" priority="1627" operator="equal">
      <formula>0</formula>
    </cfRule>
  </conditionalFormatting>
  <conditionalFormatting sqref="X75">
    <cfRule type="expression" dxfId="2326" priority="1624">
      <formula>X75*100&lt;C75</formula>
    </cfRule>
    <cfRule type="cellIs" dxfId="2325" priority="1625" operator="equal">
      <formula>0</formula>
    </cfRule>
  </conditionalFormatting>
  <conditionalFormatting sqref="X76">
    <cfRule type="expression" dxfId="2324" priority="1622">
      <formula>X76*100&lt;C76</formula>
    </cfRule>
    <cfRule type="cellIs" dxfId="2323" priority="1623" operator="equal">
      <formula>0</formula>
    </cfRule>
  </conditionalFormatting>
  <conditionalFormatting sqref="X77">
    <cfRule type="expression" dxfId="2322" priority="1620">
      <formula>X77*100&lt;C77</formula>
    </cfRule>
    <cfRule type="cellIs" dxfId="2321" priority="1621" operator="equal">
      <formula>0</formula>
    </cfRule>
  </conditionalFormatting>
  <conditionalFormatting sqref="X78">
    <cfRule type="expression" dxfId="2320" priority="1618">
      <formula>X78*100&lt;C78</formula>
    </cfRule>
    <cfRule type="cellIs" dxfId="2319" priority="1619" operator="equal">
      <formula>0</formula>
    </cfRule>
  </conditionalFormatting>
  <conditionalFormatting sqref="X79">
    <cfRule type="expression" dxfId="2318" priority="1616">
      <formula>X79*100&lt;C79</formula>
    </cfRule>
    <cfRule type="cellIs" dxfId="2317" priority="1617" operator="equal">
      <formula>0</formula>
    </cfRule>
  </conditionalFormatting>
  <conditionalFormatting sqref="X80">
    <cfRule type="expression" dxfId="2316" priority="1614">
      <formula>X80*100&lt;C80</formula>
    </cfRule>
    <cfRule type="cellIs" dxfId="2315" priority="1615" operator="equal">
      <formula>0</formula>
    </cfRule>
  </conditionalFormatting>
  <conditionalFormatting sqref="X81">
    <cfRule type="expression" dxfId="2314" priority="1612">
      <formula>X81*100&lt;C81</formula>
    </cfRule>
    <cfRule type="cellIs" dxfId="2313" priority="1613" operator="equal">
      <formula>0</formula>
    </cfRule>
  </conditionalFormatting>
  <conditionalFormatting sqref="X82">
    <cfRule type="expression" dxfId="2312" priority="1610">
      <formula>X82*100&lt;C82</formula>
    </cfRule>
    <cfRule type="cellIs" dxfId="2311" priority="1611" operator="equal">
      <formula>0</formula>
    </cfRule>
  </conditionalFormatting>
  <conditionalFormatting sqref="X83">
    <cfRule type="expression" dxfId="2310" priority="1608">
      <formula>X83*100&lt;C83</formula>
    </cfRule>
    <cfRule type="cellIs" dxfId="2309" priority="1609" operator="equal">
      <formula>0</formula>
    </cfRule>
  </conditionalFormatting>
  <conditionalFormatting sqref="X84">
    <cfRule type="expression" dxfId="2308" priority="1606">
      <formula>X84*100&lt;C84</formula>
    </cfRule>
    <cfRule type="cellIs" dxfId="2307" priority="1607" operator="equal">
      <formula>0</formula>
    </cfRule>
  </conditionalFormatting>
  <conditionalFormatting sqref="X85">
    <cfRule type="expression" dxfId="2306" priority="1604">
      <formula>X85*100&lt;C85</formula>
    </cfRule>
    <cfRule type="cellIs" dxfId="2305" priority="1605" operator="equal">
      <formula>0</formula>
    </cfRule>
  </conditionalFormatting>
  <conditionalFormatting sqref="X86">
    <cfRule type="expression" dxfId="2304" priority="1602">
      <formula>X86*100&lt;C86</formula>
    </cfRule>
    <cfRule type="cellIs" dxfId="2303" priority="1603" operator="equal">
      <formula>0</formula>
    </cfRule>
  </conditionalFormatting>
  <conditionalFormatting sqref="X87">
    <cfRule type="expression" dxfId="2302" priority="1600">
      <formula>X87*100&lt;C87</formula>
    </cfRule>
    <cfRule type="cellIs" dxfId="2301" priority="1601" operator="equal">
      <formula>0</formula>
    </cfRule>
  </conditionalFormatting>
  <conditionalFormatting sqref="X88">
    <cfRule type="expression" dxfId="2300" priority="1598">
      <formula>X88*100&lt;C88</formula>
    </cfRule>
    <cfRule type="cellIs" dxfId="2299" priority="1599" operator="equal">
      <formula>0</formula>
    </cfRule>
  </conditionalFormatting>
  <conditionalFormatting sqref="X89">
    <cfRule type="expression" dxfId="2298" priority="1596">
      <formula>X89*100&lt;C89</formula>
    </cfRule>
    <cfRule type="cellIs" dxfId="2297" priority="1597" operator="equal">
      <formula>0</formula>
    </cfRule>
  </conditionalFormatting>
  <conditionalFormatting sqref="X90">
    <cfRule type="expression" dxfId="2296" priority="1594">
      <formula>X90*100&lt;C90</formula>
    </cfRule>
    <cfRule type="cellIs" dxfId="2295" priority="1595" operator="equal">
      <formula>0</formula>
    </cfRule>
  </conditionalFormatting>
  <conditionalFormatting sqref="X91">
    <cfRule type="expression" dxfId="2294" priority="1592">
      <formula>X91*100&lt;C91</formula>
    </cfRule>
    <cfRule type="cellIs" dxfId="2293" priority="1593" operator="equal">
      <formula>0</formula>
    </cfRule>
  </conditionalFormatting>
  <conditionalFormatting sqref="X92">
    <cfRule type="expression" dxfId="2292" priority="1590">
      <formula>X92*100&lt;C92</formula>
    </cfRule>
    <cfRule type="cellIs" dxfId="2291" priority="1591" operator="equal">
      <formula>0</formula>
    </cfRule>
  </conditionalFormatting>
  <conditionalFormatting sqref="X93">
    <cfRule type="expression" dxfId="2290" priority="1588">
      <formula>X93*100&lt;C93</formula>
    </cfRule>
    <cfRule type="cellIs" dxfId="2289" priority="1589" operator="equal">
      <formula>0</formula>
    </cfRule>
  </conditionalFormatting>
  <conditionalFormatting sqref="X94">
    <cfRule type="expression" dxfId="2288" priority="1586">
      <formula>X94*100&lt;C94</formula>
    </cfRule>
    <cfRule type="cellIs" dxfId="2287" priority="1587" operator="equal">
      <formula>0</formula>
    </cfRule>
  </conditionalFormatting>
  <conditionalFormatting sqref="X95">
    <cfRule type="expression" dxfId="2286" priority="1584">
      <formula>X95*100&lt;C95</formula>
    </cfRule>
    <cfRule type="cellIs" dxfId="2285" priority="1585" operator="equal">
      <formula>0</formula>
    </cfRule>
  </conditionalFormatting>
  <conditionalFormatting sqref="X96">
    <cfRule type="expression" dxfId="2284" priority="1582">
      <formula>X96*100&lt;C96</formula>
    </cfRule>
    <cfRule type="cellIs" dxfId="2283" priority="1583" operator="equal">
      <formula>0</formula>
    </cfRule>
  </conditionalFormatting>
  <conditionalFormatting sqref="X97">
    <cfRule type="expression" dxfId="2282" priority="1580">
      <formula>X97*100&lt;C97</formula>
    </cfRule>
    <cfRule type="cellIs" dxfId="2281" priority="1581" operator="equal">
      <formula>0</formula>
    </cfRule>
  </conditionalFormatting>
  <conditionalFormatting sqref="X98">
    <cfRule type="expression" dxfId="2280" priority="1578">
      <formula>X98*100&lt;C98</formula>
    </cfRule>
    <cfRule type="cellIs" dxfId="2279" priority="1579" operator="equal">
      <formula>0</formula>
    </cfRule>
  </conditionalFormatting>
  <conditionalFormatting sqref="X99">
    <cfRule type="expression" dxfId="2278" priority="1576">
      <formula>X99*100&lt;C99</formula>
    </cfRule>
    <cfRule type="cellIs" dxfId="2277" priority="1577" operator="equal">
      <formula>0</formula>
    </cfRule>
  </conditionalFormatting>
  <conditionalFormatting sqref="X100">
    <cfRule type="expression" dxfId="2276" priority="1574">
      <formula>X100*100&lt;C100</formula>
    </cfRule>
    <cfRule type="cellIs" dxfId="2275" priority="1575" operator="equal">
      <formula>0</formula>
    </cfRule>
  </conditionalFormatting>
  <conditionalFormatting sqref="X101">
    <cfRule type="expression" dxfId="2274" priority="1572">
      <formula>X101*100&lt;C101</formula>
    </cfRule>
    <cfRule type="cellIs" dxfId="2273" priority="1573" operator="equal">
      <formula>0</formula>
    </cfRule>
  </conditionalFormatting>
  <conditionalFormatting sqref="X102">
    <cfRule type="expression" dxfId="2272" priority="1570">
      <formula>X102*100&lt;C102</formula>
    </cfRule>
    <cfRule type="cellIs" dxfId="2271" priority="1571" operator="equal">
      <formula>0</formula>
    </cfRule>
  </conditionalFormatting>
  <conditionalFormatting sqref="X103">
    <cfRule type="expression" dxfId="2270" priority="1568">
      <formula>X103*100&lt;C103</formula>
    </cfRule>
    <cfRule type="cellIs" dxfId="2269" priority="1569" operator="equal">
      <formula>0</formula>
    </cfRule>
  </conditionalFormatting>
  <conditionalFormatting sqref="X104">
    <cfRule type="expression" dxfId="2268" priority="1566">
      <formula>X104*100&lt;C104</formula>
    </cfRule>
    <cfRule type="cellIs" dxfId="2267" priority="1567" operator="equal">
      <formula>0</formula>
    </cfRule>
  </conditionalFormatting>
  <conditionalFormatting sqref="X105">
    <cfRule type="expression" dxfId="2266" priority="1564">
      <formula>X105*100&lt;C105</formula>
    </cfRule>
    <cfRule type="cellIs" dxfId="2265" priority="1565" operator="equal">
      <formula>0</formula>
    </cfRule>
  </conditionalFormatting>
  <conditionalFormatting sqref="X106">
    <cfRule type="expression" dxfId="2264" priority="1562">
      <formula>X106*100&lt;C106</formula>
    </cfRule>
    <cfRule type="cellIs" dxfId="2263" priority="1563" operator="equal">
      <formula>0</formula>
    </cfRule>
  </conditionalFormatting>
  <conditionalFormatting sqref="X107">
    <cfRule type="expression" dxfId="2262" priority="1560">
      <formula>X107*100&lt;C107</formula>
    </cfRule>
    <cfRule type="cellIs" dxfId="2261" priority="1561" operator="equal">
      <formula>0</formula>
    </cfRule>
  </conditionalFormatting>
  <conditionalFormatting sqref="X108">
    <cfRule type="expression" dxfId="2260" priority="1558">
      <formula>X108*100&lt;C108</formula>
    </cfRule>
    <cfRule type="cellIs" dxfId="2259" priority="1559" operator="equal">
      <formula>0</formula>
    </cfRule>
  </conditionalFormatting>
  <conditionalFormatting sqref="X109">
    <cfRule type="expression" dxfId="2258" priority="1556">
      <formula>X109*100&lt;C109</formula>
    </cfRule>
    <cfRule type="cellIs" dxfId="2257" priority="1557" operator="equal">
      <formula>0</formula>
    </cfRule>
  </conditionalFormatting>
  <conditionalFormatting sqref="X110">
    <cfRule type="expression" dxfId="2256" priority="1554">
      <formula>X110*100&lt;C110</formula>
    </cfRule>
    <cfRule type="cellIs" dxfId="2255" priority="1555" operator="equal">
      <formula>0</formula>
    </cfRule>
  </conditionalFormatting>
  <conditionalFormatting sqref="X111">
    <cfRule type="expression" dxfId="2254" priority="1552">
      <formula>X111*100&lt;C111</formula>
    </cfRule>
    <cfRule type="cellIs" dxfId="2253" priority="1553" operator="equal">
      <formula>0</formula>
    </cfRule>
  </conditionalFormatting>
  <conditionalFormatting sqref="X112">
    <cfRule type="expression" dxfId="2252" priority="1550">
      <formula>X112*100&lt;C112</formula>
    </cfRule>
    <cfRule type="cellIs" dxfId="2251" priority="1551" operator="equal">
      <formula>0</formula>
    </cfRule>
  </conditionalFormatting>
  <conditionalFormatting sqref="X113">
    <cfRule type="expression" dxfId="2250" priority="1548">
      <formula>X113*100&lt;C113</formula>
    </cfRule>
    <cfRule type="cellIs" dxfId="2249" priority="1549" operator="equal">
      <formula>0</formula>
    </cfRule>
  </conditionalFormatting>
  <conditionalFormatting sqref="X114">
    <cfRule type="expression" dxfId="2248" priority="1546">
      <formula>X114*100&lt;C114</formula>
    </cfRule>
    <cfRule type="cellIs" dxfId="2247" priority="1547" operator="equal">
      <formula>0</formula>
    </cfRule>
  </conditionalFormatting>
  <conditionalFormatting sqref="X115">
    <cfRule type="expression" dxfId="2246" priority="1544">
      <formula>X115*100&lt;C115</formula>
    </cfRule>
    <cfRule type="cellIs" dxfId="2245" priority="1545" operator="equal">
      <formula>0</formula>
    </cfRule>
  </conditionalFormatting>
  <conditionalFormatting sqref="X116">
    <cfRule type="expression" dxfId="2244" priority="1542">
      <formula>X116*100&lt;C116</formula>
    </cfRule>
    <cfRule type="cellIs" dxfId="2243" priority="1543" operator="equal">
      <formula>0</formula>
    </cfRule>
  </conditionalFormatting>
  <conditionalFormatting sqref="X117">
    <cfRule type="expression" dxfId="2242" priority="1540">
      <formula>X117*100&lt;C117</formula>
    </cfRule>
    <cfRule type="cellIs" dxfId="2241" priority="1541" operator="equal">
      <formula>0</formula>
    </cfRule>
  </conditionalFormatting>
  <conditionalFormatting sqref="X118">
    <cfRule type="expression" dxfId="2240" priority="1538">
      <formula>X118*100&lt;C118</formula>
    </cfRule>
    <cfRule type="cellIs" dxfId="2239" priority="1539" operator="equal">
      <formula>0</formula>
    </cfRule>
  </conditionalFormatting>
  <conditionalFormatting sqref="X119">
    <cfRule type="expression" dxfId="2238" priority="1536">
      <formula>X119*100&lt;C119</formula>
    </cfRule>
    <cfRule type="cellIs" dxfId="2237" priority="1537" operator="equal">
      <formula>0</formula>
    </cfRule>
  </conditionalFormatting>
  <conditionalFormatting sqref="X120">
    <cfRule type="expression" dxfId="2236" priority="1534">
      <formula>X120*100&lt;C120</formula>
    </cfRule>
    <cfRule type="cellIs" dxfId="2235" priority="1535" operator="equal">
      <formula>0</formula>
    </cfRule>
  </conditionalFormatting>
  <conditionalFormatting sqref="X121">
    <cfRule type="expression" dxfId="2234" priority="1532">
      <formula>X121*100&lt;C121</formula>
    </cfRule>
    <cfRule type="cellIs" dxfId="2233" priority="1533" operator="equal">
      <formula>0</formula>
    </cfRule>
  </conditionalFormatting>
  <conditionalFormatting sqref="X122">
    <cfRule type="expression" dxfId="2232" priority="1530">
      <formula>X122*100&lt;C122</formula>
    </cfRule>
    <cfRule type="cellIs" dxfId="2231" priority="1531" operator="equal">
      <formula>0</formula>
    </cfRule>
  </conditionalFormatting>
  <conditionalFormatting sqref="X123">
    <cfRule type="expression" dxfId="2230" priority="1528">
      <formula>X123*100&lt;C123</formula>
    </cfRule>
    <cfRule type="cellIs" dxfId="2229" priority="1529" operator="equal">
      <formula>0</formula>
    </cfRule>
  </conditionalFormatting>
  <conditionalFormatting sqref="X124">
    <cfRule type="expression" dxfId="2228" priority="1526">
      <formula>X124*100&lt;C124</formula>
    </cfRule>
    <cfRule type="cellIs" dxfId="2227" priority="1527" operator="equal">
      <formula>0</formula>
    </cfRule>
  </conditionalFormatting>
  <conditionalFormatting sqref="X125">
    <cfRule type="expression" dxfId="2226" priority="1524">
      <formula>X125*100&lt;C125</formula>
    </cfRule>
    <cfRule type="cellIs" dxfId="2225" priority="1525" operator="equal">
      <formula>0</formula>
    </cfRule>
  </conditionalFormatting>
  <conditionalFormatting sqref="X126">
    <cfRule type="expression" dxfId="2224" priority="1522">
      <formula>X126*100&lt;C126</formula>
    </cfRule>
    <cfRule type="cellIs" dxfId="2223" priority="1523" operator="equal">
      <formula>0</formula>
    </cfRule>
  </conditionalFormatting>
  <conditionalFormatting sqref="X127">
    <cfRule type="expression" dxfId="2222" priority="1520">
      <formula>X127*100&lt;C127</formula>
    </cfRule>
    <cfRule type="cellIs" dxfId="2221" priority="1521" operator="equal">
      <formula>0</formula>
    </cfRule>
  </conditionalFormatting>
  <conditionalFormatting sqref="X128">
    <cfRule type="expression" dxfId="2220" priority="1518">
      <formula>X128*100&lt;C128</formula>
    </cfRule>
    <cfRule type="cellIs" dxfId="2219" priority="1519" operator="equal">
      <formula>0</formula>
    </cfRule>
  </conditionalFormatting>
  <conditionalFormatting sqref="X129">
    <cfRule type="expression" dxfId="2218" priority="1516">
      <formula>X129*100&lt;C129</formula>
    </cfRule>
    <cfRule type="cellIs" dxfId="2217" priority="1517" operator="equal">
      <formula>0</formula>
    </cfRule>
  </conditionalFormatting>
  <conditionalFormatting sqref="X130">
    <cfRule type="expression" dxfId="2216" priority="1514">
      <formula>X130*100&lt;C130</formula>
    </cfRule>
    <cfRule type="cellIs" dxfId="2215" priority="1515" operator="equal">
      <formula>0</formula>
    </cfRule>
  </conditionalFormatting>
  <conditionalFormatting sqref="X131">
    <cfRule type="expression" dxfId="2214" priority="1512">
      <formula>X131*100&lt;C131</formula>
    </cfRule>
    <cfRule type="cellIs" dxfId="2213" priority="1513" operator="equal">
      <formula>0</formula>
    </cfRule>
  </conditionalFormatting>
  <conditionalFormatting sqref="X132">
    <cfRule type="expression" dxfId="2212" priority="1510">
      <formula>X132*100&lt;C132</formula>
    </cfRule>
    <cfRule type="cellIs" dxfId="2211" priority="1511" operator="equal">
      <formula>0</formula>
    </cfRule>
  </conditionalFormatting>
  <conditionalFormatting sqref="X133">
    <cfRule type="expression" dxfId="2210" priority="1508">
      <formula>X133*100&lt;C133</formula>
    </cfRule>
    <cfRule type="cellIs" dxfId="2209" priority="1509" operator="equal">
      <formula>0</formula>
    </cfRule>
  </conditionalFormatting>
  <conditionalFormatting sqref="X134">
    <cfRule type="expression" dxfId="2208" priority="1506">
      <formula>X134*100&lt;C134</formula>
    </cfRule>
    <cfRule type="cellIs" dxfId="2207" priority="1507" operator="equal">
      <formula>0</formula>
    </cfRule>
  </conditionalFormatting>
  <conditionalFormatting sqref="X135">
    <cfRule type="expression" dxfId="2206" priority="1504">
      <formula>X135*100&lt;C135</formula>
    </cfRule>
    <cfRule type="cellIs" dxfId="2205" priority="1505" operator="equal">
      <formula>0</formula>
    </cfRule>
  </conditionalFormatting>
  <conditionalFormatting sqref="X136">
    <cfRule type="expression" dxfId="2204" priority="1502">
      <formula>X136*100&lt;C136</formula>
    </cfRule>
    <cfRule type="cellIs" dxfId="2203" priority="1503" operator="equal">
      <formula>0</formula>
    </cfRule>
  </conditionalFormatting>
  <conditionalFormatting sqref="X137">
    <cfRule type="expression" dxfId="2202" priority="1500">
      <formula>X137*100&lt;C137</formula>
    </cfRule>
    <cfRule type="cellIs" dxfId="2201" priority="1501" operator="equal">
      <formula>0</formula>
    </cfRule>
  </conditionalFormatting>
  <conditionalFormatting sqref="X138">
    <cfRule type="expression" dxfId="2200" priority="1498">
      <formula>X138*100&lt;C138</formula>
    </cfRule>
    <cfRule type="cellIs" dxfId="2199" priority="1499" operator="equal">
      <formula>0</formula>
    </cfRule>
  </conditionalFormatting>
  <conditionalFormatting sqref="X139">
    <cfRule type="expression" dxfId="2198" priority="1496">
      <formula>X139*100&lt;C139</formula>
    </cfRule>
    <cfRule type="cellIs" dxfId="2197" priority="1497" operator="equal">
      <formula>0</formula>
    </cfRule>
  </conditionalFormatting>
  <conditionalFormatting sqref="X140">
    <cfRule type="expression" dxfId="2196" priority="1494">
      <formula>X140*100&lt;C140</formula>
    </cfRule>
    <cfRule type="cellIs" dxfId="2195" priority="1495" operator="equal">
      <formula>0</formula>
    </cfRule>
  </conditionalFormatting>
  <conditionalFormatting sqref="X141">
    <cfRule type="expression" dxfId="2194" priority="1492">
      <formula>X141*100&lt;C141</formula>
    </cfRule>
    <cfRule type="cellIs" dxfId="2193" priority="1493" operator="equal">
      <formula>0</formula>
    </cfRule>
  </conditionalFormatting>
  <conditionalFormatting sqref="X142">
    <cfRule type="expression" dxfId="2192" priority="1490">
      <formula>X142*100&lt;C142</formula>
    </cfRule>
    <cfRule type="cellIs" dxfId="2191" priority="1491" operator="equal">
      <formula>0</formula>
    </cfRule>
  </conditionalFormatting>
  <conditionalFormatting sqref="X143">
    <cfRule type="expression" dxfId="2190" priority="1488">
      <formula>X143*100&lt;C143</formula>
    </cfRule>
    <cfRule type="cellIs" dxfId="2189" priority="1489" operator="equal">
      <formula>0</formula>
    </cfRule>
  </conditionalFormatting>
  <conditionalFormatting sqref="X144">
    <cfRule type="expression" dxfId="2188" priority="1486">
      <formula>X144*100&lt;C144</formula>
    </cfRule>
    <cfRule type="cellIs" dxfId="2187" priority="1487" operator="equal">
      <formula>0</formula>
    </cfRule>
  </conditionalFormatting>
  <conditionalFormatting sqref="X145">
    <cfRule type="expression" dxfId="2186" priority="1484">
      <formula>X145*100&lt;C145</formula>
    </cfRule>
    <cfRule type="cellIs" dxfId="2185" priority="1485" operator="equal">
      <formula>0</formula>
    </cfRule>
  </conditionalFormatting>
  <conditionalFormatting sqref="X146">
    <cfRule type="expression" dxfId="2184" priority="1482">
      <formula>X146*100&lt;C146</formula>
    </cfRule>
    <cfRule type="cellIs" dxfId="2183" priority="1483" operator="equal">
      <formula>0</formula>
    </cfRule>
  </conditionalFormatting>
  <conditionalFormatting sqref="X147">
    <cfRule type="expression" dxfId="2182" priority="1480">
      <formula>X147*100&lt;C147</formula>
    </cfRule>
    <cfRule type="cellIs" dxfId="2181" priority="1481" operator="equal">
      <formula>0</formula>
    </cfRule>
  </conditionalFormatting>
  <conditionalFormatting sqref="X148">
    <cfRule type="expression" dxfId="2180" priority="1478">
      <formula>X148*100&lt;C148</formula>
    </cfRule>
    <cfRule type="cellIs" dxfId="2179" priority="1479" operator="equal">
      <formula>0</formula>
    </cfRule>
  </conditionalFormatting>
  <conditionalFormatting sqref="X149">
    <cfRule type="expression" dxfId="2178" priority="1476">
      <formula>X149*100&lt;C149</formula>
    </cfRule>
    <cfRule type="cellIs" dxfId="2177" priority="1477" operator="equal">
      <formula>0</formula>
    </cfRule>
  </conditionalFormatting>
  <conditionalFormatting sqref="X150">
    <cfRule type="expression" dxfId="2176" priority="1474">
      <formula>X150*100&lt;C150</formula>
    </cfRule>
    <cfRule type="cellIs" dxfId="2175" priority="1475" operator="equal">
      <formula>0</formula>
    </cfRule>
  </conditionalFormatting>
  <conditionalFormatting sqref="X151">
    <cfRule type="expression" dxfId="2174" priority="1472">
      <formula>X151*100&lt;C151</formula>
    </cfRule>
    <cfRule type="cellIs" dxfId="2173" priority="1473" operator="equal">
      <formula>0</formula>
    </cfRule>
  </conditionalFormatting>
  <conditionalFormatting sqref="X152">
    <cfRule type="expression" dxfId="2172" priority="1470">
      <formula>X152*100&lt;C152</formula>
    </cfRule>
    <cfRule type="cellIs" dxfId="2171" priority="1471" operator="equal">
      <formula>0</formula>
    </cfRule>
  </conditionalFormatting>
  <conditionalFormatting sqref="X153">
    <cfRule type="expression" dxfId="2170" priority="1468">
      <formula>X153*100&lt;C153</formula>
    </cfRule>
    <cfRule type="cellIs" dxfId="2169" priority="1469" operator="equal">
      <formula>0</formula>
    </cfRule>
  </conditionalFormatting>
  <conditionalFormatting sqref="X154">
    <cfRule type="expression" dxfId="2168" priority="1466">
      <formula>X154*100&lt;C154</formula>
    </cfRule>
    <cfRule type="cellIs" dxfId="2167" priority="1467" operator="equal">
      <formula>0</formula>
    </cfRule>
  </conditionalFormatting>
  <conditionalFormatting sqref="X155">
    <cfRule type="expression" dxfId="2166" priority="1464">
      <formula>X155*100&lt;C155</formula>
    </cfRule>
    <cfRule type="cellIs" dxfId="2165" priority="1465" operator="equal">
      <formula>0</formula>
    </cfRule>
  </conditionalFormatting>
  <conditionalFormatting sqref="X156">
    <cfRule type="expression" dxfId="2164" priority="1462">
      <formula>X156*100&lt;C156</formula>
    </cfRule>
    <cfRule type="cellIs" dxfId="2163" priority="1463" operator="equal">
      <formula>0</formula>
    </cfRule>
  </conditionalFormatting>
  <conditionalFormatting sqref="X157">
    <cfRule type="expression" dxfId="2162" priority="1460">
      <formula>X157*100&lt;C157</formula>
    </cfRule>
    <cfRule type="cellIs" dxfId="2161" priority="1461" operator="equal">
      <formula>0</formula>
    </cfRule>
  </conditionalFormatting>
  <conditionalFormatting sqref="X158">
    <cfRule type="expression" dxfId="2160" priority="1458">
      <formula>X158*100&lt;C158</formula>
    </cfRule>
    <cfRule type="cellIs" dxfId="2159" priority="1459" operator="equal">
      <formula>0</formula>
    </cfRule>
  </conditionalFormatting>
  <conditionalFormatting sqref="X159">
    <cfRule type="expression" dxfId="2158" priority="1456">
      <formula>X159*100&lt;C159</formula>
    </cfRule>
    <cfRule type="cellIs" dxfId="2157" priority="1457" operator="equal">
      <formula>0</formula>
    </cfRule>
  </conditionalFormatting>
  <conditionalFormatting sqref="X160">
    <cfRule type="expression" dxfId="2156" priority="1454">
      <formula>X160*100&lt;C160</formula>
    </cfRule>
    <cfRule type="cellIs" dxfId="2155" priority="1455" operator="equal">
      <formula>0</formula>
    </cfRule>
  </conditionalFormatting>
  <conditionalFormatting sqref="X161">
    <cfRule type="expression" dxfId="2154" priority="1452">
      <formula>X161*100&lt;C161</formula>
    </cfRule>
    <cfRule type="cellIs" dxfId="2153" priority="1453" operator="equal">
      <formula>0</formula>
    </cfRule>
  </conditionalFormatting>
  <conditionalFormatting sqref="X162">
    <cfRule type="expression" dxfId="2152" priority="1450">
      <formula>X162*100&lt;C162</formula>
    </cfRule>
    <cfRule type="cellIs" dxfId="2151" priority="1451" operator="equal">
      <formula>0</formula>
    </cfRule>
  </conditionalFormatting>
  <conditionalFormatting sqref="X163">
    <cfRule type="expression" dxfId="2150" priority="1448">
      <formula>X163*100&lt;C163</formula>
    </cfRule>
    <cfRule type="cellIs" dxfId="2149" priority="1449" operator="equal">
      <formula>0</formula>
    </cfRule>
  </conditionalFormatting>
  <conditionalFormatting sqref="X164">
    <cfRule type="expression" dxfId="2148" priority="1446">
      <formula>X164*100&lt;C164</formula>
    </cfRule>
    <cfRule type="cellIs" dxfId="2147" priority="1447" operator="equal">
      <formula>0</formula>
    </cfRule>
  </conditionalFormatting>
  <conditionalFormatting sqref="X165">
    <cfRule type="expression" dxfId="2146" priority="1444">
      <formula>X165*100&lt;C165</formula>
    </cfRule>
    <cfRule type="cellIs" dxfId="2145" priority="1445" operator="equal">
      <formula>0</formula>
    </cfRule>
  </conditionalFormatting>
  <conditionalFormatting sqref="X166">
    <cfRule type="expression" dxfId="2144" priority="1442">
      <formula>X166*100&lt;C166</formula>
    </cfRule>
    <cfRule type="cellIs" dxfId="2143" priority="1443" operator="equal">
      <formula>0</formula>
    </cfRule>
  </conditionalFormatting>
  <conditionalFormatting sqref="X167">
    <cfRule type="expression" dxfId="2142" priority="1440">
      <formula>X167*100&lt;C167</formula>
    </cfRule>
    <cfRule type="cellIs" dxfId="2141" priority="1441" operator="equal">
      <formula>0</formula>
    </cfRule>
  </conditionalFormatting>
  <conditionalFormatting sqref="X168">
    <cfRule type="expression" dxfId="2140" priority="1438">
      <formula>X168*100&lt;C168</formula>
    </cfRule>
    <cfRule type="cellIs" dxfId="2139" priority="1439" operator="equal">
      <formula>0</formula>
    </cfRule>
  </conditionalFormatting>
  <conditionalFormatting sqref="X169">
    <cfRule type="expression" dxfId="2138" priority="1436">
      <formula>X169*100&lt;C169</formula>
    </cfRule>
    <cfRule type="cellIs" dxfId="2137" priority="1437" operator="equal">
      <formula>0</formula>
    </cfRule>
  </conditionalFormatting>
  <conditionalFormatting sqref="X170">
    <cfRule type="expression" dxfId="2136" priority="1434">
      <formula>X170*100&lt;C170</formula>
    </cfRule>
    <cfRule type="cellIs" dxfId="2135" priority="1435" operator="equal">
      <formula>0</formula>
    </cfRule>
  </conditionalFormatting>
  <conditionalFormatting sqref="X171">
    <cfRule type="expression" dxfId="2134" priority="1432">
      <formula>X171*100&lt;C171</formula>
    </cfRule>
    <cfRule type="cellIs" dxfId="2133" priority="1433" operator="equal">
      <formula>0</formula>
    </cfRule>
  </conditionalFormatting>
  <conditionalFormatting sqref="W2:W3">
    <cfRule type="cellIs" dxfId="2132" priority="1431" operator="equal">
      <formula>0</formula>
    </cfRule>
  </conditionalFormatting>
  <conditionalFormatting sqref="W3">
    <cfRule type="cellIs" dxfId="2131" priority="1429" operator="equal">
      <formula>"STOP"</formula>
    </cfRule>
    <cfRule type="cellIs" dxfId="2130" priority="1430" operator="equal">
      <formula>"TRAILING"</formula>
    </cfRule>
  </conditionalFormatting>
  <conditionalFormatting sqref="W2">
    <cfRule type="cellIs" dxfId="2129" priority="1427" operator="equal">
      <formula>"STOP"</formula>
    </cfRule>
    <cfRule type="cellIs" dxfId="2128" priority="1428" operator="equal">
      <formula>"TRAILING"</formula>
    </cfRule>
  </conditionalFormatting>
  <conditionalFormatting sqref="X2">
    <cfRule type="expression" dxfId="2127" priority="1425">
      <formula>X2*100&lt;C2</formula>
    </cfRule>
    <cfRule type="cellIs" dxfId="2126" priority="1426" operator="equal">
      <formula>0</formula>
    </cfRule>
  </conditionalFormatting>
  <conditionalFormatting sqref="X3">
    <cfRule type="expression" dxfId="2125" priority="1423">
      <formula>X3*100&lt;C3</formula>
    </cfRule>
    <cfRule type="cellIs" dxfId="2124" priority="1424" operator="equal">
      <formula>0</formula>
    </cfRule>
  </conditionalFormatting>
  <conditionalFormatting sqref="W4:W5">
    <cfRule type="cellIs" dxfId="2123" priority="1422" operator="equal">
      <formula>0</formula>
    </cfRule>
  </conditionalFormatting>
  <conditionalFormatting sqref="W5">
    <cfRule type="cellIs" dxfId="2122" priority="1420" operator="equal">
      <formula>"STOP"</formula>
    </cfRule>
    <cfRule type="cellIs" dxfId="2121" priority="1421" operator="equal">
      <formula>"TRAILING"</formula>
    </cfRule>
  </conditionalFormatting>
  <conditionalFormatting sqref="W4">
    <cfRule type="cellIs" dxfId="2120" priority="1418" operator="equal">
      <formula>"STOP"</formula>
    </cfRule>
    <cfRule type="cellIs" dxfId="2119" priority="1419" operator="equal">
      <formula>"TRAILING"</formula>
    </cfRule>
  </conditionalFormatting>
  <conditionalFormatting sqref="X4">
    <cfRule type="expression" dxfId="2118" priority="1416">
      <formula>X4*100&lt;C4</formula>
    </cfRule>
    <cfRule type="cellIs" dxfId="2117" priority="1417" operator="equal">
      <formula>0</formula>
    </cfRule>
  </conditionalFormatting>
  <conditionalFormatting sqref="X5">
    <cfRule type="expression" dxfId="2116" priority="1414">
      <formula>X5*100&lt;C5</formula>
    </cfRule>
    <cfRule type="cellIs" dxfId="2115" priority="1415" operator="equal">
      <formula>0</formula>
    </cfRule>
  </conditionalFormatting>
  <conditionalFormatting sqref="W6:W7">
    <cfRule type="cellIs" dxfId="2114" priority="1413" operator="equal">
      <formula>0</formula>
    </cfRule>
  </conditionalFormatting>
  <conditionalFormatting sqref="W7">
    <cfRule type="cellIs" dxfId="2113" priority="1411" operator="equal">
      <formula>"STOP"</formula>
    </cfRule>
    <cfRule type="cellIs" dxfId="2112" priority="1412" operator="equal">
      <formula>"TRAILING"</formula>
    </cfRule>
  </conditionalFormatting>
  <conditionalFormatting sqref="W6">
    <cfRule type="cellIs" dxfId="2111" priority="1409" operator="equal">
      <formula>"STOP"</formula>
    </cfRule>
    <cfRule type="cellIs" dxfId="2110" priority="1410" operator="equal">
      <formula>"TRAILING"</formula>
    </cfRule>
  </conditionalFormatting>
  <conditionalFormatting sqref="X6">
    <cfRule type="expression" dxfId="2109" priority="1407">
      <formula>X6*100&lt;C6</formula>
    </cfRule>
    <cfRule type="cellIs" dxfId="2108" priority="1408" operator="equal">
      <formula>0</formula>
    </cfRule>
  </conditionalFormatting>
  <conditionalFormatting sqref="X7">
    <cfRule type="expression" dxfId="2107" priority="1405">
      <formula>X7*100&lt;C7</formula>
    </cfRule>
    <cfRule type="cellIs" dxfId="2106" priority="1406" operator="equal">
      <formula>0</formula>
    </cfRule>
  </conditionalFormatting>
  <conditionalFormatting sqref="W8:W9">
    <cfRule type="cellIs" dxfId="2105" priority="1404" operator="equal">
      <formula>0</formula>
    </cfRule>
  </conditionalFormatting>
  <conditionalFormatting sqref="W9">
    <cfRule type="cellIs" dxfId="2104" priority="1402" operator="equal">
      <formula>"STOP"</formula>
    </cfRule>
    <cfRule type="cellIs" dxfId="2103" priority="1403" operator="equal">
      <formula>"TRAILING"</formula>
    </cfRule>
  </conditionalFormatting>
  <conditionalFormatting sqref="W8">
    <cfRule type="cellIs" dxfId="2102" priority="1400" operator="equal">
      <formula>"STOP"</formula>
    </cfRule>
    <cfRule type="cellIs" dxfId="2101" priority="1401" operator="equal">
      <formula>"TRAILING"</formula>
    </cfRule>
  </conditionalFormatting>
  <conditionalFormatting sqref="X8">
    <cfRule type="expression" dxfId="2100" priority="1398">
      <formula>X8*100&lt;C8</formula>
    </cfRule>
    <cfRule type="cellIs" dxfId="2099" priority="1399" operator="equal">
      <formula>0</formula>
    </cfRule>
  </conditionalFormatting>
  <conditionalFormatting sqref="X9">
    <cfRule type="expression" dxfId="2098" priority="1396">
      <formula>X9*100&lt;C9</formula>
    </cfRule>
    <cfRule type="cellIs" dxfId="2097" priority="1397" operator="equal">
      <formula>0</formula>
    </cfRule>
  </conditionalFormatting>
  <conditionalFormatting sqref="W10:W11">
    <cfRule type="cellIs" dxfId="2096" priority="1395" operator="equal">
      <formula>0</formula>
    </cfRule>
  </conditionalFormatting>
  <conditionalFormatting sqref="W11">
    <cfRule type="cellIs" dxfId="2095" priority="1393" operator="equal">
      <formula>"STOP"</formula>
    </cfRule>
    <cfRule type="cellIs" dxfId="2094" priority="1394" operator="equal">
      <formula>"TRAILING"</formula>
    </cfRule>
  </conditionalFormatting>
  <conditionalFormatting sqref="W10">
    <cfRule type="cellIs" dxfId="2093" priority="1391" operator="equal">
      <formula>"STOP"</formula>
    </cfRule>
    <cfRule type="cellIs" dxfId="2092" priority="1392" operator="equal">
      <formula>"TRAILING"</formula>
    </cfRule>
  </conditionalFormatting>
  <conditionalFormatting sqref="X10">
    <cfRule type="expression" dxfId="2091" priority="1389">
      <formula>X10*100&lt;C10</formula>
    </cfRule>
    <cfRule type="cellIs" dxfId="2090" priority="1390" operator="equal">
      <formula>0</formula>
    </cfRule>
  </conditionalFormatting>
  <conditionalFormatting sqref="X11">
    <cfRule type="expression" dxfId="2089" priority="1387">
      <formula>X11*100&lt;C11</formula>
    </cfRule>
    <cfRule type="cellIs" dxfId="2088" priority="1388" operator="equal">
      <formula>0</formula>
    </cfRule>
  </conditionalFormatting>
  <conditionalFormatting sqref="W12:W13">
    <cfRule type="cellIs" dxfId="2087" priority="1386" operator="equal">
      <formula>0</formula>
    </cfRule>
  </conditionalFormatting>
  <conditionalFormatting sqref="W13">
    <cfRule type="cellIs" dxfId="2086" priority="1384" operator="equal">
      <formula>"STOP"</formula>
    </cfRule>
    <cfRule type="cellIs" dxfId="2085" priority="1385" operator="equal">
      <formula>"TRAILING"</formula>
    </cfRule>
  </conditionalFormatting>
  <conditionalFormatting sqref="W12">
    <cfRule type="cellIs" dxfId="2084" priority="1382" operator="equal">
      <formula>"STOP"</formula>
    </cfRule>
    <cfRule type="cellIs" dxfId="2083" priority="1383" operator="equal">
      <formula>"TRAILING"</formula>
    </cfRule>
  </conditionalFormatting>
  <conditionalFormatting sqref="X12">
    <cfRule type="expression" dxfId="2082" priority="1380">
      <formula>X12*100&lt;C12</formula>
    </cfRule>
    <cfRule type="cellIs" dxfId="2081" priority="1381" operator="equal">
      <formula>0</formula>
    </cfRule>
  </conditionalFormatting>
  <conditionalFormatting sqref="X13">
    <cfRule type="expression" dxfId="2080" priority="1378">
      <formula>X13*100&lt;C13</formula>
    </cfRule>
    <cfRule type="cellIs" dxfId="2079" priority="1379" operator="equal">
      <formula>0</formula>
    </cfRule>
  </conditionalFormatting>
  <conditionalFormatting sqref="W14:W15 W18:W19">
    <cfRule type="cellIs" dxfId="2078" priority="1377" operator="equal">
      <formula>0</formula>
    </cfRule>
  </conditionalFormatting>
  <conditionalFormatting sqref="W15 W19">
    <cfRule type="cellIs" dxfId="2077" priority="1375" operator="equal">
      <formula>"STOP"</formula>
    </cfRule>
    <cfRule type="cellIs" dxfId="2076" priority="1376" operator="equal">
      <formula>"TRAILING"</formula>
    </cfRule>
  </conditionalFormatting>
  <conditionalFormatting sqref="W14 W18">
    <cfRule type="cellIs" dxfId="2075" priority="1373" operator="equal">
      <formula>"STOP"</formula>
    </cfRule>
    <cfRule type="cellIs" dxfId="2074" priority="1374" operator="equal">
      <formula>"TRAILING"</formula>
    </cfRule>
  </conditionalFormatting>
  <conditionalFormatting sqref="X14 X18">
    <cfRule type="expression" dxfId="2073" priority="1371">
      <formula>X14*100&lt;C14</formula>
    </cfRule>
    <cfRule type="cellIs" dxfId="2072" priority="1372" operator="equal">
      <formula>0</formula>
    </cfRule>
  </conditionalFormatting>
  <conditionalFormatting sqref="X15 X19">
    <cfRule type="expression" dxfId="2071" priority="1369">
      <formula>X15*100&lt;C15</formula>
    </cfRule>
    <cfRule type="cellIs" dxfId="2070" priority="1370" operator="equal">
      <formula>0</formula>
    </cfRule>
  </conditionalFormatting>
  <conditionalFormatting sqref="W16:W17 W20:W21">
    <cfRule type="cellIs" dxfId="2069" priority="1368" operator="equal">
      <formula>0</formula>
    </cfRule>
  </conditionalFormatting>
  <conditionalFormatting sqref="W17 W21">
    <cfRule type="cellIs" dxfId="2068" priority="1366" operator="equal">
      <formula>"STOP"</formula>
    </cfRule>
    <cfRule type="cellIs" dxfId="2067" priority="1367" operator="equal">
      <formula>"TRAILING"</formula>
    </cfRule>
  </conditionalFormatting>
  <conditionalFormatting sqref="W16 W20">
    <cfRule type="cellIs" dxfId="2066" priority="1364" operator="equal">
      <formula>"STOP"</formula>
    </cfRule>
    <cfRule type="cellIs" dxfId="2065" priority="1365" operator="equal">
      <formula>"TRAILING"</formula>
    </cfRule>
  </conditionalFormatting>
  <conditionalFormatting sqref="X16 X20">
    <cfRule type="expression" dxfId="2064" priority="1362">
      <formula>X16*100&lt;C16</formula>
    </cfRule>
    <cfRule type="cellIs" dxfId="2063" priority="1363" operator="equal">
      <formula>0</formula>
    </cfRule>
  </conditionalFormatting>
  <conditionalFormatting sqref="X17 X21">
    <cfRule type="expression" dxfId="2062" priority="1360">
      <formula>X17*100&lt;C17</formula>
    </cfRule>
    <cfRule type="cellIs" dxfId="2061" priority="1361" operator="equal">
      <formula>0</formula>
    </cfRule>
  </conditionalFormatting>
  <conditionalFormatting sqref="X30">
    <cfRule type="expression" dxfId="2060" priority="1322">
      <formula>X30*100&lt;C30</formula>
    </cfRule>
    <cfRule type="cellIs" dxfId="2059" priority="1323" operator="equal">
      <formula>0</formula>
    </cfRule>
  </conditionalFormatting>
  <conditionalFormatting sqref="X31">
    <cfRule type="expression" dxfId="2058" priority="1320">
      <formula>X31*100&lt;C31</formula>
    </cfRule>
    <cfRule type="cellIs" dxfId="2057" priority="1321" operator="equal">
      <formula>0</formula>
    </cfRule>
  </conditionalFormatting>
  <conditionalFormatting sqref="X32">
    <cfRule type="expression" dxfId="2056" priority="1318">
      <formula>X32*100&lt;C32</formula>
    </cfRule>
    <cfRule type="cellIs" dxfId="2055" priority="1319" operator="equal">
      <formula>0</formula>
    </cfRule>
  </conditionalFormatting>
  <conditionalFormatting sqref="X33">
    <cfRule type="expression" dxfId="2054" priority="1316">
      <formula>X33*100&lt;C33</formula>
    </cfRule>
    <cfRule type="cellIs" dxfId="2053" priority="1317" operator="equal">
      <formula>0</formula>
    </cfRule>
  </conditionalFormatting>
  <conditionalFormatting sqref="X34">
    <cfRule type="expression" dxfId="2052" priority="1314">
      <formula>X34*100&lt;C34</formula>
    </cfRule>
    <cfRule type="cellIs" dxfId="2051" priority="1315" operator="equal">
      <formula>0</formula>
    </cfRule>
  </conditionalFormatting>
  <conditionalFormatting sqref="X35">
    <cfRule type="expression" dxfId="2050" priority="1312">
      <formula>X35*100&lt;C35</formula>
    </cfRule>
    <cfRule type="cellIs" dxfId="2049" priority="1313" operator="equal">
      <formula>0</formula>
    </cfRule>
  </conditionalFormatting>
  <conditionalFormatting sqref="X36">
    <cfRule type="expression" dxfId="2048" priority="1310">
      <formula>X36*100&lt;C36</formula>
    </cfRule>
    <cfRule type="cellIs" dxfId="2047" priority="1311" operator="equal">
      <formula>0</formula>
    </cfRule>
  </conditionalFormatting>
  <conditionalFormatting sqref="X37">
    <cfRule type="expression" dxfId="2046" priority="1308">
      <formula>X37*100&lt;C37</formula>
    </cfRule>
    <cfRule type="cellIs" dxfId="2045" priority="1309" operator="equal">
      <formula>0</formula>
    </cfRule>
  </conditionalFormatting>
  <conditionalFormatting sqref="X38">
    <cfRule type="expression" dxfId="2044" priority="1306">
      <formula>X38*100&lt;C38</formula>
    </cfRule>
    <cfRule type="cellIs" dxfId="2043" priority="1307" operator="equal">
      <formula>0</formula>
    </cfRule>
  </conditionalFormatting>
  <conditionalFormatting sqref="X39">
    <cfRule type="expression" dxfId="2042" priority="1304">
      <formula>X39*100&lt;C39</formula>
    </cfRule>
    <cfRule type="cellIs" dxfId="2041" priority="1305" operator="equal">
      <formula>0</formula>
    </cfRule>
  </conditionalFormatting>
  <conditionalFormatting sqref="X40">
    <cfRule type="expression" dxfId="2040" priority="1302">
      <formula>X40*100&lt;C40</formula>
    </cfRule>
    <cfRule type="cellIs" dxfId="2039" priority="1303" operator="equal">
      <formula>0</formula>
    </cfRule>
  </conditionalFormatting>
  <conditionalFormatting sqref="X41">
    <cfRule type="expression" dxfId="2038" priority="1300">
      <formula>X41*100&lt;C41</formula>
    </cfRule>
    <cfRule type="cellIs" dxfId="2037" priority="1301" operator="equal">
      <formula>0</formula>
    </cfRule>
  </conditionalFormatting>
  <conditionalFormatting sqref="X42">
    <cfRule type="expression" dxfId="2036" priority="1298">
      <formula>X42*100&lt;C42</formula>
    </cfRule>
    <cfRule type="cellIs" dxfId="2035" priority="1299" operator="equal">
      <formula>0</formula>
    </cfRule>
  </conditionalFormatting>
  <conditionalFormatting sqref="X43">
    <cfRule type="expression" dxfId="2034" priority="1296">
      <formula>X43*100&lt;C43</formula>
    </cfRule>
    <cfRule type="cellIs" dxfId="2033" priority="1297" operator="equal">
      <formula>0</formula>
    </cfRule>
  </conditionalFormatting>
  <conditionalFormatting sqref="Y64">
    <cfRule type="cellIs" dxfId="2030" priority="142" operator="lessThanOrEqual">
      <formula>0</formula>
    </cfRule>
    <cfRule type="expression" dxfId="2029" priority="1165">
      <formula>(C65)-(D64)&lt;(C65/100)*(1+$AD$1*$AE$1)</formula>
    </cfRule>
  </conditionalFormatting>
  <conditionalFormatting sqref="Y65">
    <cfRule type="cellIs" dxfId="2028" priority="1166" operator="equal">
      <formula>0</formula>
    </cfRule>
  </conditionalFormatting>
  <conditionalFormatting sqref="Y60">
    <cfRule type="expression" dxfId="2027" priority="1162">
      <formula>(C61)-(D60)&gt;(C61/100)*(1+$AD$1*$AE$1)</formula>
    </cfRule>
    <cfRule type="cellIs" dxfId="2026" priority="1164" operator="lessThanOrEqual">
      <formula>0</formula>
    </cfRule>
  </conditionalFormatting>
  <conditionalFormatting sqref="Y61">
    <cfRule type="cellIs" dxfId="2025" priority="1163" operator="equal">
      <formula>0</formula>
    </cfRule>
  </conditionalFormatting>
  <conditionalFormatting sqref="U1">
    <cfRule type="cellIs" dxfId="2024" priority="1076" operator="notEqual">
      <formula>0</formula>
    </cfRule>
  </conditionalFormatting>
  <conditionalFormatting sqref="V1">
    <cfRule type="cellIs" dxfId="2023" priority="1075" operator="notEqual">
      <formula>0</formula>
    </cfRule>
  </conditionalFormatting>
  <conditionalFormatting sqref="Z36">
    <cfRule type="cellIs" dxfId="2022" priority="1065" operator="greaterThan">
      <formula>0</formula>
    </cfRule>
  </conditionalFormatting>
  <conditionalFormatting sqref="Z22">
    <cfRule type="cellIs" dxfId="2021" priority="1064" operator="equal">
      <formula>0</formula>
    </cfRule>
  </conditionalFormatting>
  <conditionalFormatting sqref="Z22">
    <cfRule type="cellIs" dxfId="2020" priority="1063" operator="greaterThan">
      <formula>0</formula>
    </cfRule>
  </conditionalFormatting>
  <conditionalFormatting sqref="Z23">
    <cfRule type="cellIs" dxfId="2019" priority="1048" operator="equal">
      <formula>0</formula>
    </cfRule>
  </conditionalFormatting>
  <conditionalFormatting sqref="Z23">
    <cfRule type="cellIs" dxfId="2018" priority="1047" operator="greaterThan">
      <formula>0</formula>
    </cfRule>
  </conditionalFormatting>
  <conditionalFormatting sqref="S1">
    <cfRule type="cellIs" dxfId="2016" priority="1052" operator="equal">
      <formula>"STOP"</formula>
    </cfRule>
  </conditionalFormatting>
  <conditionalFormatting sqref="R1">
    <cfRule type="cellIs" dxfId="2015" priority="1049" operator="equal">
      <formula>"REC"</formula>
    </cfRule>
    <cfRule type="cellIs" dxfId="2014" priority="1051" operator="equal">
      <formula>"TRAIL"</formula>
    </cfRule>
  </conditionalFormatting>
  <conditionalFormatting sqref="Q1">
    <cfRule type="cellIs" dxfId="2013" priority="1050" operator="equal">
      <formula>"PRC"</formula>
    </cfRule>
  </conditionalFormatting>
  <conditionalFormatting sqref="Z24">
    <cfRule type="cellIs" dxfId="2012" priority="1046" operator="equal">
      <formula>0</formula>
    </cfRule>
  </conditionalFormatting>
  <conditionalFormatting sqref="Z24">
    <cfRule type="cellIs" dxfId="2011" priority="1045" operator="greaterThan">
      <formula>0</formula>
    </cfRule>
  </conditionalFormatting>
  <conditionalFormatting sqref="Z25">
    <cfRule type="cellIs" dxfId="2010" priority="1044" operator="equal">
      <formula>0</formula>
    </cfRule>
  </conditionalFormatting>
  <conditionalFormatting sqref="Z25">
    <cfRule type="cellIs" dxfId="2009" priority="1043" operator="greaterThan">
      <formula>0</formula>
    </cfRule>
  </conditionalFormatting>
  <conditionalFormatting sqref="Z26">
    <cfRule type="cellIs" dxfId="2008" priority="1042" operator="equal">
      <formula>0</formula>
    </cfRule>
  </conditionalFormatting>
  <conditionalFormatting sqref="Z26">
    <cfRule type="cellIs" dxfId="2007" priority="1041" operator="greaterThan">
      <formula>0</formula>
    </cfRule>
  </conditionalFormatting>
  <conditionalFormatting sqref="Z27">
    <cfRule type="cellIs" dxfId="2006" priority="1040" operator="equal">
      <formula>0</formula>
    </cfRule>
  </conditionalFormatting>
  <conditionalFormatting sqref="Z27">
    <cfRule type="cellIs" dxfId="2005" priority="1039" operator="greaterThan">
      <formula>0</formula>
    </cfRule>
  </conditionalFormatting>
  <conditionalFormatting sqref="Z28">
    <cfRule type="cellIs" dxfId="2004" priority="1038" operator="equal">
      <formula>0</formula>
    </cfRule>
  </conditionalFormatting>
  <conditionalFormatting sqref="Z28">
    <cfRule type="cellIs" dxfId="2003" priority="1037" operator="greaterThan">
      <formula>0</formula>
    </cfRule>
  </conditionalFormatting>
  <conditionalFormatting sqref="Z29">
    <cfRule type="cellIs" dxfId="2002" priority="1036" operator="equal">
      <formula>0</formula>
    </cfRule>
  </conditionalFormatting>
  <conditionalFormatting sqref="Z29">
    <cfRule type="cellIs" dxfId="2001" priority="1035" operator="greaterThan">
      <formula>0</formula>
    </cfRule>
  </conditionalFormatting>
  <conditionalFormatting sqref="A30">
    <cfRule type="expression" dxfId="2000" priority="1031">
      <formula>X30&lt;&gt;0</formula>
    </cfRule>
  </conditionalFormatting>
  <conditionalFormatting sqref="A31">
    <cfRule type="expression" dxfId="1999" priority="997">
      <formula>X31&lt;&gt;0</formula>
    </cfRule>
  </conditionalFormatting>
  <conditionalFormatting sqref="A32">
    <cfRule type="expression" dxfId="1998" priority="995">
      <formula>X32&lt;&gt;0</formula>
    </cfRule>
  </conditionalFormatting>
  <conditionalFormatting sqref="A33">
    <cfRule type="expression" dxfId="1997" priority="993">
      <formula>X33&lt;&gt;0</formula>
    </cfRule>
  </conditionalFormatting>
  <conditionalFormatting sqref="A34">
    <cfRule type="expression" dxfId="1996" priority="991">
      <formula>X34&lt;&gt;0</formula>
    </cfRule>
  </conditionalFormatting>
  <conditionalFormatting sqref="A35">
    <cfRule type="expression" dxfId="1995" priority="989">
      <formula>X35&lt;&gt;0</formula>
    </cfRule>
  </conditionalFormatting>
  <conditionalFormatting sqref="A36">
    <cfRule type="expression" dxfId="1994" priority="987">
      <formula>X36&lt;&gt;0</formula>
    </cfRule>
  </conditionalFormatting>
  <conditionalFormatting sqref="A37">
    <cfRule type="expression" dxfId="1993" priority="985">
      <formula>X37&lt;&gt;0</formula>
    </cfRule>
  </conditionalFormatting>
  <conditionalFormatting sqref="A38">
    <cfRule type="expression" dxfId="1992" priority="983">
      <formula>X38&lt;&gt;0</formula>
    </cfRule>
  </conditionalFormatting>
  <conditionalFormatting sqref="A39">
    <cfRule type="expression" dxfId="1991" priority="981">
      <formula>X39&lt;&gt;0</formula>
    </cfRule>
  </conditionalFormatting>
  <conditionalFormatting sqref="A40">
    <cfRule type="expression" dxfId="1990" priority="979">
      <formula>X40&lt;&gt;0</formula>
    </cfRule>
  </conditionalFormatting>
  <conditionalFormatting sqref="A41">
    <cfRule type="expression" dxfId="1989" priority="977">
      <formula>X41&lt;&gt;0</formula>
    </cfRule>
  </conditionalFormatting>
  <conditionalFormatting sqref="A42">
    <cfRule type="expression" dxfId="1988" priority="975">
      <formula>X42&lt;&gt;0</formula>
    </cfRule>
  </conditionalFormatting>
  <conditionalFormatting sqref="A43">
    <cfRule type="expression" dxfId="1987" priority="973">
      <formula>X43&lt;&gt;0</formula>
    </cfRule>
  </conditionalFormatting>
  <conditionalFormatting sqref="B22">
    <cfRule type="expression" dxfId="1872" priority="718">
      <formula>IF($V22&lt;&gt;0,AND(MID($A22,5,1)=" "))</formula>
    </cfRule>
    <cfRule type="expression" dxfId="1871" priority="719">
      <formula>IF($V22&lt;&gt;0,AND(MID($A22,5,1)="C"))</formula>
    </cfRule>
    <cfRule type="expression" dxfId="1870" priority="720">
      <formula>IF($V22&lt;&gt;0,AND(MID($A22,5,1)="D"))</formula>
    </cfRule>
  </conditionalFormatting>
  <conditionalFormatting sqref="A45">
    <cfRule type="expression" dxfId="1869" priority="678">
      <formula>X45&lt;&gt;0</formula>
    </cfRule>
  </conditionalFormatting>
  <conditionalFormatting sqref="A46">
    <cfRule type="expression" dxfId="1868" priority="677">
      <formula>X46&lt;&gt;0</formula>
    </cfRule>
  </conditionalFormatting>
  <conditionalFormatting sqref="A47">
    <cfRule type="expression" dxfId="1867" priority="676">
      <formula>X47&lt;&gt;0</formula>
    </cfRule>
  </conditionalFormatting>
  <conditionalFormatting sqref="A48">
    <cfRule type="expression" dxfId="1866" priority="675">
      <formula>X48&lt;&gt;0</formula>
    </cfRule>
  </conditionalFormatting>
  <conditionalFormatting sqref="A49">
    <cfRule type="expression" dxfId="1865" priority="674">
      <formula>X49&lt;&gt;0</formula>
    </cfRule>
  </conditionalFormatting>
  <conditionalFormatting sqref="A50">
    <cfRule type="expression" dxfId="1864" priority="673">
      <formula>X50&lt;&gt;0</formula>
    </cfRule>
  </conditionalFormatting>
  <conditionalFormatting sqref="A51">
    <cfRule type="expression" dxfId="1863" priority="672">
      <formula>X51&lt;&gt;0</formula>
    </cfRule>
  </conditionalFormatting>
  <conditionalFormatting sqref="A52">
    <cfRule type="expression" dxfId="1862" priority="671">
      <formula>X52&lt;&gt;0</formula>
    </cfRule>
  </conditionalFormatting>
  <conditionalFormatting sqref="A53">
    <cfRule type="expression" dxfId="1861" priority="670">
      <formula>X53&lt;&gt;0</formula>
    </cfRule>
  </conditionalFormatting>
  <conditionalFormatting sqref="A54">
    <cfRule type="expression" dxfId="1860" priority="669">
      <formula>X54&lt;&gt;0</formula>
    </cfRule>
  </conditionalFormatting>
  <conditionalFormatting sqref="A55">
    <cfRule type="expression" dxfId="1859" priority="668">
      <formula>X55&lt;&gt;0</formula>
    </cfRule>
  </conditionalFormatting>
  <conditionalFormatting sqref="A56">
    <cfRule type="expression" dxfId="1858" priority="667">
      <formula>X56&lt;&gt;0</formula>
    </cfRule>
  </conditionalFormatting>
  <conditionalFormatting sqref="A57">
    <cfRule type="expression" dxfId="1857" priority="666">
      <formula>X57&lt;&gt;0</formula>
    </cfRule>
  </conditionalFormatting>
  <conditionalFormatting sqref="A58">
    <cfRule type="expression" dxfId="1856" priority="665">
      <formula>X58&lt;&gt;0</formula>
    </cfRule>
  </conditionalFormatting>
  <conditionalFormatting sqref="A59">
    <cfRule type="expression" dxfId="1855" priority="664">
      <formula>X59&lt;&gt;0</formula>
    </cfRule>
  </conditionalFormatting>
  <conditionalFormatting sqref="C22">
    <cfRule type="cellIs" dxfId="1854" priority="498" operator="lessThan">
      <formula>D22</formula>
    </cfRule>
    <cfRule type="expression" dxfId="1853" priority="658">
      <formula>IF($V22&lt;&gt;0,AND(MID($A22,5,1)=" "))</formula>
    </cfRule>
    <cfRule type="expression" dxfId="1852" priority="659">
      <formula>IF($V22&lt;&gt;0,AND(MID($A22,5,1)="C"))</formula>
    </cfRule>
    <cfRule type="expression" dxfId="1851" priority="660">
      <formula>IF($V22&lt;&gt;0,AND(MID($A22,5,1)="D"))</formula>
    </cfRule>
  </conditionalFormatting>
  <conditionalFormatting sqref="D22">
    <cfRule type="cellIs" dxfId="1850" priority="497" operator="lessThan">
      <formula>C22</formula>
    </cfRule>
    <cfRule type="expression" dxfId="1849" priority="652">
      <formula>IF($V22&lt;&gt;0,AND(MID($A22,5,1)=" "))</formula>
    </cfRule>
    <cfRule type="expression" dxfId="1848" priority="653">
      <formula>IF($V22&lt;&gt;0,AND(MID($A22,5,1)="C"))</formula>
    </cfRule>
    <cfRule type="expression" dxfId="1847" priority="654">
      <formula>IF($V22&lt;&gt;0,AND(MID($A22,5,1)="D"))</formula>
    </cfRule>
  </conditionalFormatting>
  <conditionalFormatting sqref="F22">
    <cfRule type="expression" dxfId="1846" priority="640">
      <formula>IF($V22&lt;&gt;0,AND(MID($A22,5,1)=" "))</formula>
    </cfRule>
    <cfRule type="expression" dxfId="1845" priority="641">
      <formula>IF($V22&lt;&gt;0,AND(MID($A22,5,1)="C"))</formula>
    </cfRule>
    <cfRule type="expression" dxfId="1844" priority="642">
      <formula>IF($V22&lt;&gt;0,AND(MID($A22,5,1)="D"))</formula>
    </cfRule>
  </conditionalFormatting>
  <conditionalFormatting sqref="A22">
    <cfRule type="expression" dxfId="1843" priority="634">
      <formula>IF($V22&lt;&gt;0,AND(MID($A22,5,1)=" "))</formula>
    </cfRule>
    <cfRule type="expression" dxfId="1842" priority="635">
      <formula>IF($V22&lt;&gt;0,AND(MID($A22,5,1)="C"))</formula>
    </cfRule>
    <cfRule type="expression" dxfId="1841" priority="636">
      <formula>IF($V22&lt;&gt;0,AND(MID($A22,5,1)="D"))</formula>
    </cfRule>
  </conditionalFormatting>
  <conditionalFormatting sqref="E22">
    <cfRule type="expression" dxfId="1840" priority="628">
      <formula>IF($V22&lt;&gt;0,AND(MID($A22,5,1)=" "))</formula>
    </cfRule>
    <cfRule type="expression" dxfId="1839" priority="629">
      <formula>IF($V22&lt;&gt;0,AND(MID($A22,5,1)="C"))</formula>
    </cfRule>
    <cfRule type="expression" dxfId="1838" priority="630">
      <formula>IF($V22&lt;&gt;0,AND(MID($A22,5,1)="D"))</formula>
    </cfRule>
  </conditionalFormatting>
  <conditionalFormatting sqref="B24">
    <cfRule type="expression" dxfId="1837" priority="622">
      <formula>IF($V24&lt;&gt;0,AND(MID($A24,5,1)=" "))</formula>
    </cfRule>
    <cfRule type="expression" dxfId="1836" priority="623">
      <formula>IF($V24&lt;&gt;0,AND(MID($A24,5,1)="C"))</formula>
    </cfRule>
    <cfRule type="expression" dxfId="1835" priority="624">
      <formula>IF($V24&lt;&gt;0,AND(MID($A24,5,1)="D"))</formula>
    </cfRule>
  </conditionalFormatting>
  <conditionalFormatting sqref="F24">
    <cfRule type="expression" dxfId="1834" priority="613">
      <formula>IF($V24&lt;&gt;0,AND(MID($A24,5,1)=" "))</formula>
    </cfRule>
    <cfRule type="expression" dxfId="1833" priority="614">
      <formula>IF($V24&lt;&gt;0,AND(MID($A24,5,1)="C"))</formula>
    </cfRule>
    <cfRule type="expression" dxfId="1832" priority="615">
      <formula>IF($V24&lt;&gt;0,AND(MID($A24,5,1)="D"))</formula>
    </cfRule>
  </conditionalFormatting>
  <conditionalFormatting sqref="E24">
    <cfRule type="expression" dxfId="1831" priority="607">
      <formula>IF($V24&lt;&gt;0,AND(MID($A24,5,1)=" "))</formula>
    </cfRule>
    <cfRule type="expression" dxfId="1830" priority="608">
      <formula>IF($V24&lt;&gt;0,AND(MID($A24,5,1)="C"))</formula>
    </cfRule>
    <cfRule type="expression" dxfId="1829" priority="609">
      <formula>IF($V24&lt;&gt;0,AND(MID($A24,5,1)="D"))</formula>
    </cfRule>
  </conditionalFormatting>
  <conditionalFormatting sqref="B25">
    <cfRule type="expression" dxfId="1828" priority="604">
      <formula>IF($V25&lt;&gt;0,AND(MID($A25,5,1)=" "))</formula>
    </cfRule>
    <cfRule type="expression" dxfId="1827" priority="605">
      <formula>IF($V25&lt;&gt;0,AND(MID($A25,5,1)="C"))</formula>
    </cfRule>
    <cfRule type="expression" dxfId="1826" priority="606">
      <formula>IF($V25&lt;&gt;0,AND(MID($A25,5,1)="D"))</formula>
    </cfRule>
  </conditionalFormatting>
  <conditionalFormatting sqref="F25">
    <cfRule type="expression" dxfId="1825" priority="595">
      <formula>IF($V25&lt;&gt;0,AND(MID($A25,5,1)=" "))</formula>
    </cfRule>
    <cfRule type="expression" dxfId="1824" priority="596">
      <formula>IF($V25&lt;&gt;0,AND(MID($A25,5,1)="C"))</formula>
    </cfRule>
    <cfRule type="expression" dxfId="1823" priority="597">
      <formula>IF($V25&lt;&gt;0,AND(MID($A25,5,1)="D"))</formula>
    </cfRule>
  </conditionalFormatting>
  <conditionalFormatting sqref="E25">
    <cfRule type="expression" dxfId="1822" priority="589">
      <formula>IF($V25&lt;&gt;0,AND(MID($A25,5,1)=" "))</formula>
    </cfRule>
    <cfRule type="expression" dxfId="1821" priority="590">
      <formula>IF($V25&lt;&gt;0,AND(MID($A25,5,1)="C"))</formula>
    </cfRule>
    <cfRule type="expression" dxfId="1820" priority="591">
      <formula>IF($V25&lt;&gt;0,AND(MID($A25,5,1)="D"))</formula>
    </cfRule>
  </conditionalFormatting>
  <conditionalFormatting sqref="B23">
    <cfRule type="expression" dxfId="1819" priority="586">
      <formula>IF($V23&lt;&gt;0,AND(MID($A23,5,1)=" "))</formula>
    </cfRule>
    <cfRule type="expression" dxfId="1818" priority="587">
      <formula>IF($V23&lt;&gt;0,AND(MID($A23,5,1)="C"))</formula>
    </cfRule>
    <cfRule type="expression" dxfId="1817" priority="588">
      <formula>IF($V23&lt;&gt;0,AND(MID($A23,5,1)="D"))</formula>
    </cfRule>
  </conditionalFormatting>
  <conditionalFormatting sqref="F23">
    <cfRule type="expression" dxfId="1816" priority="577">
      <formula>IF($V23&lt;&gt;0,AND(MID($A23,5,1)=" "))</formula>
    </cfRule>
    <cfRule type="expression" dxfId="1815" priority="578">
      <formula>IF($V23&lt;&gt;0,AND(MID($A23,5,1)="C"))</formula>
    </cfRule>
    <cfRule type="expression" dxfId="1814" priority="579">
      <formula>IF($V23&lt;&gt;0,AND(MID($A23,5,1)="D"))</formula>
    </cfRule>
  </conditionalFormatting>
  <conditionalFormatting sqref="E23">
    <cfRule type="expression" dxfId="1813" priority="571">
      <formula>IF($V23&lt;&gt;0,AND(MID($A23,5,1)=" "))</formula>
    </cfRule>
    <cfRule type="expression" dxfId="1812" priority="572">
      <formula>IF($V23&lt;&gt;0,AND(MID($A23,5,1)="C"))</formula>
    </cfRule>
    <cfRule type="expression" dxfId="1811" priority="573">
      <formula>IF($V23&lt;&gt;0,AND(MID($A23,5,1)="D"))</formula>
    </cfRule>
  </conditionalFormatting>
  <conditionalFormatting sqref="B26">
    <cfRule type="expression" dxfId="1810" priority="568">
      <formula>IF($V26&lt;&gt;0,AND(MID($A26,5,1)=" "))</formula>
    </cfRule>
    <cfRule type="expression" dxfId="1809" priority="569">
      <formula>IF($V26&lt;&gt;0,AND(MID($A26,5,1)="C"))</formula>
    </cfRule>
    <cfRule type="expression" dxfId="1808" priority="570">
      <formula>IF($V26&lt;&gt;0,AND(MID($A26,5,1)="D"))</formula>
    </cfRule>
  </conditionalFormatting>
  <conditionalFormatting sqref="F26">
    <cfRule type="expression" dxfId="1807" priority="559">
      <formula>IF($V26&lt;&gt;0,AND(MID($A26,5,1)=" "))</formula>
    </cfRule>
    <cfRule type="expression" dxfId="1806" priority="560">
      <formula>IF($V26&lt;&gt;0,AND(MID($A26,5,1)="C"))</formula>
    </cfRule>
    <cfRule type="expression" dxfId="1805" priority="561">
      <formula>IF($V26&lt;&gt;0,AND(MID($A26,5,1)="D"))</formula>
    </cfRule>
  </conditionalFormatting>
  <conditionalFormatting sqref="E26">
    <cfRule type="expression" dxfId="1804" priority="553">
      <formula>IF($V26&lt;&gt;0,AND(MID($A26,5,1)=" "))</formula>
    </cfRule>
    <cfRule type="expression" dxfId="1803" priority="554">
      <formula>IF($V26&lt;&gt;0,AND(MID($A26,5,1)="C"))</formula>
    </cfRule>
    <cfRule type="expression" dxfId="1802" priority="555">
      <formula>IF($V26&lt;&gt;0,AND(MID($A26,5,1)="D"))</formula>
    </cfRule>
  </conditionalFormatting>
  <conditionalFormatting sqref="B28">
    <cfRule type="expression" dxfId="1801" priority="550">
      <formula>IF($V28&lt;&gt;0,AND(MID($A28,5,1)=" "))</formula>
    </cfRule>
    <cfRule type="expression" dxfId="1800" priority="551">
      <formula>IF($V28&lt;&gt;0,AND(MID($A28,5,1)="C"))</formula>
    </cfRule>
    <cfRule type="expression" dxfId="1799" priority="552">
      <formula>IF($V28&lt;&gt;0,AND(MID($A28,5,1)="D"))</formula>
    </cfRule>
  </conditionalFormatting>
  <conditionalFormatting sqref="F28">
    <cfRule type="expression" dxfId="1798" priority="541">
      <formula>IF($V28&lt;&gt;0,AND(MID($A28,5,1)=" "))</formula>
    </cfRule>
    <cfRule type="expression" dxfId="1797" priority="542">
      <formula>IF($V28&lt;&gt;0,AND(MID($A28,5,1)="C"))</formula>
    </cfRule>
    <cfRule type="expression" dxfId="1796" priority="543">
      <formula>IF($V28&lt;&gt;0,AND(MID($A28,5,1)="D"))</formula>
    </cfRule>
  </conditionalFormatting>
  <conditionalFormatting sqref="E28">
    <cfRule type="expression" dxfId="1795" priority="535">
      <formula>IF($V28&lt;&gt;0,AND(MID($A28,5,1)=" "))</formula>
    </cfRule>
    <cfRule type="expression" dxfId="1794" priority="536">
      <formula>IF($V28&lt;&gt;0,AND(MID($A28,5,1)="C"))</formula>
    </cfRule>
    <cfRule type="expression" dxfId="1793" priority="537">
      <formula>IF($V28&lt;&gt;0,AND(MID($A28,5,1)="D"))</formula>
    </cfRule>
  </conditionalFormatting>
  <conditionalFormatting sqref="B29">
    <cfRule type="expression" dxfId="1792" priority="532">
      <formula>IF($V29&lt;&gt;0,AND(MID($A29,5,1)=" "))</formula>
    </cfRule>
    <cfRule type="expression" dxfId="1791" priority="533">
      <formula>IF($V29&lt;&gt;0,AND(MID($A29,5,1)="C"))</formula>
    </cfRule>
    <cfRule type="expression" dxfId="1790" priority="534">
      <formula>IF($V29&lt;&gt;0,AND(MID($A29,5,1)="D"))</formula>
    </cfRule>
  </conditionalFormatting>
  <conditionalFormatting sqref="F29">
    <cfRule type="expression" dxfId="1789" priority="523">
      <formula>IF($V29&lt;&gt;0,AND(MID($A29,5,1)=" "))</formula>
    </cfRule>
    <cfRule type="expression" dxfId="1788" priority="524">
      <formula>IF($V29&lt;&gt;0,AND(MID($A29,5,1)="C"))</formula>
    </cfRule>
    <cfRule type="expression" dxfId="1787" priority="525">
      <formula>IF($V29&lt;&gt;0,AND(MID($A29,5,1)="D"))</formula>
    </cfRule>
  </conditionalFormatting>
  <conditionalFormatting sqref="E29">
    <cfRule type="expression" dxfId="1786" priority="517">
      <formula>IF($V29&lt;&gt;0,AND(MID($A29,5,1)=" "))</formula>
    </cfRule>
    <cfRule type="expression" dxfId="1785" priority="518">
      <formula>IF($V29&lt;&gt;0,AND(MID($A29,5,1)="C"))</formula>
    </cfRule>
    <cfRule type="expression" dxfId="1784" priority="519">
      <formula>IF($V29&lt;&gt;0,AND(MID($A29,5,1)="D"))</formula>
    </cfRule>
  </conditionalFormatting>
  <conditionalFormatting sqref="B27">
    <cfRule type="expression" dxfId="1783" priority="514">
      <formula>IF($V27&lt;&gt;0,AND(MID($A27,5,1)=" "))</formula>
    </cfRule>
    <cfRule type="expression" dxfId="1782" priority="515">
      <formula>IF($V27&lt;&gt;0,AND(MID($A27,5,1)="C"))</formula>
    </cfRule>
    <cfRule type="expression" dxfId="1781" priority="516">
      <formula>IF($V27&lt;&gt;0,AND(MID($A27,5,1)="D"))</formula>
    </cfRule>
  </conditionalFormatting>
  <conditionalFormatting sqref="F27">
    <cfRule type="expression" dxfId="1780" priority="505">
      <formula>IF($V27&lt;&gt;0,AND(MID($A27,5,1)=" "))</formula>
    </cfRule>
    <cfRule type="expression" dxfId="1779" priority="506">
      <formula>IF($V27&lt;&gt;0,AND(MID($A27,5,1)="C"))</formula>
    </cfRule>
    <cfRule type="expression" dxfId="1778" priority="507">
      <formula>IF($V27&lt;&gt;0,AND(MID($A27,5,1)="D"))</formula>
    </cfRule>
  </conditionalFormatting>
  <conditionalFormatting sqref="E27">
    <cfRule type="expression" dxfId="1777" priority="499">
      <formula>IF($V27&lt;&gt;0,AND(MID($A27,5,1)=" "))</formula>
    </cfRule>
    <cfRule type="expression" dxfId="1776" priority="500">
      <formula>IF($V27&lt;&gt;0,AND(MID($A27,5,1)="C"))</formula>
    </cfRule>
    <cfRule type="expression" dxfId="1775" priority="501">
      <formula>IF($V27&lt;&gt;0,AND(MID($A27,5,1)="D"))</formula>
    </cfRule>
  </conditionalFormatting>
  <conditionalFormatting sqref="C23">
    <cfRule type="cellIs" dxfId="1774" priority="490" operator="lessThan">
      <formula>D23</formula>
    </cfRule>
    <cfRule type="expression" dxfId="1773" priority="494">
      <formula>IF($V23&lt;&gt;0,AND(MID($A23,5,1)=" "))</formula>
    </cfRule>
    <cfRule type="expression" dxfId="1772" priority="495">
      <formula>IF($V23&lt;&gt;0,AND(MID($A23,5,1)="C"))</formula>
    </cfRule>
    <cfRule type="expression" dxfId="1771" priority="496">
      <formula>IF($V23&lt;&gt;0,AND(MID($A23,5,1)="D"))</formula>
    </cfRule>
  </conditionalFormatting>
  <conditionalFormatting sqref="D23">
    <cfRule type="cellIs" dxfId="1770" priority="489" operator="lessThan">
      <formula>C23</formula>
    </cfRule>
    <cfRule type="expression" dxfId="1769" priority="491">
      <formula>IF($V23&lt;&gt;0,AND(MID($A23,5,1)=" "))</formula>
    </cfRule>
    <cfRule type="expression" dxfId="1768" priority="492">
      <formula>IF($V23&lt;&gt;0,AND(MID($A23,5,1)="C"))</formula>
    </cfRule>
    <cfRule type="expression" dxfId="1767" priority="493">
      <formula>IF($V23&lt;&gt;0,AND(MID($A23,5,1)="D"))</formula>
    </cfRule>
  </conditionalFormatting>
  <conditionalFormatting sqref="C24">
    <cfRule type="cellIs" dxfId="1766" priority="482" operator="lessThan">
      <formula>D24</formula>
    </cfRule>
    <cfRule type="expression" dxfId="1765" priority="486">
      <formula>IF($V24&lt;&gt;0,AND(MID($A24,5,1)=" "))</formula>
    </cfRule>
    <cfRule type="expression" dxfId="1764" priority="487">
      <formula>IF($V24&lt;&gt;0,AND(MID($A24,5,1)="C"))</formula>
    </cfRule>
    <cfRule type="expression" dxfId="1763" priority="488">
      <formula>IF($V24&lt;&gt;0,AND(MID($A24,5,1)="D"))</formula>
    </cfRule>
  </conditionalFormatting>
  <conditionalFormatting sqref="D24">
    <cfRule type="cellIs" dxfId="1762" priority="481" operator="lessThan">
      <formula>C24</formula>
    </cfRule>
    <cfRule type="expression" dxfId="1761" priority="483">
      <formula>IF($V24&lt;&gt;0,AND(MID($A24,5,1)=" "))</formula>
    </cfRule>
    <cfRule type="expression" dxfId="1760" priority="484">
      <formula>IF($V24&lt;&gt;0,AND(MID($A24,5,1)="C"))</formula>
    </cfRule>
    <cfRule type="expression" dxfId="1759" priority="485">
      <formula>IF($V24&lt;&gt;0,AND(MID($A24,5,1)="D"))</formula>
    </cfRule>
  </conditionalFormatting>
  <conditionalFormatting sqref="C25">
    <cfRule type="cellIs" dxfId="1758" priority="474" operator="lessThan">
      <formula>D25</formula>
    </cfRule>
    <cfRule type="expression" dxfId="1757" priority="478">
      <formula>IF($V25&lt;&gt;0,AND(MID($A25,5,1)=" "))</formula>
    </cfRule>
    <cfRule type="expression" dxfId="1756" priority="479">
      <formula>IF($V25&lt;&gt;0,AND(MID($A25,5,1)="C"))</formula>
    </cfRule>
    <cfRule type="expression" dxfId="1755" priority="480">
      <formula>IF($V25&lt;&gt;0,AND(MID($A25,5,1)="D"))</formula>
    </cfRule>
  </conditionalFormatting>
  <conditionalFormatting sqref="D25">
    <cfRule type="cellIs" dxfId="1754" priority="473" operator="lessThan">
      <formula>C25</formula>
    </cfRule>
    <cfRule type="expression" dxfId="1753" priority="475">
      <formula>IF($V25&lt;&gt;0,AND(MID($A25,5,1)=" "))</formula>
    </cfRule>
    <cfRule type="expression" dxfId="1752" priority="476">
      <formula>IF($V25&lt;&gt;0,AND(MID($A25,5,1)="C"))</formula>
    </cfRule>
    <cfRule type="expression" dxfId="1751" priority="477">
      <formula>IF($V25&lt;&gt;0,AND(MID($A25,5,1)="D"))</formula>
    </cfRule>
  </conditionalFormatting>
  <conditionalFormatting sqref="C26">
    <cfRule type="cellIs" dxfId="1750" priority="466" operator="lessThan">
      <formula>D26</formula>
    </cfRule>
    <cfRule type="expression" dxfId="1749" priority="470">
      <formula>IF($V26&lt;&gt;0,AND(MID($A26,5,1)=" "))</formula>
    </cfRule>
    <cfRule type="expression" dxfId="1748" priority="471">
      <formula>IF($V26&lt;&gt;0,AND(MID($A26,5,1)="C"))</formula>
    </cfRule>
    <cfRule type="expression" dxfId="1747" priority="472">
      <formula>IF($V26&lt;&gt;0,AND(MID($A26,5,1)="D"))</formula>
    </cfRule>
  </conditionalFormatting>
  <conditionalFormatting sqref="D26">
    <cfRule type="cellIs" dxfId="1746" priority="465" operator="lessThan">
      <formula>C26</formula>
    </cfRule>
    <cfRule type="expression" dxfId="1745" priority="467">
      <formula>IF($V26&lt;&gt;0,AND(MID($A26,5,1)=" "))</formula>
    </cfRule>
    <cfRule type="expression" dxfId="1744" priority="468">
      <formula>IF($V26&lt;&gt;0,AND(MID($A26,5,1)="C"))</formula>
    </cfRule>
    <cfRule type="expression" dxfId="1743" priority="469">
      <formula>IF($V26&lt;&gt;0,AND(MID($A26,5,1)="D"))</formula>
    </cfRule>
  </conditionalFormatting>
  <conditionalFormatting sqref="C27">
    <cfRule type="cellIs" dxfId="1742" priority="458" operator="lessThan">
      <formula>D27</formula>
    </cfRule>
    <cfRule type="expression" dxfId="1741" priority="462">
      <formula>IF($V27&lt;&gt;0,AND(MID($A27,5,1)=" "))</formula>
    </cfRule>
    <cfRule type="expression" dxfId="1740" priority="463">
      <formula>IF($V27&lt;&gt;0,AND(MID($A27,5,1)="C"))</formula>
    </cfRule>
    <cfRule type="expression" dxfId="1739" priority="464">
      <formula>IF($V27&lt;&gt;0,AND(MID($A27,5,1)="D"))</formula>
    </cfRule>
  </conditionalFormatting>
  <conditionalFormatting sqref="D27">
    <cfRule type="cellIs" dxfId="1738" priority="457" operator="lessThan">
      <formula>C27</formula>
    </cfRule>
    <cfRule type="expression" dxfId="1737" priority="459">
      <formula>IF($V27&lt;&gt;0,AND(MID($A27,5,1)=" "))</formula>
    </cfRule>
    <cfRule type="expression" dxfId="1736" priority="460">
      <formula>IF($V27&lt;&gt;0,AND(MID($A27,5,1)="C"))</formula>
    </cfRule>
    <cfRule type="expression" dxfId="1735" priority="461">
      <formula>IF($V27&lt;&gt;0,AND(MID($A27,5,1)="D"))</formula>
    </cfRule>
  </conditionalFormatting>
  <conditionalFormatting sqref="C28">
    <cfRule type="cellIs" dxfId="1734" priority="450" operator="lessThan">
      <formula>D28</formula>
    </cfRule>
    <cfRule type="expression" dxfId="1733" priority="454">
      <formula>IF($V28&lt;&gt;0,AND(MID($A28,5,1)=" "))</formula>
    </cfRule>
    <cfRule type="expression" dxfId="1732" priority="455">
      <formula>IF($V28&lt;&gt;0,AND(MID($A28,5,1)="C"))</formula>
    </cfRule>
    <cfRule type="expression" dxfId="1731" priority="456">
      <formula>IF($V28&lt;&gt;0,AND(MID($A28,5,1)="D"))</formula>
    </cfRule>
  </conditionalFormatting>
  <conditionalFormatting sqref="D28">
    <cfRule type="cellIs" dxfId="1730" priority="449" operator="lessThan">
      <formula>C28</formula>
    </cfRule>
    <cfRule type="expression" dxfId="1729" priority="451">
      <formula>IF($V28&lt;&gt;0,AND(MID($A28,5,1)=" "))</formula>
    </cfRule>
    <cfRule type="expression" dxfId="1728" priority="452">
      <formula>IF($V28&lt;&gt;0,AND(MID($A28,5,1)="C"))</formula>
    </cfRule>
    <cfRule type="expression" dxfId="1727" priority="453">
      <formula>IF($V28&lt;&gt;0,AND(MID($A28,5,1)="D"))</formula>
    </cfRule>
  </conditionalFormatting>
  <conditionalFormatting sqref="C29">
    <cfRule type="cellIs" dxfId="1726" priority="442" operator="lessThan">
      <formula>D29</formula>
    </cfRule>
    <cfRule type="expression" dxfId="1725" priority="446">
      <formula>IF($V29&lt;&gt;0,AND(MID($A29,5,1)=" "))</formula>
    </cfRule>
    <cfRule type="expression" dxfId="1724" priority="447">
      <formula>IF($V29&lt;&gt;0,AND(MID($A29,5,1)="C"))</formula>
    </cfRule>
    <cfRule type="expression" dxfId="1723" priority="448">
      <formula>IF($V29&lt;&gt;0,AND(MID($A29,5,1)="D"))</formula>
    </cfRule>
  </conditionalFormatting>
  <conditionalFormatting sqref="D29">
    <cfRule type="cellIs" dxfId="1722" priority="441" operator="lessThan">
      <formula>C29</formula>
    </cfRule>
    <cfRule type="expression" dxfId="1721" priority="443">
      <formula>IF($V29&lt;&gt;0,AND(MID($A29,5,1)=" "))</formula>
    </cfRule>
    <cfRule type="expression" dxfId="1720" priority="444">
      <formula>IF($V29&lt;&gt;0,AND(MID($A29,5,1)="C"))</formula>
    </cfRule>
    <cfRule type="expression" dxfId="1719" priority="445">
      <formula>IF($V29&lt;&gt;0,AND(MID($A29,5,1)="D"))</formula>
    </cfRule>
  </conditionalFormatting>
  <conditionalFormatting sqref="A19">
    <cfRule type="expression" dxfId="1718" priority="388">
      <formula>IF($Y21&gt;$Y18,AND(MID($A19,5,1)=" "))</formula>
    </cfRule>
    <cfRule type="expression" dxfId="1717" priority="389">
      <formula>IF($Y21&gt;$Y18,AND(MID($A19,5,1)="C"))</formula>
    </cfRule>
    <cfRule type="expression" dxfId="1716" priority="390">
      <formula>IF($Y21&gt;$Y18,AND(MID($A19,5,1)="D"))</formula>
    </cfRule>
  </conditionalFormatting>
  <conditionalFormatting sqref="A20">
    <cfRule type="expression" dxfId="1715" priority="391">
      <formula>IF($Y21&gt;$Y18,AND(MID($A20,5,1)=" "))</formula>
    </cfRule>
    <cfRule type="expression" dxfId="1714" priority="392">
      <formula>IF($Y21&gt;$Y18,AND(MID($A20,5,1)="C"))</formula>
    </cfRule>
    <cfRule type="expression" dxfId="1713" priority="393">
      <formula>IF($Y21&gt;$Y18,AND(MID($A20,5,1)="D"))</formula>
    </cfRule>
  </conditionalFormatting>
  <conditionalFormatting sqref="A21">
    <cfRule type="expression" dxfId="1712" priority="385">
      <formula>IF($Y21&gt;$Y18,AND(MID($A21,5,1)=" "))</formula>
    </cfRule>
    <cfRule type="expression" dxfId="1711" priority="386">
      <formula>IF($Y21&gt;$Y18,AND(MID($A21,5,1)="C"))</formula>
    </cfRule>
    <cfRule type="expression" dxfId="1710" priority="387">
      <formula>IF($Y21&gt;$Y18,AND(MID($A21,5,1)="D"))</formula>
    </cfRule>
  </conditionalFormatting>
  <conditionalFormatting sqref="A18">
    <cfRule type="expression" dxfId="1709" priority="382">
      <formula>IF($Y21&gt;$Y18,AND(MID($A18,5,1)=" "))</formula>
    </cfRule>
    <cfRule type="expression" dxfId="1708" priority="383">
      <formula>IF($Y21&gt;$Y18,AND(MID($A18,5,1)="C"))</formula>
    </cfRule>
    <cfRule type="expression" dxfId="1707" priority="384">
      <formula>IF($Y21&gt;$Y18,AND(MID($A18,5,1)="D"))</formula>
    </cfRule>
  </conditionalFormatting>
  <conditionalFormatting sqref="A11">
    <cfRule type="expression" dxfId="1706" priority="376">
      <formula>IF($Y13&gt;$Y10,AND(MID($A11,5,1)=" "))</formula>
    </cfRule>
    <cfRule type="expression" dxfId="1705" priority="377">
      <formula>IF($Y13&gt;$Y10,AND(MID($A11,5,1)="C"))</formula>
    </cfRule>
    <cfRule type="expression" dxfId="1704" priority="378">
      <formula>IF($Y13&gt;$Y10,AND(MID($A11,5,1)="D"))</formula>
    </cfRule>
  </conditionalFormatting>
  <conditionalFormatting sqref="A12">
    <cfRule type="expression" dxfId="1703" priority="379">
      <formula>IF($Y13&gt;$Y10,AND(MID($A12,5,1)=" "))</formula>
    </cfRule>
    <cfRule type="expression" dxfId="1702" priority="380">
      <formula>IF($Y13&gt;$Y10,AND(MID($A12,5,1)="C"))</formula>
    </cfRule>
    <cfRule type="expression" dxfId="1701" priority="381">
      <formula>IF($Y13&gt;$Y10,AND(MID($A12,5,1)="D"))</formula>
    </cfRule>
  </conditionalFormatting>
  <conditionalFormatting sqref="A13">
    <cfRule type="expression" dxfId="1700" priority="373">
      <formula>IF($Y13&gt;$Y10,AND(MID($A13,5,1)=" "))</formula>
    </cfRule>
    <cfRule type="expression" dxfId="1699" priority="374">
      <formula>IF($Y13&gt;$Y10,AND(MID($A13,5,1)="C"))</formula>
    </cfRule>
    <cfRule type="expression" dxfId="1698" priority="375">
      <formula>IF($Y13&gt;$Y10,AND(MID($A13,5,1)="D"))</formula>
    </cfRule>
  </conditionalFormatting>
  <conditionalFormatting sqref="A10">
    <cfRule type="expression" dxfId="1697" priority="370">
      <formula>IF($Y13&gt;$Y10,AND(MID($A10,5,1)=" "))</formula>
    </cfRule>
    <cfRule type="expression" dxfId="1696" priority="371">
      <formula>IF($Y13&gt;$Y10,AND(MID($A10,5,1)="C"))</formula>
    </cfRule>
    <cfRule type="expression" dxfId="1695" priority="372">
      <formula>IF($Y13&gt;$Y10,AND(MID($A10,5,1)="D"))</formula>
    </cfRule>
  </conditionalFormatting>
  <conditionalFormatting sqref="A15">
    <cfRule type="expression" dxfId="1694" priority="364">
      <formula>IF($Y17&gt;$Y14,AND(MID($A15,5,1)=" "))</formula>
    </cfRule>
    <cfRule type="expression" dxfId="1693" priority="365">
      <formula>IF($Y17&gt;$Y14,AND(MID($A15,5,1)="C"))</formula>
    </cfRule>
    <cfRule type="expression" dxfId="1692" priority="366">
      <formula>IF($Y17&gt;$Y14,AND(MID($A15,5,1)="D"))</formula>
    </cfRule>
  </conditionalFormatting>
  <conditionalFormatting sqref="A16">
    <cfRule type="expression" dxfId="1691" priority="367">
      <formula>IF($Y17&gt;$Y14,AND(MID($A16,5,1)=" "))</formula>
    </cfRule>
    <cfRule type="expression" dxfId="1690" priority="368">
      <formula>IF($Y17&gt;$Y14,AND(MID($A16,5,1)="C"))</formula>
    </cfRule>
    <cfRule type="expression" dxfId="1689" priority="369">
      <formula>IF($Y17&gt;$Y14,AND(MID($A16,5,1)="D"))</formula>
    </cfRule>
  </conditionalFormatting>
  <conditionalFormatting sqref="A17">
    <cfRule type="expression" dxfId="1688" priority="361">
      <formula>IF($Y17&gt;$Y14,AND(MID($A17,5,1)=" "))</formula>
    </cfRule>
    <cfRule type="expression" dxfId="1687" priority="362">
      <formula>IF($Y17&gt;$Y14,AND(MID($A17,5,1)="C"))</formula>
    </cfRule>
    <cfRule type="expression" dxfId="1686" priority="363">
      <formula>IF($Y17&gt;$Y14,AND(MID($A17,5,1)="D"))</formula>
    </cfRule>
  </conditionalFormatting>
  <conditionalFormatting sqref="A14">
    <cfRule type="expression" dxfId="1685" priority="358">
      <formula>IF($Y17&gt;$Y14,AND(MID($A14,5,1)=" "))</formula>
    </cfRule>
    <cfRule type="expression" dxfId="1684" priority="359">
      <formula>IF($Y17&gt;$Y14,AND(MID($A14,5,1)="C"))</formula>
    </cfRule>
    <cfRule type="expression" dxfId="1683" priority="360">
      <formula>IF($Y17&gt;$Y14,AND(MID($A14,5,1)="D"))</formula>
    </cfRule>
  </conditionalFormatting>
  <conditionalFormatting sqref="B12">
    <cfRule type="expression" dxfId="1682" priority="352">
      <formula>IF($Y13&gt;$Y10,AND(MID($A12,5,1)=" "))</formula>
    </cfRule>
    <cfRule type="expression" dxfId="1681" priority="353">
      <formula>IF($Y13&gt;$Y10,AND(MID($A12,5,1)="C"))</formula>
    </cfRule>
    <cfRule type="expression" dxfId="1680" priority="354">
      <formula>IF($Y13&gt;$Y10,AND(MID($A12,5,1)="D"))</formula>
    </cfRule>
  </conditionalFormatting>
  <conditionalFormatting sqref="C12">
    <cfRule type="expression" dxfId="1679" priority="355">
      <formula>IF($Y13&gt;$Y10,AND(MID($A12,5,1)=" "))</formula>
    </cfRule>
    <cfRule type="expression" dxfId="1678" priority="356">
      <formula>IF($Y13&gt;$Y10,AND(MID($A12,5,1)="C"))</formula>
    </cfRule>
    <cfRule type="expression" dxfId="1677" priority="357">
      <formula>IF($Y13&gt;$Y10,AND(MID($A12,5,1)="D"))</formula>
    </cfRule>
  </conditionalFormatting>
  <conditionalFormatting sqref="A23">
    <cfRule type="expression" dxfId="1676" priority="349">
      <formula>IF($V23&lt;&gt;0,AND(MID($A23,5,1)=" "))</formula>
    </cfRule>
    <cfRule type="expression" dxfId="1675" priority="350">
      <formula>IF($V23&lt;&gt;0,AND(MID($A23,5,1)="C"))</formula>
    </cfRule>
    <cfRule type="expression" dxfId="1674" priority="351">
      <formula>IF($V23&lt;&gt;0,AND(MID($A23,5,1)="D"))</formula>
    </cfRule>
  </conditionalFormatting>
  <conditionalFormatting sqref="A24">
    <cfRule type="expression" dxfId="1673" priority="346">
      <formula>IF($V24&lt;&gt;0,AND(MID($A24,5,1)=" "))</formula>
    </cfRule>
    <cfRule type="expression" dxfId="1672" priority="347">
      <formula>IF($V24&lt;&gt;0,AND(MID($A24,5,1)="C"))</formula>
    </cfRule>
    <cfRule type="expression" dxfId="1671" priority="348">
      <formula>IF($V24&lt;&gt;0,AND(MID($A24,5,1)="D"))</formula>
    </cfRule>
  </conditionalFormatting>
  <conditionalFormatting sqref="A25">
    <cfRule type="expression" dxfId="1670" priority="343">
      <formula>IF($V25&lt;&gt;0,AND(MID($A25,5,1)=" "))</formula>
    </cfRule>
    <cfRule type="expression" dxfId="1669" priority="344">
      <formula>IF($V25&lt;&gt;0,AND(MID($A25,5,1)="C"))</formula>
    </cfRule>
    <cfRule type="expression" dxfId="1668" priority="345">
      <formula>IF($V25&lt;&gt;0,AND(MID($A25,5,1)="D"))</formula>
    </cfRule>
  </conditionalFormatting>
  <conditionalFormatting sqref="A26">
    <cfRule type="expression" dxfId="1667" priority="328">
      <formula>IF($V26&lt;&gt;0,AND(MID($A26,5,1)=" "))</formula>
    </cfRule>
    <cfRule type="expression" dxfId="1666" priority="329">
      <formula>IF($V26&lt;&gt;0,AND(MID($A26,5,1)="C"))</formula>
    </cfRule>
    <cfRule type="expression" dxfId="1665" priority="330">
      <formula>IF($V26&lt;&gt;0,AND(MID($A26,5,1)="D"))</formula>
    </cfRule>
  </conditionalFormatting>
  <conditionalFormatting sqref="A27">
    <cfRule type="expression" dxfId="1664" priority="325">
      <formula>IF($V27&lt;&gt;0,AND(MID($A27,5,1)=" "))</formula>
    </cfRule>
    <cfRule type="expression" dxfId="1663" priority="326">
      <formula>IF($V27&lt;&gt;0,AND(MID($A27,5,1)="C"))</formula>
    </cfRule>
    <cfRule type="expression" dxfId="1662" priority="327">
      <formula>IF($V27&lt;&gt;0,AND(MID($A27,5,1)="D"))</formula>
    </cfRule>
  </conditionalFormatting>
  <conditionalFormatting sqref="A28">
    <cfRule type="expression" dxfId="1661" priority="322">
      <formula>IF($V28&lt;&gt;0,AND(MID($A28,5,1)=" "))</formula>
    </cfRule>
    <cfRule type="expression" dxfId="1660" priority="323">
      <formula>IF($V28&lt;&gt;0,AND(MID($A28,5,1)="C"))</formula>
    </cfRule>
    <cfRule type="expression" dxfId="1659" priority="324">
      <formula>IF($V28&lt;&gt;0,AND(MID($A28,5,1)="D"))</formula>
    </cfRule>
  </conditionalFormatting>
  <conditionalFormatting sqref="A29">
    <cfRule type="expression" dxfId="1658" priority="319">
      <formula>IF($V29&lt;&gt;0,AND(MID($A29,5,1)=" "))</formula>
    </cfRule>
    <cfRule type="expression" dxfId="1657" priority="320">
      <formula>IF($V29&lt;&gt;0,AND(MID($A29,5,1)="C"))</formula>
    </cfRule>
    <cfRule type="expression" dxfId="1656" priority="321">
      <formula>IF($V29&lt;&gt;0,AND(MID($A29,5,1)="D"))</formula>
    </cfRule>
  </conditionalFormatting>
  <conditionalFormatting sqref="B64">
    <cfRule type="expression" dxfId="1655" priority="310">
      <formula>IF($V64&lt;&gt;0,AND(MID($A64,5,1)=" "))</formula>
    </cfRule>
    <cfRule type="expression" dxfId="1654" priority="311">
      <formula>IF($V64&lt;&gt;0,AND(MID($A64,5,1)="C"))</formula>
    </cfRule>
    <cfRule type="expression" dxfId="1653" priority="312">
      <formula>IF($V64&lt;&gt;0,AND(MID($A64,5,1)="D"))</formula>
    </cfRule>
  </conditionalFormatting>
  <conditionalFormatting sqref="F64">
    <cfRule type="expression" dxfId="1652" priority="307">
      <formula>IF($V64&lt;&gt;0,AND(MID($A64,5,1)=" "))</formula>
    </cfRule>
    <cfRule type="expression" dxfId="1651" priority="308">
      <formula>IF($V64&lt;&gt;0,AND(MID($A64,5,1)="C"))</formula>
    </cfRule>
    <cfRule type="expression" dxfId="1650" priority="309">
      <formula>IF($V64&lt;&gt;0,AND(MID($A64,5,1)="D"))</formula>
    </cfRule>
  </conditionalFormatting>
  <conditionalFormatting sqref="E64">
    <cfRule type="expression" dxfId="1649" priority="304">
      <formula>IF($V64&lt;&gt;0,AND(MID($A64,5,1)=" "))</formula>
    </cfRule>
    <cfRule type="expression" dxfId="1648" priority="305">
      <formula>IF($V64&lt;&gt;0,AND(MID($A64,5,1)="C"))</formula>
    </cfRule>
    <cfRule type="expression" dxfId="1647" priority="306">
      <formula>IF($V64&lt;&gt;0,AND(MID($A64,5,1)="D"))</formula>
    </cfRule>
  </conditionalFormatting>
  <conditionalFormatting sqref="B65">
    <cfRule type="expression" dxfId="1646" priority="301">
      <formula>IF($V65&lt;&gt;0,AND(MID($A65,5,1)=" "))</formula>
    </cfRule>
    <cfRule type="expression" dxfId="1645" priority="302">
      <formula>IF($V65&lt;&gt;0,AND(MID($A65,5,1)="C"))</formula>
    </cfRule>
    <cfRule type="expression" dxfId="1644" priority="303">
      <formula>IF($V65&lt;&gt;0,AND(MID($A65,5,1)="D"))</formula>
    </cfRule>
  </conditionalFormatting>
  <conditionalFormatting sqref="F65">
    <cfRule type="expression" dxfId="1643" priority="298">
      <formula>IF($V65&lt;&gt;0,AND(MID($A65,5,1)=" "))</formula>
    </cfRule>
    <cfRule type="expression" dxfId="1642" priority="299">
      <formula>IF($V65&lt;&gt;0,AND(MID($A65,5,1)="C"))</formula>
    </cfRule>
    <cfRule type="expression" dxfId="1641" priority="300">
      <formula>IF($V65&lt;&gt;0,AND(MID($A65,5,1)="D"))</formula>
    </cfRule>
  </conditionalFormatting>
  <conditionalFormatting sqref="E65">
    <cfRule type="expression" dxfId="1640" priority="295">
      <formula>IF($V65&lt;&gt;0,AND(MID($A65,5,1)=" "))</formula>
    </cfRule>
    <cfRule type="expression" dxfId="1639" priority="296">
      <formula>IF($V65&lt;&gt;0,AND(MID($A65,5,1)="C"))</formula>
    </cfRule>
    <cfRule type="expression" dxfId="1638" priority="297">
      <formula>IF($V65&lt;&gt;0,AND(MID($A65,5,1)="D"))</formula>
    </cfRule>
  </conditionalFormatting>
  <conditionalFormatting sqref="C64">
    <cfRule type="cellIs" dxfId="1637" priority="288" operator="lessThan">
      <formula>D64</formula>
    </cfRule>
    <cfRule type="expression" dxfId="1636" priority="292">
      <formula>IF($V64&lt;&gt;0,AND(MID($A64,5,1)=" "))</formula>
    </cfRule>
    <cfRule type="expression" dxfId="1635" priority="293">
      <formula>IF($V64&lt;&gt;0,AND(MID($A64,5,1)="C"))</formula>
    </cfRule>
    <cfRule type="expression" dxfId="1634" priority="294">
      <formula>IF($V64&lt;&gt;0,AND(MID($A64,5,1)="D"))</formula>
    </cfRule>
  </conditionalFormatting>
  <conditionalFormatting sqref="D64">
    <cfRule type="cellIs" dxfId="1633" priority="287" operator="lessThan">
      <formula>C64</formula>
    </cfRule>
    <cfRule type="expression" dxfId="1632" priority="289">
      <formula>IF($V64&lt;&gt;0,AND(MID($A64,5,1)=" "))</formula>
    </cfRule>
    <cfRule type="expression" dxfId="1631" priority="290">
      <formula>IF($V64&lt;&gt;0,AND(MID($A64,5,1)="C"))</formula>
    </cfRule>
    <cfRule type="expression" dxfId="1630" priority="291">
      <formula>IF($V64&lt;&gt;0,AND(MID($A64,5,1)="D"))</formula>
    </cfRule>
  </conditionalFormatting>
  <conditionalFormatting sqref="C65">
    <cfRule type="cellIs" dxfId="1629" priority="280" operator="lessThan">
      <formula>D65</formula>
    </cfRule>
    <cfRule type="expression" dxfId="1628" priority="284">
      <formula>IF($V65&lt;&gt;0,AND(MID($A65,5,1)=" "))</formula>
    </cfRule>
    <cfRule type="expression" dxfId="1627" priority="285">
      <formula>IF($V65&lt;&gt;0,AND(MID($A65,5,1)="C"))</formula>
    </cfRule>
    <cfRule type="expression" dxfId="1626" priority="286">
      <formula>IF($V65&lt;&gt;0,AND(MID($A65,5,1)="D"))</formula>
    </cfRule>
  </conditionalFormatting>
  <conditionalFormatting sqref="D65">
    <cfRule type="cellIs" dxfId="1625" priority="279" operator="lessThan">
      <formula>C65</formula>
    </cfRule>
    <cfRule type="expression" dxfId="1624" priority="281">
      <formula>IF($V65&lt;&gt;0,AND(MID($A65,5,1)=" "))</formula>
    </cfRule>
    <cfRule type="expression" dxfId="1623" priority="282">
      <formula>IF($V65&lt;&gt;0,AND(MID($A65,5,1)="C"))</formula>
    </cfRule>
    <cfRule type="expression" dxfId="1622" priority="283">
      <formula>IF($V65&lt;&gt;0,AND(MID($A65,5,1)="D"))</formula>
    </cfRule>
  </conditionalFormatting>
  <conditionalFormatting sqref="A64">
    <cfRule type="expression" dxfId="1621" priority="276">
      <formula>IF($V64&lt;&gt;0,AND(MID($A64,5,1)=" "))</formula>
    </cfRule>
    <cfRule type="expression" dxfId="1620" priority="277">
      <formula>IF($V64&lt;&gt;0,AND(MID($A64,5,1)="C"))</formula>
    </cfRule>
    <cfRule type="expression" dxfId="1619" priority="278">
      <formula>IF($V64&lt;&gt;0,AND(MID($A64,5,1)="D"))</formula>
    </cfRule>
  </conditionalFormatting>
  <conditionalFormatting sqref="A65">
    <cfRule type="expression" dxfId="1618" priority="273">
      <formula>IF($V65&lt;&gt;0,AND(MID($A65,5,1)=" "))</formula>
    </cfRule>
    <cfRule type="expression" dxfId="1617" priority="274">
      <formula>IF($V65&lt;&gt;0,AND(MID($A65,5,1)="C"))</formula>
    </cfRule>
    <cfRule type="expression" dxfId="1616" priority="275">
      <formula>IF($V65&lt;&gt;0,AND(MID($A65,5,1)="D"))</formula>
    </cfRule>
  </conditionalFormatting>
  <conditionalFormatting sqref="A7">
    <cfRule type="expression" dxfId="1615" priority="267">
      <formula>IF($Y9&gt;$Y6,AND(MID($A7,5,1)=" "))</formula>
    </cfRule>
    <cfRule type="expression" dxfId="1614" priority="268">
      <formula>IF($Y9&gt;$Y6,AND(MID($A7,5,1)="C"))</formula>
    </cfRule>
    <cfRule type="expression" dxfId="1613" priority="269">
      <formula>IF($Y9&gt;$Y6,AND(MID($A7,5,1)="D"))</formula>
    </cfRule>
  </conditionalFormatting>
  <conditionalFormatting sqref="A8">
    <cfRule type="expression" dxfId="1612" priority="270">
      <formula>IF($Y9&gt;$Y6,AND(MID($A8,5,1)=" "))</formula>
    </cfRule>
    <cfRule type="expression" dxfId="1611" priority="271">
      <formula>IF($Y9&gt;$Y6,AND(MID($A8,5,1)="C"))</formula>
    </cfRule>
    <cfRule type="expression" dxfId="1610" priority="272">
      <formula>IF($Y9&gt;$Y6,AND(MID($A8,5,1)="D"))</formula>
    </cfRule>
  </conditionalFormatting>
  <conditionalFormatting sqref="A9">
    <cfRule type="expression" dxfId="1609" priority="264">
      <formula>IF($Y9&gt;$Y6,AND(MID($A9,5,1)=" "))</formula>
    </cfRule>
    <cfRule type="expression" dxfId="1608" priority="265">
      <formula>IF($Y9&gt;$Y6,AND(MID($A9,5,1)="C"))</formula>
    </cfRule>
    <cfRule type="expression" dxfId="1607" priority="266">
      <formula>IF($Y9&gt;$Y6,AND(MID($A9,5,1)="D"))</formula>
    </cfRule>
  </conditionalFormatting>
  <conditionalFormatting sqref="A6">
    <cfRule type="expression" dxfId="1606" priority="261">
      <formula>IF($Y9&gt;$Y6,AND(MID($A6,5,1)=" "))</formula>
    </cfRule>
    <cfRule type="expression" dxfId="1605" priority="262">
      <formula>IF($Y9&gt;$Y6,AND(MID($A6,5,1)="C"))</formula>
    </cfRule>
    <cfRule type="expression" dxfId="1604" priority="263">
      <formula>IF($Y9&gt;$Y6,AND(MID($A6,5,1)="D"))</formula>
    </cfRule>
  </conditionalFormatting>
  <conditionalFormatting sqref="A3">
    <cfRule type="expression" dxfId="1603" priority="255">
      <formula>IF($Y5&gt;$Y2,AND(MID($A3,5,1)=" "))</formula>
    </cfRule>
    <cfRule type="expression" dxfId="1602" priority="256">
      <formula>IF($Y5&gt;$Y2,AND(MID($A3,5,1)="C"))</formula>
    </cfRule>
    <cfRule type="expression" dxfId="1601" priority="257">
      <formula>IF($Y5&gt;$Y2,AND(MID($A3,5,1)="D"))</formula>
    </cfRule>
  </conditionalFormatting>
  <conditionalFormatting sqref="A4">
    <cfRule type="expression" dxfId="1600" priority="258">
      <formula>IF($Y5&gt;$Y2,AND(MID($A4,5,1)=" "))</formula>
    </cfRule>
    <cfRule type="expression" dxfId="1599" priority="259">
      <formula>IF($Y5&gt;$Y2,AND(MID($A4,5,1)="C"))</formula>
    </cfRule>
    <cfRule type="expression" dxfId="1598" priority="260">
      <formula>IF($Y5&gt;$Y2,AND(MID($A4,5,1)="D"))</formula>
    </cfRule>
  </conditionalFormatting>
  <conditionalFormatting sqref="A5">
    <cfRule type="expression" dxfId="1597" priority="252">
      <formula>IF($Y5&gt;$Y2,AND(MID($A5,5,1)=" "))</formula>
    </cfRule>
    <cfRule type="expression" dxfId="1596" priority="253">
      <formula>IF($Y5&gt;$Y2,AND(MID($A5,5,1)="C"))</formula>
    </cfRule>
    <cfRule type="expression" dxfId="1595" priority="254">
      <formula>IF($Y5&gt;$Y2,AND(MID($A5,5,1)="D"))</formula>
    </cfRule>
  </conditionalFormatting>
  <conditionalFormatting sqref="A2">
    <cfRule type="expression" dxfId="1594" priority="249">
      <formula>IF($Y5&gt;$Y2,AND(MID($A2,5,1)=" "))</formula>
    </cfRule>
    <cfRule type="expression" dxfId="1593" priority="250">
      <formula>IF($Y5&gt;$Y2,AND(MID($A2,5,1)="C"))</formula>
    </cfRule>
    <cfRule type="expression" dxfId="1592" priority="251">
      <formula>IF($Y5&gt;$Y2,AND(MID($A2,5,1)="D"))</formula>
    </cfRule>
  </conditionalFormatting>
  <conditionalFormatting sqref="Y72 Y74">
    <cfRule type="cellIs" dxfId="1591" priority="141" operator="lessThanOrEqual">
      <formula>0</formula>
    </cfRule>
  </conditionalFormatting>
  <conditionalFormatting sqref="Y73">
    <cfRule type="cellIs" dxfId="1590" priority="140" operator="equal">
      <formula>0</formula>
    </cfRule>
  </conditionalFormatting>
  <conditionalFormatting sqref="Y75">
    <cfRule type="cellIs" dxfId="1589" priority="139" operator="equal">
      <formula>0</formula>
    </cfRule>
  </conditionalFormatting>
  <conditionalFormatting sqref="Y70">
    <cfRule type="cellIs" dxfId="1588" priority="136" operator="lessThanOrEqual">
      <formula>0</formula>
    </cfRule>
    <cfRule type="expression" dxfId="1587" priority="137">
      <formula>(C71)-(D70)&lt;(C71/100)*(1+$AD$1*$AE$1)</formula>
    </cfRule>
  </conditionalFormatting>
  <conditionalFormatting sqref="Y71">
    <cfRule type="cellIs" dxfId="1586" priority="138" operator="equal">
      <formula>0</formula>
    </cfRule>
  </conditionalFormatting>
  <conditionalFormatting sqref="Y78 Y80">
    <cfRule type="cellIs" dxfId="1585" priority="135" operator="lessThanOrEqual">
      <formula>0</formula>
    </cfRule>
  </conditionalFormatting>
  <conditionalFormatting sqref="Y79">
    <cfRule type="cellIs" dxfId="1584" priority="134" operator="equal">
      <formula>0</formula>
    </cfRule>
  </conditionalFormatting>
  <conditionalFormatting sqref="Y81">
    <cfRule type="cellIs" dxfId="1583" priority="133" operator="equal">
      <formula>0</formula>
    </cfRule>
  </conditionalFormatting>
  <conditionalFormatting sqref="Y76">
    <cfRule type="cellIs" dxfId="1582" priority="130" operator="lessThanOrEqual">
      <formula>0</formula>
    </cfRule>
    <cfRule type="expression" dxfId="1581" priority="131">
      <formula>(C77)-(D76)&lt;(C77/100)*(1+$AD$1*$AE$1)</formula>
    </cfRule>
  </conditionalFormatting>
  <conditionalFormatting sqref="Y77">
    <cfRule type="cellIs" dxfId="1580" priority="132" operator="equal">
      <formula>0</formula>
    </cfRule>
  </conditionalFormatting>
  <conditionalFormatting sqref="Y84 Y86">
    <cfRule type="cellIs" dxfId="1579" priority="129" operator="lessThanOrEqual">
      <formula>0</formula>
    </cfRule>
  </conditionalFormatting>
  <conditionalFormatting sqref="Y85">
    <cfRule type="cellIs" dxfId="1578" priority="128" operator="equal">
      <formula>0</formula>
    </cfRule>
  </conditionalFormatting>
  <conditionalFormatting sqref="Y87">
    <cfRule type="cellIs" dxfId="1577" priority="127" operator="equal">
      <formula>0</formula>
    </cfRule>
  </conditionalFormatting>
  <conditionalFormatting sqref="Y82">
    <cfRule type="cellIs" dxfId="1576" priority="124" operator="lessThanOrEqual">
      <formula>0</formula>
    </cfRule>
    <cfRule type="expression" dxfId="1575" priority="125">
      <formula>(C83)-(D82)&lt;(C83/100)*(1+$AD$1*$AE$1)</formula>
    </cfRule>
  </conditionalFormatting>
  <conditionalFormatting sqref="Y83">
    <cfRule type="cellIs" dxfId="1574" priority="126" operator="equal">
      <formula>0</formula>
    </cfRule>
  </conditionalFormatting>
  <conditionalFormatting sqref="Y90 Y92">
    <cfRule type="cellIs" dxfId="1573" priority="123" operator="lessThanOrEqual">
      <formula>0</formula>
    </cfRule>
  </conditionalFormatting>
  <conditionalFormatting sqref="Y91">
    <cfRule type="cellIs" dxfId="1572" priority="122" operator="equal">
      <formula>0</formula>
    </cfRule>
  </conditionalFormatting>
  <conditionalFormatting sqref="Y93">
    <cfRule type="cellIs" dxfId="1571" priority="121" operator="equal">
      <formula>0</formula>
    </cfRule>
  </conditionalFormatting>
  <conditionalFormatting sqref="Y88">
    <cfRule type="cellIs" dxfId="1570" priority="118" operator="lessThanOrEqual">
      <formula>0</formula>
    </cfRule>
    <cfRule type="expression" dxfId="1569" priority="119">
      <formula>(C89)-(D88)&lt;(C89/100)*(1+$AD$1*$AE$1)</formula>
    </cfRule>
  </conditionalFormatting>
  <conditionalFormatting sqref="Y89">
    <cfRule type="cellIs" dxfId="1568" priority="120" operator="equal">
      <formula>0</formula>
    </cfRule>
  </conditionalFormatting>
  <conditionalFormatting sqref="Y96 Y98">
    <cfRule type="cellIs" dxfId="1567" priority="117" operator="lessThanOrEqual">
      <formula>0</formula>
    </cfRule>
  </conditionalFormatting>
  <conditionalFormatting sqref="Y97">
    <cfRule type="cellIs" dxfId="1566" priority="116" operator="equal">
      <formula>0</formula>
    </cfRule>
  </conditionalFormatting>
  <conditionalFormatting sqref="Y99">
    <cfRule type="cellIs" dxfId="1565" priority="115" operator="equal">
      <formula>0</formula>
    </cfRule>
  </conditionalFormatting>
  <conditionalFormatting sqref="Y94">
    <cfRule type="cellIs" dxfId="1564" priority="112" operator="lessThanOrEqual">
      <formula>0</formula>
    </cfRule>
    <cfRule type="expression" dxfId="1563" priority="113">
      <formula>(C95)-(D94)&lt;(C95/100)*(1+$AD$1*$AE$1)</formula>
    </cfRule>
  </conditionalFormatting>
  <conditionalFormatting sqref="Y95">
    <cfRule type="cellIs" dxfId="1562" priority="114" operator="equal">
      <formula>0</formula>
    </cfRule>
  </conditionalFormatting>
  <conditionalFormatting sqref="Y102 Y104">
    <cfRule type="cellIs" dxfId="1561" priority="111" operator="lessThanOrEqual">
      <formula>0</formula>
    </cfRule>
  </conditionalFormatting>
  <conditionalFormatting sqref="Y103">
    <cfRule type="cellIs" dxfId="1560" priority="110" operator="equal">
      <formula>0</formula>
    </cfRule>
  </conditionalFormatting>
  <conditionalFormatting sqref="Y105">
    <cfRule type="cellIs" dxfId="1559" priority="109" operator="equal">
      <formula>0</formula>
    </cfRule>
  </conditionalFormatting>
  <conditionalFormatting sqref="Y100">
    <cfRule type="cellIs" dxfId="1558" priority="106" operator="lessThanOrEqual">
      <formula>0</formula>
    </cfRule>
    <cfRule type="expression" dxfId="1557" priority="107">
      <formula>(C101)-(D100)&lt;(C101/100)*(1+$AD$1*$AE$1)</formula>
    </cfRule>
  </conditionalFormatting>
  <conditionalFormatting sqref="Y101">
    <cfRule type="cellIs" dxfId="1556" priority="108" operator="equal">
      <formula>0</formula>
    </cfRule>
  </conditionalFormatting>
  <conditionalFormatting sqref="Y108 Y110">
    <cfRule type="cellIs" dxfId="1555" priority="105" operator="lessThanOrEqual">
      <formula>0</formula>
    </cfRule>
  </conditionalFormatting>
  <conditionalFormatting sqref="Y109">
    <cfRule type="cellIs" dxfId="1554" priority="104" operator="equal">
      <formula>0</formula>
    </cfRule>
  </conditionalFormatting>
  <conditionalFormatting sqref="Y111">
    <cfRule type="cellIs" dxfId="1553" priority="103" operator="equal">
      <formula>0</formula>
    </cfRule>
  </conditionalFormatting>
  <conditionalFormatting sqref="Y106">
    <cfRule type="cellIs" dxfId="1552" priority="100" operator="lessThanOrEqual">
      <formula>0</formula>
    </cfRule>
    <cfRule type="expression" dxfId="1551" priority="101">
      <formula>(C107)-(D106)&lt;(C107/100)*(1+$AD$1*$AE$1)</formula>
    </cfRule>
  </conditionalFormatting>
  <conditionalFormatting sqref="Y107">
    <cfRule type="cellIs" dxfId="1550" priority="102" operator="equal">
      <formula>0</formula>
    </cfRule>
  </conditionalFormatting>
  <conditionalFormatting sqref="Y114 Y116">
    <cfRule type="cellIs" dxfId="1549" priority="99" operator="lessThanOrEqual">
      <formula>0</formula>
    </cfRule>
  </conditionalFormatting>
  <conditionalFormatting sqref="Y115">
    <cfRule type="cellIs" dxfId="1548" priority="98" operator="equal">
      <formula>0</formula>
    </cfRule>
  </conditionalFormatting>
  <conditionalFormatting sqref="Y117">
    <cfRule type="cellIs" dxfId="1547" priority="97" operator="equal">
      <formula>0</formula>
    </cfRule>
  </conditionalFormatting>
  <conditionalFormatting sqref="Y112">
    <cfRule type="cellIs" dxfId="1546" priority="94" operator="lessThanOrEqual">
      <formula>0</formula>
    </cfRule>
    <cfRule type="expression" dxfId="1545" priority="95">
      <formula>(C113)-(D112)&lt;(C113/100)*(1+$AD$1*$AE$1)</formula>
    </cfRule>
  </conditionalFormatting>
  <conditionalFormatting sqref="Y113">
    <cfRule type="cellIs" dxfId="1544" priority="96" operator="equal">
      <formula>0</formula>
    </cfRule>
  </conditionalFormatting>
  <conditionalFormatting sqref="Y120 Y122">
    <cfRule type="cellIs" dxfId="1543" priority="93" operator="lessThanOrEqual">
      <formula>0</formula>
    </cfRule>
  </conditionalFormatting>
  <conditionalFormatting sqref="Y121">
    <cfRule type="cellIs" dxfId="1542" priority="92" operator="equal">
      <formula>0</formula>
    </cfRule>
  </conditionalFormatting>
  <conditionalFormatting sqref="Y123">
    <cfRule type="cellIs" dxfId="1541" priority="91" operator="equal">
      <formula>0</formula>
    </cfRule>
  </conditionalFormatting>
  <conditionalFormatting sqref="Y118">
    <cfRule type="cellIs" dxfId="1540" priority="88" operator="lessThanOrEqual">
      <formula>0</formula>
    </cfRule>
    <cfRule type="expression" dxfId="1539" priority="89">
      <formula>(C119)-(D118)&lt;(C119/100)*(1+$AD$1*$AE$1)</formula>
    </cfRule>
  </conditionalFormatting>
  <conditionalFormatting sqref="Y119">
    <cfRule type="cellIs" dxfId="1538" priority="90" operator="equal">
      <formula>0</formula>
    </cfRule>
  </conditionalFormatting>
  <conditionalFormatting sqref="Y126 Y128">
    <cfRule type="cellIs" dxfId="1537" priority="87" operator="lessThanOrEqual">
      <formula>0</formula>
    </cfRule>
  </conditionalFormatting>
  <conditionalFormatting sqref="Y127">
    <cfRule type="cellIs" dxfId="1536" priority="86" operator="equal">
      <formula>0</formula>
    </cfRule>
  </conditionalFormatting>
  <conditionalFormatting sqref="Y129">
    <cfRule type="cellIs" dxfId="1535" priority="85" operator="equal">
      <formula>0</formula>
    </cfRule>
  </conditionalFormatting>
  <conditionalFormatting sqref="Y124">
    <cfRule type="cellIs" dxfId="1534" priority="82" operator="lessThanOrEqual">
      <formula>0</formula>
    </cfRule>
    <cfRule type="expression" dxfId="1533" priority="83">
      <formula>(C125)-(D124)&lt;(C125/100)*(1+$AD$1*$AE$1)</formula>
    </cfRule>
  </conditionalFormatting>
  <conditionalFormatting sqref="Y125">
    <cfRule type="cellIs" dxfId="1532" priority="84" operator="equal">
      <formula>0</formula>
    </cfRule>
  </conditionalFormatting>
  <conditionalFormatting sqref="Y132 Y134">
    <cfRule type="cellIs" dxfId="1531" priority="81" operator="lessThanOrEqual">
      <formula>0</formula>
    </cfRule>
  </conditionalFormatting>
  <conditionalFormatting sqref="Y133">
    <cfRule type="cellIs" dxfId="1530" priority="80" operator="equal">
      <formula>0</formula>
    </cfRule>
  </conditionalFormatting>
  <conditionalFormatting sqref="Y135">
    <cfRule type="cellIs" dxfId="1529" priority="79" operator="equal">
      <formula>0</formula>
    </cfRule>
  </conditionalFormatting>
  <conditionalFormatting sqref="Y130">
    <cfRule type="cellIs" dxfId="1528" priority="76" operator="lessThanOrEqual">
      <formula>0</formula>
    </cfRule>
    <cfRule type="expression" dxfId="1527" priority="77">
      <formula>(C131)-(D130)&lt;(C131/100)*(1+$AD$1*$AE$1)</formula>
    </cfRule>
  </conditionalFormatting>
  <conditionalFormatting sqref="Y131">
    <cfRule type="cellIs" dxfId="1526" priority="78" operator="equal">
      <formula>0</formula>
    </cfRule>
  </conditionalFormatting>
  <conditionalFormatting sqref="Y138 Y140">
    <cfRule type="cellIs" dxfId="1525" priority="75" operator="lessThanOrEqual">
      <formula>0</formula>
    </cfRule>
  </conditionalFormatting>
  <conditionalFormatting sqref="Y139">
    <cfRule type="cellIs" dxfId="1524" priority="74" operator="equal">
      <formula>0</formula>
    </cfRule>
  </conditionalFormatting>
  <conditionalFormatting sqref="Y141">
    <cfRule type="cellIs" dxfId="1523" priority="73" operator="equal">
      <formula>0</formula>
    </cfRule>
  </conditionalFormatting>
  <conditionalFormatting sqref="Y136">
    <cfRule type="cellIs" dxfId="1522" priority="70" operator="lessThanOrEqual">
      <formula>0</formula>
    </cfRule>
    <cfRule type="expression" dxfId="1521" priority="71">
      <formula>(C137)-(D136)&lt;(C137/100)*(1+$AD$1*$AE$1)</formula>
    </cfRule>
  </conditionalFormatting>
  <conditionalFormatting sqref="Y137">
    <cfRule type="cellIs" dxfId="1520" priority="72" operator="equal">
      <formula>0</formula>
    </cfRule>
  </conditionalFormatting>
  <conditionalFormatting sqref="Y144 Y146">
    <cfRule type="cellIs" dxfId="1519" priority="69" operator="lessThanOrEqual">
      <formula>0</formula>
    </cfRule>
  </conditionalFormatting>
  <conditionalFormatting sqref="Y145">
    <cfRule type="cellIs" dxfId="1518" priority="68" operator="equal">
      <formula>0</formula>
    </cfRule>
  </conditionalFormatting>
  <conditionalFormatting sqref="Y147">
    <cfRule type="cellIs" dxfId="1517" priority="67" operator="equal">
      <formula>0</formula>
    </cfRule>
  </conditionalFormatting>
  <conditionalFormatting sqref="Y142">
    <cfRule type="cellIs" dxfId="1516" priority="64" operator="lessThanOrEqual">
      <formula>0</formula>
    </cfRule>
    <cfRule type="expression" dxfId="1515" priority="65">
      <formula>(C143)-(D142)&lt;(C143/100)*(1+$AD$1*$AE$1)</formula>
    </cfRule>
  </conditionalFormatting>
  <conditionalFormatting sqref="Y143">
    <cfRule type="cellIs" dxfId="1514" priority="66" operator="equal">
      <formula>0</formula>
    </cfRule>
  </conditionalFormatting>
  <conditionalFormatting sqref="Y150 Y152">
    <cfRule type="cellIs" dxfId="1513" priority="63" operator="lessThanOrEqual">
      <formula>0</formula>
    </cfRule>
  </conditionalFormatting>
  <conditionalFormatting sqref="Y151">
    <cfRule type="cellIs" dxfId="1512" priority="62" operator="equal">
      <formula>0</formula>
    </cfRule>
  </conditionalFormatting>
  <conditionalFormatting sqref="Y153">
    <cfRule type="cellIs" dxfId="1511" priority="61" operator="equal">
      <formula>0</formula>
    </cfRule>
  </conditionalFormatting>
  <conditionalFormatting sqref="Y148">
    <cfRule type="cellIs" dxfId="1510" priority="58" operator="lessThanOrEqual">
      <formula>0</formula>
    </cfRule>
    <cfRule type="expression" dxfId="1509" priority="59">
      <formula>(C149)-(D148)&lt;(C149/100)*(1+$AD$1*$AE$1)</formula>
    </cfRule>
  </conditionalFormatting>
  <conditionalFormatting sqref="Y149">
    <cfRule type="cellIs" dxfId="1508" priority="60" operator="equal">
      <formula>0</formula>
    </cfRule>
  </conditionalFormatting>
  <conditionalFormatting sqref="Y156 Y158">
    <cfRule type="cellIs" dxfId="1507" priority="57" operator="lessThanOrEqual">
      <formula>0</formula>
    </cfRule>
  </conditionalFormatting>
  <conditionalFormatting sqref="Y157">
    <cfRule type="cellIs" dxfId="1506" priority="56" operator="equal">
      <formula>0</formula>
    </cfRule>
  </conditionalFormatting>
  <conditionalFormatting sqref="Y159">
    <cfRule type="cellIs" dxfId="1505" priority="55" operator="equal">
      <formula>0</formula>
    </cfRule>
  </conditionalFormatting>
  <conditionalFormatting sqref="Y154">
    <cfRule type="cellIs" dxfId="1504" priority="52" operator="lessThanOrEqual">
      <formula>0</formula>
    </cfRule>
    <cfRule type="expression" dxfId="1503" priority="53">
      <formula>(C155)-(D154)&lt;(C155/100)*(1+$AD$1*$AE$1)</formula>
    </cfRule>
  </conditionalFormatting>
  <conditionalFormatting sqref="Y155">
    <cfRule type="cellIs" dxfId="1502" priority="54" operator="equal">
      <formula>0</formula>
    </cfRule>
  </conditionalFormatting>
  <conditionalFormatting sqref="Y162 Y164">
    <cfRule type="cellIs" dxfId="1501" priority="51" operator="lessThanOrEqual">
      <formula>0</formula>
    </cfRule>
  </conditionalFormatting>
  <conditionalFormatting sqref="Y163">
    <cfRule type="cellIs" dxfId="1500" priority="50" operator="equal">
      <formula>0</formula>
    </cfRule>
  </conditionalFormatting>
  <conditionalFormatting sqref="Y165">
    <cfRule type="cellIs" dxfId="1499" priority="49" operator="equal">
      <formula>0</formula>
    </cfRule>
  </conditionalFormatting>
  <conditionalFormatting sqref="Y160">
    <cfRule type="cellIs" dxfId="1498" priority="46" operator="lessThanOrEqual">
      <formula>0</formula>
    </cfRule>
    <cfRule type="expression" dxfId="1497" priority="47">
      <formula>(C161)-(D160)&lt;(C161/100)*(1+$AD$1*$AE$1)</formula>
    </cfRule>
  </conditionalFormatting>
  <conditionalFormatting sqref="Y161">
    <cfRule type="cellIs" dxfId="1496" priority="48" operator="equal">
      <formula>0</formula>
    </cfRule>
  </conditionalFormatting>
  <conditionalFormatting sqref="Y168 Y170">
    <cfRule type="cellIs" dxfId="1495" priority="45" operator="lessThanOrEqual">
      <formula>0</formula>
    </cfRule>
  </conditionalFormatting>
  <conditionalFormatting sqref="Y169">
    <cfRule type="cellIs" dxfId="1494" priority="44" operator="equal">
      <formula>0</formula>
    </cfRule>
  </conditionalFormatting>
  <conditionalFormatting sqref="Y171">
    <cfRule type="cellIs" dxfId="1493" priority="43" operator="equal">
      <formula>0</formula>
    </cfRule>
  </conditionalFormatting>
  <conditionalFormatting sqref="Y166">
    <cfRule type="cellIs" dxfId="1492" priority="40" operator="lessThanOrEqual">
      <formula>0</formula>
    </cfRule>
    <cfRule type="expression" dxfId="1491" priority="41">
      <formula>(C167)-(D166)&lt;(C167/100)*(1+$AD$1*$AE$1)</formula>
    </cfRule>
  </conditionalFormatting>
  <conditionalFormatting sqref="Y167">
    <cfRule type="cellIs" dxfId="1490" priority="42" operator="equal">
      <formula>0</formula>
    </cfRule>
  </conditionalFormatting>
  <conditionalFormatting sqref="V44">
    <cfRule type="cellIs" dxfId="1489" priority="38" operator="lessThan">
      <formula>0</formula>
    </cfRule>
    <cfRule type="cellIs" dxfId="1488" priority="39" operator="equal">
      <formula>0</formula>
    </cfRule>
  </conditionalFormatting>
  <conditionalFormatting sqref="G44">
    <cfRule type="cellIs" dxfId="1487" priority="37" operator="lessThan">
      <formula>0</formula>
    </cfRule>
  </conditionalFormatting>
  <conditionalFormatting sqref="D44">
    <cfRule type="expression" dxfId="1486" priority="36">
      <formula>E44&gt;B44</formula>
    </cfRule>
  </conditionalFormatting>
  <conditionalFormatting sqref="C44">
    <cfRule type="expression" dxfId="1485" priority="35">
      <formula>B44&gt;E44</formula>
    </cfRule>
  </conditionalFormatting>
  <conditionalFormatting sqref="B44">
    <cfRule type="cellIs" dxfId="1484" priority="34" operator="greaterThan">
      <formula>E44</formula>
    </cfRule>
  </conditionalFormatting>
  <conditionalFormatting sqref="E44">
    <cfRule type="cellIs" dxfId="1483" priority="33" operator="greaterThan">
      <formula>B44</formula>
    </cfRule>
  </conditionalFormatting>
  <conditionalFormatting sqref="M44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{7D6618ED-0B3F-45CA-8120-128FA7F49025}</x14:id>
        </ext>
      </extLst>
    </cfRule>
  </conditionalFormatting>
  <conditionalFormatting sqref="Y44:Z44">
    <cfRule type="cellIs" dxfId="1482" priority="29" operator="equal">
      <formula>0</formula>
    </cfRule>
    <cfRule type="expression" dxfId="1481" priority="30">
      <formula>G44*100&lt;Y44</formula>
    </cfRule>
    <cfRule type="expression" dxfId="1480" priority="31">
      <formula>Y44&lt;G44*100</formula>
    </cfRule>
  </conditionalFormatting>
  <conditionalFormatting sqref="W44">
    <cfRule type="cellIs" dxfId="1479" priority="28" operator="equal">
      <formula>0</formula>
    </cfRule>
  </conditionalFormatting>
  <conditionalFormatting sqref="W44">
    <cfRule type="cellIs" dxfId="1478" priority="26" operator="equal">
      <formula>"STOP"</formula>
    </cfRule>
    <cfRule type="cellIs" dxfId="1477" priority="27" operator="equal">
      <formula>"TRAILING"</formula>
    </cfRule>
  </conditionalFormatting>
  <conditionalFormatting sqref="W44">
    <cfRule type="cellIs" dxfId="1476" priority="24" operator="equal">
      <formula>"STOP"</formula>
    </cfRule>
    <cfRule type="cellIs" dxfId="1475" priority="25" operator="equal">
      <formula>"TRAILING"</formula>
    </cfRule>
  </conditionalFormatting>
  <conditionalFormatting sqref="X44">
    <cfRule type="expression" dxfId="1474" priority="22">
      <formula>X44*100&lt;C44</formula>
    </cfRule>
    <cfRule type="cellIs" dxfId="1473" priority="23" operator="equal">
      <formula>0</formula>
    </cfRule>
  </conditionalFormatting>
  <conditionalFormatting sqref="A44">
    <cfRule type="expression" dxfId="1472" priority="21">
      <formula>X44&lt;&gt;0</formula>
    </cfRule>
  </conditionalFormatting>
  <conditionalFormatting sqref="Y45:Z45 Y47:Z47 Y49:Z49 Y51:Z51 Y53:Z53 Y55:Z55 Y57:Z57 Y59:Z59">
    <cfRule type="cellIs" dxfId="1471" priority="18" operator="equal">
      <formula>0</formula>
    </cfRule>
    <cfRule type="expression" dxfId="1470" priority="19">
      <formula>G45*100&lt;Y45</formula>
    </cfRule>
    <cfRule type="expression" dxfId="1469" priority="20">
      <formula>Y45&lt;G45*100</formula>
    </cfRule>
  </conditionalFormatting>
  <conditionalFormatting sqref="W45 W47 W49 W51 W53 W55 W57 W59">
    <cfRule type="cellIs" dxfId="1468" priority="17" operator="equal">
      <formula>0</formula>
    </cfRule>
  </conditionalFormatting>
  <conditionalFormatting sqref="W45 W47 W49 W51 W53 W55 W57 W59">
    <cfRule type="cellIs" dxfId="1467" priority="15" operator="equal">
      <formula>"STOP"</formula>
    </cfRule>
    <cfRule type="cellIs" dxfId="1466" priority="16" operator="equal">
      <formula>"TRAILING"</formula>
    </cfRule>
  </conditionalFormatting>
  <conditionalFormatting sqref="W45 W47 W49 W51 W53 W55 W57 W59">
    <cfRule type="cellIs" dxfId="1465" priority="13" operator="equal">
      <formula>"STOP"</formula>
    </cfRule>
    <cfRule type="cellIs" dxfId="1464" priority="14" operator="equal">
      <formula>"TRAILING"</formula>
    </cfRule>
  </conditionalFormatting>
  <conditionalFormatting sqref="X45 X47 X49 X51 X53 X55 X57 X59">
    <cfRule type="expression" dxfId="1463" priority="11">
      <formula>X45*100&lt;C45</formula>
    </cfRule>
    <cfRule type="cellIs" dxfId="1462" priority="12" operator="equal">
      <formula>0</formula>
    </cfRule>
  </conditionalFormatting>
  <conditionalFormatting sqref="Y46:Z46 Y48:Z48 Y50:Z50 Y52:Z52 Y54:Z54 Y56:Z56 Y58:Z58">
    <cfRule type="cellIs" dxfId="1461" priority="8" operator="equal">
      <formula>0</formula>
    </cfRule>
    <cfRule type="expression" dxfId="1460" priority="9">
      <formula>G46*100&lt;Y46</formula>
    </cfRule>
    <cfRule type="expression" dxfId="1459" priority="10">
      <formula>Y46&lt;G46*100</formula>
    </cfRule>
  </conditionalFormatting>
  <conditionalFormatting sqref="W46 W48 W50 W52 W54 W56 W58">
    <cfRule type="cellIs" dxfId="1458" priority="7" operator="equal">
      <formula>0</formula>
    </cfRule>
  </conditionalFormatting>
  <conditionalFormatting sqref="W46 W48 W50 W52 W54 W56 W58">
    <cfRule type="cellIs" dxfId="1457" priority="5" operator="equal">
      <formula>"STOP"</formula>
    </cfRule>
    <cfRule type="cellIs" dxfId="1456" priority="6" operator="equal">
      <formula>"TRAILING"</formula>
    </cfRule>
  </conditionalFormatting>
  <conditionalFormatting sqref="W46 W48 W50 W52 W54 W56 W58">
    <cfRule type="cellIs" dxfId="1455" priority="3" operator="equal">
      <formula>"STOP"</formula>
    </cfRule>
    <cfRule type="cellIs" dxfId="1454" priority="4" operator="equal">
      <formula>"TRAILING"</formula>
    </cfRule>
  </conditionalFormatting>
  <conditionalFormatting sqref="X46 X48 X50 X52 X54 X56 X58">
    <cfRule type="expression" dxfId="1453" priority="1">
      <formula>X46*100&lt;C46</formula>
    </cfRule>
    <cfRule type="cellIs" dxfId="1452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7D6618ED-0B3F-45CA-8120-128FA7F490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N42" sqref="N42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bestFit="1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3" t="s">
        <v>340</v>
      </c>
      <c r="R2" s="223" t="s">
        <v>341</v>
      </c>
      <c r="S2" s="223" t="s">
        <v>353</v>
      </c>
      <c r="T2" s="223"/>
      <c r="U2" s="223" t="s">
        <v>354</v>
      </c>
      <c r="V2" s="253" t="s">
        <v>610</v>
      </c>
      <c r="W2" s="552" t="s">
        <v>355</v>
      </c>
      <c r="X2" s="553" t="s">
        <v>356</v>
      </c>
      <c r="Y2" s="552" t="s">
        <v>357</v>
      </c>
      <c r="Z2" s="253" t="s">
        <v>610</v>
      </c>
      <c r="AA2" s="565" t="s">
        <v>358</v>
      </c>
      <c r="AB2" s="564" t="s">
        <v>359</v>
      </c>
      <c r="AC2" s="224" t="s">
        <v>340</v>
      </c>
      <c r="AD2" s="225" t="s">
        <v>341</v>
      </c>
      <c r="AE2" s="224" t="s">
        <v>360</v>
      </c>
      <c r="AF2" s="224"/>
      <c r="AG2" s="224" t="s">
        <v>354</v>
      </c>
      <c r="AH2" s="253" t="s">
        <v>610</v>
      </c>
      <c r="AI2" s="552" t="s">
        <v>355</v>
      </c>
      <c r="AJ2" s="553" t="s">
        <v>356</v>
      </c>
      <c r="AK2" s="552" t="s">
        <v>357</v>
      </c>
      <c r="AL2" s="253" t="s">
        <v>610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513" t="s">
        <v>401</v>
      </c>
      <c r="B3" s="203">
        <v>14</v>
      </c>
      <c r="C3" s="200">
        <v>4200</v>
      </c>
      <c r="D3" s="525">
        <v>6.24</v>
      </c>
      <c r="E3" s="526">
        <f t="shared" ref="E3:E72" si="0">+B3*D3*-100</f>
        <v>-8736</v>
      </c>
      <c r="F3" s="527">
        <f t="shared" ref="F3:F34" si="1">IF(B3&gt;0,+B3*D3*(1+($N$53+0.002)*1.21)*-100,B3*D3*(1-($N$53+0.002)*1.21)*-100)</f>
        <v>-8812.1080320000001</v>
      </c>
      <c r="G3" s="202">
        <f t="shared" ref="G3:G37" si="2">IFERROR(VLOOKUP(C3,$R$3:$AA$50,7,0),"")</f>
        <v>3.18</v>
      </c>
      <c r="H3" s="531">
        <f>IFERROR(+G3*B3*-100,0)</f>
        <v>-4452</v>
      </c>
      <c r="I3" s="532">
        <f t="shared" ref="I3:I72" si="3">+IF(G3="",0,(F3-H3))</f>
        <v>-4360.1080320000001</v>
      </c>
      <c r="J3" s="62"/>
      <c r="K3" s="106"/>
      <c r="L3" s="805">
        <f t="shared" ref="L3:L17" si="4">+L4*(1-$N$42)</f>
        <v>1791.9425524598291</v>
      </c>
      <c r="M3" s="554">
        <f t="shared" ref="M3:M34" si="5">ET3</f>
        <v>-8812.11</v>
      </c>
      <c r="N3" s="554">
        <f t="shared" ref="N3:N34" ca="1" si="6">GK3</f>
        <v>-8812.11</v>
      </c>
      <c r="O3" s="62"/>
      <c r="P3" s="198">
        <f>IF(R3="","-",ABS(R3-$L$18))</f>
        <v>70.25</v>
      </c>
      <c r="Q3" s="523">
        <f t="shared" ref="Q3:Q17" si="7">SUMIFS(B$3:B$37,C$3:C$37,R3)</f>
        <v>0</v>
      </c>
      <c r="R3" s="522">
        <v>2900</v>
      </c>
      <c r="S3" s="516">
        <f ca="1">IFERROR((NORMSDIST(((LN($L$18/$R3)+($N$48+($N$46^2)/2)*$N$51)/($N$46*SQRT($N$51))))*$L$18-NORMSDIST((((LN($L$18/$R3)+($N$48+($N$46^2)/2)*$N$51)/($N$46*SQRT($N$51)))-$N$46*SQRT(($N$51))))*$R3*EXP(-$N$48*$N$51)),0)</f>
        <v>183.98303080921755</v>
      </c>
      <c r="T3" s="3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GFGC2900AB - 24hs</v>
      </c>
      <c r="U3" s="3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GFGC2900AB</v>
      </c>
      <c r="V3" s="377">
        <f>IFERROR(VLOOKUP($U3,HomeBroker!$A$30:$F$60,2,0),0)</f>
        <v>0</v>
      </c>
      <c r="W3" s="519">
        <f>IFERROR(VLOOKUP($U3,HomeBroker!$A$30:$F$60,3,0),0)</f>
        <v>129.77000000000001</v>
      </c>
      <c r="X3" s="803">
        <f>IFERROR(VLOOKUP($U3,HomeBroker!$A$30:$F$60,6,0),0)</f>
        <v>129.77000000000001</v>
      </c>
      <c r="Y3" s="518">
        <f>IFERROR(VLOOKUP($U3,HomeBroker!$A$30:$F$60,4,0),0)</f>
        <v>0</v>
      </c>
      <c r="Z3" s="377">
        <f>IFERROR(VLOOKUP($U3,HomeBroker!$A$30:$F$60,5,0),0)</f>
        <v>0</v>
      </c>
      <c r="AA3" s="380">
        <f>IFERROR(VLOOKUP($U3,HomeBroker!$A$30:$N$60,13,0),0)</f>
        <v>0</v>
      </c>
      <c r="AB3" s="199">
        <f>IF(AD3="","-",AD3-$L$18)</f>
        <v>-809.75</v>
      </c>
      <c r="AC3" s="524">
        <f t="shared" ref="AC3:AC17" si="9">SUMIFS(B$38:B$72,C$38:C$72,AD3)</f>
        <v>0</v>
      </c>
      <c r="AD3" s="522">
        <v>2020</v>
      </c>
      <c r="AE3" s="517">
        <f ca="1">IFERROR((NORMSDIST(-(((LN($L$18/$AD3)+($N$48+($N$47^2)/2)*$N$51)/($N$47*SQRT($N$51)))-$N$47*SQRT($N$51)))*$AD3*EXP(-$N$48*$N$51)-NORMSDIST(-((LN($L$18/$AD3)+($N$48+($N$47^2)/2)*$N$51)/($N$47*SQRT($N$51))))*$L$18),0)</f>
        <v>1.8881876577712227</v>
      </c>
      <c r="AF3" s="3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GFGV2020AB - 24hs</v>
      </c>
      <c r="AG3" s="3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GFGV2020AB</v>
      </c>
      <c r="AH3" s="475">
        <f>IFERROR(VLOOKUP($AG3,HomeBroker!$A$30:$F$60,2,0),0)</f>
        <v>6</v>
      </c>
      <c r="AI3" s="519">
        <f>IFERROR(VLOOKUP($AG3,HomeBroker!$A$30:$F$60,3,0),0)</f>
        <v>1.5009999999999999</v>
      </c>
      <c r="AJ3" s="803">
        <f>IFERROR(VLOOKUP($AG3,HomeBroker!$A$30:$F$60,6,0),0)</f>
        <v>1.5009999999999999</v>
      </c>
      <c r="AK3" s="519">
        <f>IFERROR(VLOOKUP($AG3,HomeBroker!$A$30:$F$60,4,0),0)</f>
        <v>1.589</v>
      </c>
      <c r="AL3" s="475">
        <f>IFERROR(VLOOKUP($AG3,HomeBroker!$A$30:$F$60,5,0),0)</f>
        <v>9</v>
      </c>
      <c r="AM3" s="520">
        <f>IFERROR(VLOOKUP($AG3,HomeBroker!$A$30:$N$60,13,0),0)</f>
        <v>809</v>
      </c>
      <c r="AN3" s="62"/>
      <c r="AO3" s="198">
        <f>IF(OR(R3="",X3=0,AJ3=0),"-",R3+X3-AJ3-$L$18)</f>
        <v>198.51899999999978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4">
        <f t="shared" ref="AX3:AX76" si="11">+AU3*AW3*-100</f>
        <v>0</v>
      </c>
      <c r="AY3" s="215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8">
        <f t="shared" ref="BD3:BD76" si="13">+BA3*BC3*-100</f>
        <v>0</v>
      </c>
      <c r="BE3" s="219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21">
        <f t="shared" ref="BI3:BI76" si="15">-BH3*BG3</f>
        <v>0</v>
      </c>
      <c r="BJ3" s="222">
        <f t="shared" ref="BJ3:BJ76" si="16">IF(BG3&gt;0,-BH3*(1+($N$52+0.0008)*1.21)*BG3,-BH3*(1-($N$52+0.0008)*1.21)*BG3)</f>
        <v>0</v>
      </c>
      <c r="DE3" s="117">
        <f t="shared" ref="DE3:DE34" si="17">L3</f>
        <v>1791.9425524598291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-8812.1080320000001</v>
      </c>
      <c r="ES3" s="122"/>
      <c r="ET3" s="123">
        <f t="shared" ref="ET3:ET34" si="54">ROUND($ER$3+EP3+ET36+ET70+ET103,2)</f>
        <v>-8812.11</v>
      </c>
      <c r="EU3" s="72"/>
      <c r="EV3" s="117">
        <f t="shared" ref="EV3:EV34" si="55">$L3</f>
        <v>1791.9425524598291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-8812.1080320000001</v>
      </c>
      <c r="GJ3" s="122"/>
      <c r="GK3" s="123">
        <f t="shared" ref="GK3:GK34" ca="1" si="57">ROUND($GI$3+GG3+GK36+GK70+GK103,2)</f>
        <v>-8812.11</v>
      </c>
    </row>
    <row r="4" spans="1:193" ht="15">
      <c r="A4" s="513" t="s">
        <v>401</v>
      </c>
      <c r="B4" s="203"/>
      <c r="C4" s="200"/>
      <c r="D4" s="525"/>
      <c r="E4" s="526">
        <f t="shared" si="0"/>
        <v>0</v>
      </c>
      <c r="F4" s="527">
        <f t="shared" si="1"/>
        <v>0</v>
      </c>
      <c r="G4" s="202" t="str">
        <f t="shared" si="2"/>
        <v/>
      </c>
      <c r="H4" s="531">
        <f t="shared" ref="H4:H67" si="58">IFERROR(+G4*B4*-100,0)</f>
        <v>0</v>
      </c>
      <c r="I4" s="532">
        <f t="shared" si="3"/>
        <v>0</v>
      </c>
      <c r="J4" s="62"/>
      <c r="K4" s="106"/>
      <c r="L4" s="806">
        <f t="shared" si="4"/>
        <v>1847.3634561441538</v>
      </c>
      <c r="M4" s="555">
        <f t="shared" si="5"/>
        <v>-8812.11</v>
      </c>
      <c r="N4" s="555">
        <f t="shared" ca="1" si="6"/>
        <v>-8812.11</v>
      </c>
      <c r="O4" s="62"/>
      <c r="P4" s="198">
        <f t="shared" ref="P4:P42" si="59">IF(R4="","-",ABS(R4-$L$18))</f>
        <v>170.25</v>
      </c>
      <c r="Q4" s="523">
        <f t="shared" si="7"/>
        <v>0</v>
      </c>
      <c r="R4" s="522">
        <v>3000</v>
      </c>
      <c r="S4" s="516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138.31468973844562</v>
      </c>
      <c r="T4" s="3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GFGC3000AB - 24hs</v>
      </c>
      <c r="U4" s="379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GFGC3000AB</v>
      </c>
      <c r="V4" s="377">
        <f>IFERROR(VLOOKUP($U4,HomeBroker!$A$30:$F$60,2,0),0)</f>
        <v>0</v>
      </c>
      <c r="W4" s="519">
        <f>IFERROR(VLOOKUP($U4,HomeBroker!$A$30:$F$60,3,0),0)</f>
        <v>86.34</v>
      </c>
      <c r="X4" s="803">
        <f>IFERROR(VLOOKUP($U4,HomeBroker!$A$30:$F$60,6,0),0)</f>
        <v>86.34</v>
      </c>
      <c r="Y4" s="518">
        <f>IFERROR(VLOOKUP($U4,HomeBroker!$A$30:$F$60,4,0),0)</f>
        <v>0</v>
      </c>
      <c r="Z4" s="377">
        <f>IFERROR(VLOOKUP($U4,HomeBroker!$A$30:$F$60,5,0),0)</f>
        <v>0</v>
      </c>
      <c r="AA4" s="380">
        <f>IFERROR(VLOOKUP($U4,HomeBroker!$A$30:$N$60,13,0),0)</f>
        <v>0</v>
      </c>
      <c r="AB4" s="199">
        <f t="shared" ref="AB4:AB42" si="63">IF(AD4="","-",AD4-$L$18)</f>
        <v>-729.75</v>
      </c>
      <c r="AC4" s="524">
        <f t="shared" si="9"/>
        <v>0</v>
      </c>
      <c r="AD4" s="522">
        <v>2100</v>
      </c>
      <c r="AE4" s="517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3.5942306467431351</v>
      </c>
      <c r="AF4" s="3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GFGV2100AB - 24hs</v>
      </c>
      <c r="AG4" s="3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GFGV2100AB</v>
      </c>
      <c r="AH4" s="475">
        <f>IFERROR(VLOOKUP($AG4,HomeBroker!$A$30:$F$60,2,0),0)</f>
        <v>56</v>
      </c>
      <c r="AI4" s="519">
        <f>IFERROR(VLOOKUP($AG4,HomeBroker!$A$30:$F$60,3,0),0)</f>
        <v>2.2509999999999999</v>
      </c>
      <c r="AJ4" s="803">
        <f>IFERROR(VLOOKUP($AG4,HomeBroker!$A$30:$F$60,6,0),0)</f>
        <v>2.9</v>
      </c>
      <c r="AK4" s="519">
        <f>IFERROR(VLOOKUP($AG4,HomeBroker!$A$30:$F$60,4,0),0)</f>
        <v>3.1989999999999998</v>
      </c>
      <c r="AL4" s="475">
        <f>IFERROR(VLOOKUP($AG4,HomeBroker!$A$30:$F$60,5,0),0)</f>
        <v>11</v>
      </c>
      <c r="AM4" s="521">
        <f>IFERROR(VLOOKUP($AG4,HomeBroker!$A$30:$N$60,13,0),0)</f>
        <v>1197</v>
      </c>
      <c r="AN4" s="62"/>
      <c r="AO4" s="198">
        <f t="shared" ref="AO4:AO42" si="67">IF(OR(R4="",X4=0,AJ4=0),"-",R4+X4-AJ4-$L$18)</f>
        <v>253.69000000000005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6">
        <f t="shared" si="11"/>
        <v>0</v>
      </c>
      <c r="AY4" s="217">
        <f t="shared" si="12"/>
        <v>0</v>
      </c>
      <c r="AZ4" s="114" t="s">
        <v>402</v>
      </c>
      <c r="BA4" s="112"/>
      <c r="BB4" s="105"/>
      <c r="BC4" s="115"/>
      <c r="BD4" s="218">
        <f t="shared" si="13"/>
        <v>0</v>
      </c>
      <c r="BE4" s="220">
        <f t="shared" si="14"/>
        <v>0</v>
      </c>
      <c r="BF4" s="116" t="s">
        <v>403</v>
      </c>
      <c r="BG4" s="112"/>
      <c r="BH4" s="115"/>
      <c r="BI4" s="221">
        <f t="shared" si="15"/>
        <v>0</v>
      </c>
      <c r="BJ4" s="222">
        <f t="shared" si="16"/>
        <v>0</v>
      </c>
      <c r="DE4" s="117">
        <f t="shared" si="17"/>
        <v>1847.3634561441538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-8812.11</v>
      </c>
      <c r="EU4" s="72"/>
      <c r="EV4" s="117">
        <f t="shared" si="55"/>
        <v>1847.3634561441538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-8812.11</v>
      </c>
    </row>
    <row r="5" spans="1:193" ht="15">
      <c r="A5" s="513" t="s">
        <v>401</v>
      </c>
      <c r="B5" s="203"/>
      <c r="C5" s="200"/>
      <c r="D5" s="525"/>
      <c r="E5" s="526">
        <f t="shared" si="0"/>
        <v>0</v>
      </c>
      <c r="F5" s="527">
        <f t="shared" si="1"/>
        <v>0</v>
      </c>
      <c r="G5" s="202" t="str">
        <f t="shared" si="2"/>
        <v/>
      </c>
      <c r="H5" s="531">
        <f t="shared" si="58"/>
        <v>0</v>
      </c>
      <c r="I5" s="532">
        <f t="shared" si="3"/>
        <v>0</v>
      </c>
      <c r="J5" s="62"/>
      <c r="K5" s="106"/>
      <c r="L5" s="806">
        <f t="shared" si="4"/>
        <v>1904.4984083960348</v>
      </c>
      <c r="M5" s="555">
        <f t="shared" si="5"/>
        <v>-8812.11</v>
      </c>
      <c r="N5" s="555">
        <f t="shared" ca="1" si="6"/>
        <v>-8812.11</v>
      </c>
      <c r="O5" s="62"/>
      <c r="P5" s="198">
        <f t="shared" si="59"/>
        <v>320.25</v>
      </c>
      <c r="Q5" s="523">
        <f t="shared" si="7"/>
        <v>0</v>
      </c>
      <c r="R5" s="522">
        <v>3150</v>
      </c>
      <c r="S5" s="516">
        <f t="shared" ca="1" si="60"/>
        <v>86.283541658870604</v>
      </c>
      <c r="T5" s="379" t="str">
        <f t="shared" si="61"/>
        <v>MERV - XMEV - GFGC3150AB - 24hs</v>
      </c>
      <c r="U5" s="379" t="str">
        <f t="shared" si="62"/>
        <v>GFGC3150AB</v>
      </c>
      <c r="V5" s="377">
        <f>IFERROR(VLOOKUP($U5,HomeBroker!$A$30:$F$60,2,0),0)</f>
        <v>0</v>
      </c>
      <c r="W5" s="519">
        <f>IFERROR(VLOOKUP($U5,HomeBroker!$A$30:$F$60,3,0),0)</f>
        <v>40.01</v>
      </c>
      <c r="X5" s="803">
        <f>IFERROR(VLOOKUP($U5,HomeBroker!$A$30:$F$60,6,0),0)</f>
        <v>40.01</v>
      </c>
      <c r="Y5" s="518">
        <f>IFERROR(VLOOKUP($U5,HomeBroker!$A$30:$F$60,4,0),0)</f>
        <v>0</v>
      </c>
      <c r="Z5" s="377">
        <f>IFERROR(VLOOKUP($U5,HomeBroker!$A$30:$F$60,5,0),0)</f>
        <v>0</v>
      </c>
      <c r="AA5" s="380">
        <f>IFERROR(VLOOKUP($U5,HomeBroker!$A$30:$N$60,13,0),0)</f>
        <v>0</v>
      </c>
      <c r="AB5" s="199">
        <f t="shared" si="63"/>
        <v>-629.75</v>
      </c>
      <c r="AC5" s="524">
        <f t="shared" si="9"/>
        <v>0</v>
      </c>
      <c r="AD5" s="522">
        <v>2200</v>
      </c>
      <c r="AE5" s="517">
        <f t="shared" ca="1" si="64"/>
        <v>7.354779815631602</v>
      </c>
      <c r="AF5" s="379" t="str">
        <f t="shared" si="65"/>
        <v>MERV - XMEV - GFGV2200AB - 24hs</v>
      </c>
      <c r="AG5" s="379" t="str">
        <f t="shared" si="66"/>
        <v>GFGV2200AB</v>
      </c>
      <c r="AH5" s="475">
        <f>IFERROR(VLOOKUP($AG5,HomeBroker!$A$30:$F$60,2,0),0)</f>
        <v>15</v>
      </c>
      <c r="AI5" s="519">
        <f>IFERROR(VLOOKUP($AG5,HomeBroker!$A$30:$F$60,3,0),0)</f>
        <v>5.65</v>
      </c>
      <c r="AJ5" s="803">
        <f>IFERROR(VLOOKUP($AG5,HomeBroker!$A$30:$F$60,6,0),0)</f>
        <v>5.84</v>
      </c>
      <c r="AK5" s="519">
        <f>IFERROR(VLOOKUP($AG5,HomeBroker!$A$30:$F$60,4,0),0)</f>
        <v>5.84</v>
      </c>
      <c r="AL5" s="475">
        <f>IFERROR(VLOOKUP($AG5,HomeBroker!$A$30:$F$60,5,0),0)</f>
        <v>7</v>
      </c>
      <c r="AM5" s="521">
        <f>IFERROR(VLOOKUP($AG5,HomeBroker!$A$30:$N$60,13,0),0)</f>
        <v>2877</v>
      </c>
      <c r="AN5" s="62"/>
      <c r="AO5" s="198">
        <f t="shared" si="67"/>
        <v>354.42000000000007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6">
        <f t="shared" si="11"/>
        <v>0</v>
      </c>
      <c r="AY5" s="217">
        <f t="shared" si="12"/>
        <v>0</v>
      </c>
      <c r="AZ5" s="114" t="s">
        <v>402</v>
      </c>
      <c r="BA5" s="112"/>
      <c r="BB5" s="105"/>
      <c r="BC5" s="115"/>
      <c r="BD5" s="218">
        <f t="shared" si="13"/>
        <v>0</v>
      </c>
      <c r="BE5" s="220">
        <f t="shared" si="14"/>
        <v>0</v>
      </c>
      <c r="BF5" s="116" t="s">
        <v>403</v>
      </c>
      <c r="BG5" s="112"/>
      <c r="BH5" s="115"/>
      <c r="BI5" s="221">
        <f t="shared" si="15"/>
        <v>0</v>
      </c>
      <c r="BJ5" s="222">
        <f t="shared" si="16"/>
        <v>0</v>
      </c>
      <c r="DE5" s="117">
        <f t="shared" si="17"/>
        <v>1904.4984083960348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-8812.11</v>
      </c>
      <c r="EU5" s="72"/>
      <c r="EV5" s="117">
        <f t="shared" si="55"/>
        <v>1904.4984083960348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-8812.11</v>
      </c>
    </row>
    <row r="6" spans="1:193" ht="15">
      <c r="A6" s="513" t="s">
        <v>401</v>
      </c>
      <c r="B6" s="203"/>
      <c r="C6" s="200"/>
      <c r="D6" s="525"/>
      <c r="E6" s="526">
        <f t="shared" si="0"/>
        <v>0</v>
      </c>
      <c r="F6" s="527">
        <f t="shared" si="1"/>
        <v>0</v>
      </c>
      <c r="G6" s="202" t="str">
        <f t="shared" si="2"/>
        <v/>
      </c>
      <c r="H6" s="531">
        <f t="shared" si="58"/>
        <v>0</v>
      </c>
      <c r="I6" s="532">
        <f t="shared" si="3"/>
        <v>0</v>
      </c>
      <c r="J6" s="62"/>
      <c r="K6" s="106"/>
      <c r="L6" s="806">
        <f t="shared" si="4"/>
        <v>1963.4004210268401</v>
      </c>
      <c r="M6" s="556">
        <f t="shared" si="5"/>
        <v>-8812.11</v>
      </c>
      <c r="N6" s="556">
        <f t="shared" ca="1" si="6"/>
        <v>-8812.11</v>
      </c>
      <c r="O6" s="62"/>
      <c r="P6" s="198">
        <f t="shared" si="59"/>
        <v>470.25</v>
      </c>
      <c r="Q6" s="523">
        <f t="shared" si="7"/>
        <v>0</v>
      </c>
      <c r="R6" s="522">
        <v>3300</v>
      </c>
      <c r="S6" s="516">
        <f t="shared" ca="1" si="60"/>
        <v>51.14685391652813</v>
      </c>
      <c r="T6" s="379" t="str">
        <f t="shared" si="61"/>
        <v>MERV - XMEV - GFGC3300AB - 24hs</v>
      </c>
      <c r="U6" s="379" t="str">
        <f t="shared" si="62"/>
        <v>GFGC3300AB</v>
      </c>
      <c r="V6" s="377">
        <f>IFERROR(VLOOKUP($U6,HomeBroker!$A$30:$F$60,2,0),0)</f>
        <v>0</v>
      </c>
      <c r="W6" s="519">
        <f>IFERROR(VLOOKUP($U6,HomeBroker!$A$30:$F$60,3,0),0)</f>
        <v>22.03</v>
      </c>
      <c r="X6" s="803">
        <f>IFERROR(VLOOKUP($U6,HomeBroker!$A$30:$F$60,6,0),0)</f>
        <v>22.03</v>
      </c>
      <c r="Y6" s="518">
        <f>IFERROR(VLOOKUP($U6,HomeBroker!$A$30:$F$60,4,0),0)</f>
        <v>0</v>
      </c>
      <c r="Z6" s="377">
        <f>IFERROR(VLOOKUP($U6,HomeBroker!$A$30:$F$60,5,0),0)</f>
        <v>0</v>
      </c>
      <c r="AA6" s="380">
        <f>IFERROR(VLOOKUP($U6,HomeBroker!$A$30:$N$60,13,0),0)</f>
        <v>0</v>
      </c>
      <c r="AB6" s="199">
        <f t="shared" si="63"/>
        <v>-529.75</v>
      </c>
      <c r="AC6" s="524">
        <f t="shared" si="9"/>
        <v>0</v>
      </c>
      <c r="AD6" s="522">
        <v>2300</v>
      </c>
      <c r="AE6" s="517">
        <f t="shared" ca="1" si="64"/>
        <v>13.804251525951855</v>
      </c>
      <c r="AF6" s="379" t="str">
        <f t="shared" si="65"/>
        <v>MERV - XMEV - GFGV2300AB - 24hs</v>
      </c>
      <c r="AG6" s="379" t="str">
        <f t="shared" si="66"/>
        <v>GFGV2300AB</v>
      </c>
      <c r="AH6" s="475">
        <f>IFERROR(VLOOKUP($AG6,HomeBroker!$A$30:$F$60,2,0),0)</f>
        <v>10</v>
      </c>
      <c r="AI6" s="519">
        <f>IFERROR(VLOOKUP($AG6,HomeBroker!$A$30:$F$60,3,0),0)</f>
        <v>9.4009999999999998</v>
      </c>
      <c r="AJ6" s="803">
        <f>IFERROR(VLOOKUP($AG6,HomeBroker!$A$30:$F$60,6,0),0)</f>
        <v>9.6</v>
      </c>
      <c r="AK6" s="519">
        <f>IFERROR(VLOOKUP($AG6,HomeBroker!$A$30:$F$60,4,0),0)</f>
        <v>10.15</v>
      </c>
      <c r="AL6" s="475">
        <f>IFERROR(VLOOKUP($AG6,HomeBroker!$A$30:$F$60,5,0),0)</f>
        <v>1</v>
      </c>
      <c r="AM6" s="521">
        <f>IFERROR(VLOOKUP($AG6,HomeBroker!$A$30:$N$60,13,0),0)</f>
        <v>2534</v>
      </c>
      <c r="AN6" s="62"/>
      <c r="AO6" s="198">
        <f t="shared" si="67"/>
        <v>482.68000000000029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6">
        <f t="shared" si="11"/>
        <v>0</v>
      </c>
      <c r="AY6" s="217">
        <f t="shared" si="12"/>
        <v>0</v>
      </c>
      <c r="AZ6" s="114" t="s">
        <v>402</v>
      </c>
      <c r="BA6" s="112"/>
      <c r="BB6" s="129"/>
      <c r="BC6" s="115"/>
      <c r="BD6" s="218">
        <f t="shared" si="13"/>
        <v>0</v>
      </c>
      <c r="BE6" s="220">
        <f t="shared" si="14"/>
        <v>0</v>
      </c>
      <c r="BF6" s="116" t="s">
        <v>403</v>
      </c>
      <c r="BG6" s="112"/>
      <c r="BH6" s="115"/>
      <c r="BI6" s="221">
        <f t="shared" si="15"/>
        <v>0</v>
      </c>
      <c r="BJ6" s="222">
        <f t="shared" si="16"/>
        <v>0</v>
      </c>
      <c r="DE6" s="117">
        <f t="shared" si="17"/>
        <v>1963.4004210268401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-8812.11</v>
      </c>
      <c r="EU6" s="72"/>
      <c r="EV6" s="117">
        <f t="shared" si="55"/>
        <v>1963.4004210268401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-8812.11</v>
      </c>
    </row>
    <row r="7" spans="1:193" ht="15">
      <c r="A7" s="513" t="s">
        <v>401</v>
      </c>
      <c r="B7" s="203"/>
      <c r="C7" s="200"/>
      <c r="D7" s="525"/>
      <c r="E7" s="526">
        <f t="shared" si="0"/>
        <v>0</v>
      </c>
      <c r="F7" s="527">
        <f t="shared" si="1"/>
        <v>0</v>
      </c>
      <c r="G7" s="202" t="str">
        <f t="shared" si="2"/>
        <v/>
      </c>
      <c r="H7" s="531">
        <f t="shared" si="58"/>
        <v>0</v>
      </c>
      <c r="I7" s="532">
        <f t="shared" si="3"/>
        <v>0</v>
      </c>
      <c r="J7" s="62"/>
      <c r="K7" s="106">
        <f>IFERROR(-1+(L7/$L$18),"")</f>
        <v>-0.28469859691191979</v>
      </c>
      <c r="L7" s="806">
        <f t="shared" si="4"/>
        <v>2024.124145388495</v>
      </c>
      <c r="M7" s="555">
        <f t="shared" si="5"/>
        <v>-8812.11</v>
      </c>
      <c r="N7" s="555">
        <f t="shared" ca="1" si="6"/>
        <v>-8812.11</v>
      </c>
      <c r="O7" s="62"/>
      <c r="P7" s="198">
        <f t="shared" si="59"/>
        <v>620.25</v>
      </c>
      <c r="Q7" s="523">
        <f t="shared" si="7"/>
        <v>0</v>
      </c>
      <c r="R7" s="522">
        <v>3450</v>
      </c>
      <c r="S7" s="516">
        <f t="shared" ca="1" si="60"/>
        <v>28.888332405705739</v>
      </c>
      <c r="T7" s="379" t="str">
        <f t="shared" si="61"/>
        <v>MERV - XMEV - GFGC3450AB - 24hs</v>
      </c>
      <c r="U7" s="379" t="str">
        <f t="shared" si="62"/>
        <v>GFGC3450AB</v>
      </c>
      <c r="V7" s="377">
        <f>IFERROR(VLOOKUP($U7,HomeBroker!$A$30:$F$60,2,0),0)</f>
        <v>0</v>
      </c>
      <c r="W7" s="519">
        <f>IFERROR(VLOOKUP($U7,HomeBroker!$A$30:$F$60,3,0),0)</f>
        <v>12.5</v>
      </c>
      <c r="X7" s="803">
        <f>IFERROR(VLOOKUP($U7,HomeBroker!$A$30:$F$60,6,0),0)</f>
        <v>12.5</v>
      </c>
      <c r="Y7" s="518">
        <f>IFERROR(VLOOKUP($U7,HomeBroker!$A$30:$F$60,4,0),0)</f>
        <v>0</v>
      </c>
      <c r="Z7" s="377">
        <f>IFERROR(VLOOKUP($U7,HomeBroker!$A$30:$F$60,5,0),0)</f>
        <v>0</v>
      </c>
      <c r="AA7" s="380">
        <f>IFERROR(VLOOKUP($U7,HomeBroker!$A$30:$N$60,13,0),0)</f>
        <v>0</v>
      </c>
      <c r="AB7" s="199">
        <f t="shared" si="63"/>
        <v>-429.75</v>
      </c>
      <c r="AC7" s="524">
        <f t="shared" si="9"/>
        <v>0</v>
      </c>
      <c r="AD7" s="522">
        <v>2400</v>
      </c>
      <c r="AE7" s="517">
        <f t="shared" ca="1" si="64"/>
        <v>24.031412026356975</v>
      </c>
      <c r="AF7" s="379" t="str">
        <f t="shared" si="65"/>
        <v>MERV - XMEV - GFGV2400AB - 24hs</v>
      </c>
      <c r="AG7" s="379" t="str">
        <f t="shared" si="66"/>
        <v>GFGV2400AB</v>
      </c>
      <c r="AH7" s="475">
        <f>IFERROR(VLOOKUP($AG7,HomeBroker!$A$30:$F$60,2,0),0)</f>
        <v>15</v>
      </c>
      <c r="AI7" s="519">
        <f>IFERROR(VLOOKUP($AG7,HomeBroker!$A$30:$F$60,3,0),0)</f>
        <v>15.5</v>
      </c>
      <c r="AJ7" s="803">
        <f>IFERROR(VLOOKUP($AG7,HomeBroker!$A$30:$F$60,6,0),0)</f>
        <v>16</v>
      </c>
      <c r="AK7" s="519">
        <f>IFERROR(VLOOKUP($AG7,HomeBroker!$A$30:$F$60,4,0),0)</f>
        <v>16.2</v>
      </c>
      <c r="AL7" s="475">
        <f>IFERROR(VLOOKUP($AG7,HomeBroker!$A$30:$F$60,5,0),0)</f>
        <v>20</v>
      </c>
      <c r="AM7" s="521">
        <f>IFERROR(VLOOKUP($AG7,HomeBroker!$A$30:$N$60,13,0),0)</f>
        <v>3525</v>
      </c>
      <c r="AN7" s="62"/>
      <c r="AO7" s="198">
        <f t="shared" si="67"/>
        <v>616.75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6">
        <f t="shared" si="11"/>
        <v>0</v>
      </c>
      <c r="AY7" s="217">
        <f t="shared" si="12"/>
        <v>0</v>
      </c>
      <c r="AZ7" s="114" t="s">
        <v>402</v>
      </c>
      <c r="BA7" s="112"/>
      <c r="BB7" s="129"/>
      <c r="BC7" s="115"/>
      <c r="BD7" s="218">
        <f t="shared" si="13"/>
        <v>0</v>
      </c>
      <c r="BE7" s="220">
        <f t="shared" si="14"/>
        <v>0</v>
      </c>
      <c r="BF7" s="116" t="s">
        <v>403</v>
      </c>
      <c r="BG7" s="112"/>
      <c r="BH7" s="115"/>
      <c r="BI7" s="221">
        <f t="shared" si="15"/>
        <v>0</v>
      </c>
      <c r="BJ7" s="222">
        <f t="shared" si="16"/>
        <v>0</v>
      </c>
      <c r="DE7" s="117">
        <f t="shared" si="17"/>
        <v>2024.124145388495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-8812.11</v>
      </c>
      <c r="EU7" s="72"/>
      <c r="EV7" s="117">
        <f t="shared" si="55"/>
        <v>2024.124145388495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-8812.11</v>
      </c>
    </row>
    <row r="8" spans="1:193" ht="15">
      <c r="A8" s="513" t="s">
        <v>401</v>
      </c>
      <c r="B8" s="203"/>
      <c r="C8" s="200"/>
      <c r="D8" s="525"/>
      <c r="E8" s="526">
        <f t="shared" si="0"/>
        <v>0</v>
      </c>
      <c r="F8" s="527">
        <f t="shared" si="1"/>
        <v>0</v>
      </c>
      <c r="G8" s="202" t="str">
        <f t="shared" si="2"/>
        <v/>
      </c>
      <c r="H8" s="531">
        <f t="shared" si="58"/>
        <v>0</v>
      </c>
      <c r="I8" s="532">
        <f t="shared" si="3"/>
        <v>0</v>
      </c>
      <c r="J8" s="62"/>
      <c r="K8" s="495"/>
      <c r="L8" s="807">
        <f t="shared" si="4"/>
        <v>2086.7259230809227</v>
      </c>
      <c r="M8" s="555">
        <f t="shared" si="5"/>
        <v>-8812.11</v>
      </c>
      <c r="N8" s="555">
        <f t="shared" ca="1" si="6"/>
        <v>-8812.11</v>
      </c>
      <c r="O8" s="62"/>
      <c r="P8" s="198">
        <f t="shared" si="59"/>
        <v>770.25</v>
      </c>
      <c r="Q8" s="523">
        <f t="shared" si="7"/>
        <v>0</v>
      </c>
      <c r="R8" s="522">
        <v>3600</v>
      </c>
      <c r="S8" s="516">
        <f t="shared" ca="1" si="60"/>
        <v>15.597738876307346</v>
      </c>
      <c r="T8" s="379" t="str">
        <f t="shared" si="61"/>
        <v>MERV - XMEV - GFGC3600AB - 24hs</v>
      </c>
      <c r="U8" s="379" t="str">
        <f t="shared" si="62"/>
        <v>GFGC3600AB</v>
      </c>
      <c r="V8" s="377">
        <f>IFERROR(VLOOKUP($U8,HomeBroker!$A$30:$F$60,2,0),0)</f>
        <v>0</v>
      </c>
      <c r="W8" s="519">
        <f>IFERROR(VLOOKUP($U8,HomeBroker!$A$30:$F$60,3,0),0)</f>
        <v>8.15</v>
      </c>
      <c r="X8" s="803">
        <f>IFERROR(VLOOKUP($U8,HomeBroker!$A$30:$F$60,6,0),0)</f>
        <v>8.15</v>
      </c>
      <c r="Y8" s="518">
        <f>IFERROR(VLOOKUP($U8,HomeBroker!$A$30:$F$60,4,0),0)</f>
        <v>0</v>
      </c>
      <c r="Z8" s="377">
        <f>IFERROR(VLOOKUP($U8,HomeBroker!$A$30:$F$60,5,0),0)</f>
        <v>0</v>
      </c>
      <c r="AA8" s="380">
        <f>IFERROR(VLOOKUP($U8,HomeBroker!$A$30:$N$60,13,0),0)</f>
        <v>0</v>
      </c>
      <c r="AB8" s="199">
        <f t="shared" si="63"/>
        <v>-329.75</v>
      </c>
      <c r="AC8" s="524">
        <f t="shared" si="9"/>
        <v>0</v>
      </c>
      <c r="AD8" s="522">
        <v>2500</v>
      </c>
      <c r="AE8" s="517">
        <f t="shared" ca="1" si="64"/>
        <v>39.177527698474648</v>
      </c>
      <c r="AF8" s="379" t="str">
        <f t="shared" si="65"/>
        <v>MERV - XMEV - GFGV2500AB - 24hs</v>
      </c>
      <c r="AG8" s="379" t="str">
        <f t="shared" si="66"/>
        <v>GFGV2500AB</v>
      </c>
      <c r="AH8" s="475">
        <f>IFERROR(VLOOKUP($AG8,HomeBroker!$A$30:$F$60,2,0),0)</f>
        <v>20</v>
      </c>
      <c r="AI8" s="519">
        <f>IFERROR(VLOOKUP($AG8,HomeBroker!$A$30:$F$60,3,0),0)</f>
        <v>25.5</v>
      </c>
      <c r="AJ8" s="803">
        <f>IFERROR(VLOOKUP($AG8,HomeBroker!$A$30:$F$60,6,0),0)</f>
        <v>25.001000000000001</v>
      </c>
      <c r="AK8" s="519">
        <f>IFERROR(VLOOKUP($AG8,HomeBroker!$A$30:$F$60,4,0),0)</f>
        <v>25.898</v>
      </c>
      <c r="AL8" s="475">
        <f>IFERROR(VLOOKUP($AG8,HomeBroker!$A$30:$F$60,5,0),0)</f>
        <v>1</v>
      </c>
      <c r="AM8" s="521">
        <f>IFERROR(VLOOKUP($AG8,HomeBroker!$A$30:$N$60,13,0),0)</f>
        <v>4786</v>
      </c>
      <c r="AN8" s="62"/>
      <c r="AO8" s="198">
        <f t="shared" si="67"/>
        <v>753.39899999999989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6">
        <f t="shared" si="11"/>
        <v>0</v>
      </c>
      <c r="AY8" s="217">
        <f t="shared" si="12"/>
        <v>0</v>
      </c>
      <c r="AZ8" s="114" t="s">
        <v>402</v>
      </c>
      <c r="BA8" s="112"/>
      <c r="BB8" s="129"/>
      <c r="BC8" s="115"/>
      <c r="BD8" s="218">
        <f t="shared" si="13"/>
        <v>0</v>
      </c>
      <c r="BE8" s="220">
        <f t="shared" si="14"/>
        <v>0</v>
      </c>
      <c r="BF8" s="116" t="s">
        <v>403</v>
      </c>
      <c r="BG8" s="112"/>
      <c r="BH8" s="115"/>
      <c r="BI8" s="221">
        <f t="shared" si="15"/>
        <v>0</v>
      </c>
      <c r="BJ8" s="222">
        <f t="shared" si="16"/>
        <v>0</v>
      </c>
      <c r="DE8" s="117">
        <f t="shared" si="17"/>
        <v>2086.7259230809227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-8812.11</v>
      </c>
      <c r="EU8" s="72"/>
      <c r="EV8" s="117">
        <f t="shared" si="55"/>
        <v>2086.7259230809227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-8812.11</v>
      </c>
    </row>
    <row r="9" spans="1:193" ht="15">
      <c r="A9" s="513" t="s">
        <v>401</v>
      </c>
      <c r="B9" s="203"/>
      <c r="C9" s="200"/>
      <c r="D9" s="525"/>
      <c r="E9" s="526">
        <f t="shared" si="0"/>
        <v>0</v>
      </c>
      <c r="F9" s="527">
        <f t="shared" si="1"/>
        <v>0</v>
      </c>
      <c r="G9" s="202" t="str">
        <f t="shared" si="2"/>
        <v/>
      </c>
      <c r="H9" s="531">
        <f t="shared" si="58"/>
        <v>0</v>
      </c>
      <c r="I9" s="532">
        <f t="shared" si="3"/>
        <v>0</v>
      </c>
      <c r="J9" s="62"/>
      <c r="K9" s="496"/>
      <c r="L9" s="807">
        <f t="shared" si="4"/>
        <v>2151.2638382277555</v>
      </c>
      <c r="M9" s="556">
        <f t="shared" si="5"/>
        <v>-8812.11</v>
      </c>
      <c r="N9" s="556">
        <f t="shared" ca="1" si="6"/>
        <v>-8812.11</v>
      </c>
      <c r="O9" s="62"/>
      <c r="P9" s="198">
        <f t="shared" si="59"/>
        <v>920.25</v>
      </c>
      <c r="Q9" s="523">
        <f t="shared" si="7"/>
        <v>0</v>
      </c>
      <c r="R9" s="522">
        <v>3750</v>
      </c>
      <c r="S9" s="516">
        <f t="shared" ca="1" si="60"/>
        <v>8.0792474619711925</v>
      </c>
      <c r="T9" s="379" t="str">
        <f t="shared" si="61"/>
        <v>MERV - XMEV - GFGC3750AB - 24hs</v>
      </c>
      <c r="U9" s="379" t="str">
        <f t="shared" si="62"/>
        <v>GFGC3750AB</v>
      </c>
      <c r="V9" s="377">
        <f>IFERROR(VLOOKUP($U9,HomeBroker!$A$30:$F$60,2,0),0)</f>
        <v>0</v>
      </c>
      <c r="W9" s="519">
        <f>IFERROR(VLOOKUP($U9,HomeBroker!$A$30:$F$60,3,0),0)</f>
        <v>5.59</v>
      </c>
      <c r="X9" s="803">
        <f>IFERROR(VLOOKUP($U9,HomeBroker!$A$30:$F$60,6,0),0)</f>
        <v>5.59</v>
      </c>
      <c r="Y9" s="518">
        <f>IFERROR(VLOOKUP($U9,HomeBroker!$A$30:$F$60,4,0),0)</f>
        <v>0</v>
      </c>
      <c r="Z9" s="377">
        <f>IFERROR(VLOOKUP($U9,HomeBroker!$A$30:$F$60,5,0),0)</f>
        <v>0</v>
      </c>
      <c r="AA9" s="380">
        <f>IFERROR(VLOOKUP($U9,HomeBroker!$A$30:$N$60,13,0),0)</f>
        <v>0</v>
      </c>
      <c r="AB9" s="199">
        <f t="shared" si="63"/>
        <v>-229.75</v>
      </c>
      <c r="AC9" s="524">
        <f t="shared" si="9"/>
        <v>0</v>
      </c>
      <c r="AD9" s="522">
        <v>2600</v>
      </c>
      <c r="AE9" s="517">
        <f t="shared" ca="1" si="64"/>
        <v>60.31047759966998</v>
      </c>
      <c r="AF9" s="379" t="str">
        <f t="shared" si="65"/>
        <v>MERV - XMEV - GFGV2600AB - 24hs</v>
      </c>
      <c r="AG9" s="379" t="str">
        <f t="shared" si="66"/>
        <v>GFGV2600AB</v>
      </c>
      <c r="AH9" s="475">
        <f>IFERROR(VLOOKUP($AG9,HomeBroker!$A$30:$F$60,2,0),0)</f>
        <v>10</v>
      </c>
      <c r="AI9" s="519">
        <f>IFERROR(VLOOKUP($AG9,HomeBroker!$A$30:$F$60,3,0),0)</f>
        <v>38.200000000000003</v>
      </c>
      <c r="AJ9" s="803">
        <f>IFERROR(VLOOKUP($AG9,HomeBroker!$A$30:$F$60,6,0),0)</f>
        <v>38.805999999999997</v>
      </c>
      <c r="AK9" s="519">
        <f>IFERROR(VLOOKUP($AG9,HomeBroker!$A$30:$F$60,4,0),0)</f>
        <v>41.634</v>
      </c>
      <c r="AL9" s="475">
        <f>IFERROR(VLOOKUP($AG9,HomeBroker!$A$30:$F$60,5,0),0)</f>
        <v>6</v>
      </c>
      <c r="AM9" s="521">
        <f>IFERROR(VLOOKUP($AG9,HomeBroker!$A$30:$N$60,13,0),0)</f>
        <v>2581</v>
      </c>
      <c r="AN9" s="62"/>
      <c r="AO9" s="198">
        <f t="shared" si="67"/>
        <v>887.03400000000011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6">
        <f t="shared" si="11"/>
        <v>0</v>
      </c>
      <c r="AY9" s="217">
        <f t="shared" si="12"/>
        <v>0</v>
      </c>
      <c r="AZ9" s="114" t="s">
        <v>402</v>
      </c>
      <c r="BA9" s="112"/>
      <c r="BB9" s="129"/>
      <c r="BC9" s="115"/>
      <c r="BD9" s="218">
        <f t="shared" si="13"/>
        <v>0</v>
      </c>
      <c r="BE9" s="220">
        <f t="shared" si="14"/>
        <v>0</v>
      </c>
      <c r="BF9" s="116" t="s">
        <v>403</v>
      </c>
      <c r="BG9" s="112"/>
      <c r="BH9" s="115"/>
      <c r="BI9" s="221">
        <f t="shared" si="15"/>
        <v>0</v>
      </c>
      <c r="BJ9" s="222">
        <f t="shared" si="16"/>
        <v>0</v>
      </c>
      <c r="DE9" s="117">
        <f t="shared" si="17"/>
        <v>2151.2638382277555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-8812.11</v>
      </c>
      <c r="EU9" s="72"/>
      <c r="EV9" s="117">
        <f t="shared" si="55"/>
        <v>2151.2638382277555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-8812.11</v>
      </c>
    </row>
    <row r="10" spans="1:193" ht="15">
      <c r="A10" s="513" t="s">
        <v>401</v>
      </c>
      <c r="B10" s="203"/>
      <c r="C10" s="200"/>
      <c r="D10" s="525"/>
      <c r="E10" s="526">
        <f t="shared" si="0"/>
        <v>0</v>
      </c>
      <c r="F10" s="527">
        <f t="shared" si="1"/>
        <v>0</v>
      </c>
      <c r="G10" s="202" t="str">
        <f t="shared" si="2"/>
        <v/>
      </c>
      <c r="H10" s="531">
        <f t="shared" si="58"/>
        <v>0</v>
      </c>
      <c r="I10" s="532">
        <f t="shared" si="3"/>
        <v>0</v>
      </c>
      <c r="J10" s="62"/>
      <c r="K10" s="496"/>
      <c r="L10" s="807">
        <f t="shared" si="4"/>
        <v>2217.7977713688201</v>
      </c>
      <c r="M10" s="555">
        <f t="shared" si="5"/>
        <v>-8812.11</v>
      </c>
      <c r="N10" s="555">
        <f t="shared" ca="1" si="6"/>
        <v>-8812.11</v>
      </c>
      <c r="O10" s="62"/>
      <c r="P10" s="198">
        <f t="shared" si="59"/>
        <v>1070.25</v>
      </c>
      <c r="Q10" s="523">
        <f t="shared" si="7"/>
        <v>0</v>
      </c>
      <c r="R10" s="522">
        <v>3900</v>
      </c>
      <c r="S10" s="516">
        <f t="shared" ca="1" si="60"/>
        <v>4.0290798736230045</v>
      </c>
      <c r="T10" s="379" t="str">
        <f t="shared" si="61"/>
        <v>MERV - XMEV - GFGC3900AB - 24hs</v>
      </c>
      <c r="U10" s="379" t="str">
        <f t="shared" si="62"/>
        <v>GFGC3900AB</v>
      </c>
      <c r="V10" s="377">
        <f>IFERROR(VLOOKUP($U10,HomeBroker!$A$30:$F$60,2,0),0)</f>
        <v>0</v>
      </c>
      <c r="W10" s="519">
        <f>IFERROR(VLOOKUP($U10,HomeBroker!$A$30:$F$60,3,0),0)</f>
        <v>4.3899999999999997</v>
      </c>
      <c r="X10" s="803">
        <f>IFERROR(VLOOKUP($U10,HomeBroker!$A$30:$F$60,6,0),0)</f>
        <v>4.3899999999999997</v>
      </c>
      <c r="Y10" s="518">
        <f>IFERROR(VLOOKUP($U10,HomeBroker!$A$30:$F$60,4,0),0)</f>
        <v>0</v>
      </c>
      <c r="Z10" s="377">
        <f>IFERROR(VLOOKUP($U10,HomeBroker!$A$30:$F$60,5,0),0)</f>
        <v>0</v>
      </c>
      <c r="AA10" s="380">
        <f>IFERROR(VLOOKUP($U10,HomeBroker!$A$30:$N$60,13,0),0)</f>
        <v>0</v>
      </c>
      <c r="AB10" s="199">
        <f t="shared" si="63"/>
        <v>-129.75</v>
      </c>
      <c r="AC10" s="524">
        <f t="shared" si="9"/>
        <v>0</v>
      </c>
      <c r="AD10" s="522">
        <v>2700</v>
      </c>
      <c r="AE10" s="517">
        <f t="shared" ca="1" si="64"/>
        <v>88.304355078544972</v>
      </c>
      <c r="AF10" s="379" t="str">
        <f t="shared" si="65"/>
        <v>MERV - XMEV - GFGV2700AB - 24hs</v>
      </c>
      <c r="AG10" s="379" t="str">
        <f t="shared" si="66"/>
        <v>GFGV2700AB</v>
      </c>
      <c r="AH10" s="475">
        <f>IFERROR(VLOOKUP($AG10,HomeBroker!$A$30:$F$60,2,0),0)</f>
        <v>8</v>
      </c>
      <c r="AI10" s="519">
        <f>IFERROR(VLOOKUP($AG10,HomeBroker!$A$30:$F$60,3,0),0)</f>
        <v>58.000999999999998</v>
      </c>
      <c r="AJ10" s="803">
        <f>IFERROR(VLOOKUP($AG10,HomeBroker!$A$30:$F$60,6,0),0)</f>
        <v>59</v>
      </c>
      <c r="AK10" s="519">
        <f>IFERROR(VLOOKUP($AG10,HomeBroker!$A$30:$F$60,4,0),0)</f>
        <v>61</v>
      </c>
      <c r="AL10" s="475">
        <f>IFERROR(VLOOKUP($AG10,HomeBroker!$A$30:$F$60,5,0),0)</f>
        <v>10</v>
      </c>
      <c r="AM10" s="521">
        <f>IFERROR(VLOOKUP($AG10,HomeBroker!$A$30:$N$60,13,0),0)</f>
        <v>2283</v>
      </c>
      <c r="AN10" s="62"/>
      <c r="AO10" s="198">
        <f t="shared" si="67"/>
        <v>1015.6399999999999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6">
        <f t="shared" si="11"/>
        <v>0</v>
      </c>
      <c r="AY10" s="217">
        <f t="shared" si="12"/>
        <v>0</v>
      </c>
      <c r="AZ10" s="114" t="s">
        <v>402</v>
      </c>
      <c r="BA10" s="112"/>
      <c r="BB10" s="129"/>
      <c r="BC10" s="115"/>
      <c r="BD10" s="218">
        <f t="shared" si="13"/>
        <v>0</v>
      </c>
      <c r="BE10" s="220">
        <f t="shared" si="14"/>
        <v>0</v>
      </c>
      <c r="BF10" s="116" t="s">
        <v>403</v>
      </c>
      <c r="BG10" s="112"/>
      <c r="BH10" s="115"/>
      <c r="BI10" s="221">
        <f t="shared" si="15"/>
        <v>0</v>
      </c>
      <c r="BJ10" s="222">
        <f t="shared" si="16"/>
        <v>0</v>
      </c>
      <c r="DE10" s="117">
        <f t="shared" si="17"/>
        <v>2217.7977713688201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-8812.11</v>
      </c>
      <c r="EU10" s="72"/>
      <c r="EV10" s="117">
        <f t="shared" si="55"/>
        <v>2217.7977713688201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-8812.11</v>
      </c>
    </row>
    <row r="11" spans="1:193" ht="15">
      <c r="A11" s="513" t="s">
        <v>401</v>
      </c>
      <c r="B11" s="203"/>
      <c r="C11" s="200"/>
      <c r="D11" s="525"/>
      <c r="E11" s="526">
        <f t="shared" si="0"/>
        <v>0</v>
      </c>
      <c r="F11" s="527">
        <f t="shared" si="1"/>
        <v>0</v>
      </c>
      <c r="G11" s="202" t="str">
        <f t="shared" si="2"/>
        <v/>
      </c>
      <c r="H11" s="531">
        <f t="shared" si="58"/>
        <v>0</v>
      </c>
      <c r="I11" s="532">
        <f t="shared" si="3"/>
        <v>0</v>
      </c>
      <c r="J11" s="62"/>
      <c r="K11" s="496"/>
      <c r="L11" s="807">
        <f t="shared" si="4"/>
        <v>2286.3894550194022</v>
      </c>
      <c r="M11" s="555">
        <f t="shared" si="5"/>
        <v>-8812.11</v>
      </c>
      <c r="N11" s="555">
        <f t="shared" ca="1" si="6"/>
        <v>-8812.11</v>
      </c>
      <c r="O11" s="62"/>
      <c r="P11" s="198">
        <f t="shared" si="59"/>
        <v>1220.25</v>
      </c>
      <c r="Q11" s="523">
        <f t="shared" si="7"/>
        <v>0</v>
      </c>
      <c r="R11" s="522">
        <v>4050</v>
      </c>
      <c r="S11" s="516">
        <f t="shared" ca="1" si="60"/>
        <v>1.9412651501724056</v>
      </c>
      <c r="T11" s="379" t="str">
        <f t="shared" si="61"/>
        <v>MERV - XMEV - GFGC4050AB - 24hs</v>
      </c>
      <c r="U11" s="379" t="str">
        <f t="shared" si="62"/>
        <v>GFGC4050AB</v>
      </c>
      <c r="V11" s="377">
        <f>IFERROR(VLOOKUP($U11,HomeBroker!$A$30:$F$60,2,0),0)</f>
        <v>0</v>
      </c>
      <c r="W11" s="519">
        <f>IFERROR(VLOOKUP($U11,HomeBroker!$A$30:$F$60,3,0),0)</f>
        <v>3.36</v>
      </c>
      <c r="X11" s="803">
        <f>IFERROR(VLOOKUP($U11,HomeBroker!$A$30:$F$60,6,0),0)</f>
        <v>3.36</v>
      </c>
      <c r="Y11" s="518">
        <f>IFERROR(VLOOKUP($U11,HomeBroker!$A$30:$F$60,4,0),0)</f>
        <v>0</v>
      </c>
      <c r="Z11" s="377">
        <f>IFERROR(VLOOKUP($U11,HomeBroker!$A$30:$F$60,5,0),0)</f>
        <v>0</v>
      </c>
      <c r="AA11" s="380">
        <f>IFERROR(VLOOKUP($U11,HomeBroker!$A$30:$N$60,13,0),0)</f>
        <v>0</v>
      </c>
      <c r="AB11" s="199">
        <f t="shared" si="63"/>
        <v>70.25</v>
      </c>
      <c r="AC11" s="524">
        <f t="shared" si="9"/>
        <v>0</v>
      </c>
      <c r="AD11" s="522">
        <v>2900</v>
      </c>
      <c r="AE11" s="517">
        <f t="shared" ca="1" si="64"/>
        <v>166.90357358452684</v>
      </c>
      <c r="AF11" s="379" t="str">
        <f t="shared" si="65"/>
        <v>MERV - XMEV - GFGV2900AB - 24hs</v>
      </c>
      <c r="AG11" s="379" t="str">
        <f t="shared" si="66"/>
        <v>GFGV2900AB</v>
      </c>
      <c r="AH11" s="475">
        <f>IFERROR(VLOOKUP($AG11,HomeBroker!$A$30:$F$60,2,0),0)</f>
        <v>6</v>
      </c>
      <c r="AI11" s="519">
        <f>IFERROR(VLOOKUP($AG11,HomeBroker!$A$30:$F$60,3,0),0)</f>
        <v>136.001</v>
      </c>
      <c r="AJ11" s="803">
        <f>IFERROR(VLOOKUP($AG11,HomeBroker!$A$30:$F$60,6,0),0)</f>
        <v>140</v>
      </c>
      <c r="AK11" s="519">
        <f>IFERROR(VLOOKUP($AG11,HomeBroker!$A$30:$F$60,4,0),0)</f>
        <v>145</v>
      </c>
      <c r="AL11" s="475">
        <f>IFERROR(VLOOKUP($AG11,HomeBroker!$A$30:$F$60,5,0),0)</f>
        <v>25</v>
      </c>
      <c r="AM11" s="521">
        <f>IFERROR(VLOOKUP($AG11,HomeBroker!$A$30:$N$60,13,0),0)</f>
        <v>225</v>
      </c>
      <c r="AN11" s="62"/>
      <c r="AO11" s="198">
        <f t="shared" si="67"/>
        <v>1083.6100000000001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6">
        <f t="shared" si="11"/>
        <v>0</v>
      </c>
      <c r="AY11" s="217">
        <f t="shared" si="12"/>
        <v>0</v>
      </c>
      <c r="AZ11" s="114" t="s">
        <v>402</v>
      </c>
      <c r="BA11" s="112"/>
      <c r="BB11" s="129"/>
      <c r="BC11" s="115"/>
      <c r="BD11" s="218">
        <f t="shared" si="13"/>
        <v>0</v>
      </c>
      <c r="BE11" s="220">
        <f t="shared" si="14"/>
        <v>0</v>
      </c>
      <c r="BF11" s="116" t="s">
        <v>403</v>
      </c>
      <c r="BG11" s="112"/>
      <c r="BH11" s="115"/>
      <c r="BI11" s="221">
        <f t="shared" si="15"/>
        <v>0</v>
      </c>
      <c r="BJ11" s="222">
        <f t="shared" si="16"/>
        <v>0</v>
      </c>
      <c r="DE11" s="117">
        <f t="shared" si="17"/>
        <v>2286.3894550194022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-8812.11</v>
      </c>
      <c r="EU11" s="72"/>
      <c r="EV11" s="117">
        <f t="shared" si="55"/>
        <v>2286.3894550194022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-8812.11</v>
      </c>
    </row>
    <row r="12" spans="1:193" ht="15">
      <c r="A12" s="513" t="s">
        <v>401</v>
      </c>
      <c r="B12" s="203"/>
      <c r="C12" s="200"/>
      <c r="D12" s="525"/>
      <c r="E12" s="526">
        <f t="shared" si="0"/>
        <v>0</v>
      </c>
      <c r="F12" s="527">
        <f t="shared" si="1"/>
        <v>0</v>
      </c>
      <c r="G12" s="202" t="str">
        <f t="shared" si="2"/>
        <v/>
      </c>
      <c r="H12" s="531">
        <f t="shared" si="58"/>
        <v>0</v>
      </c>
      <c r="I12" s="532">
        <f t="shared" si="3"/>
        <v>0</v>
      </c>
      <c r="J12" s="62"/>
      <c r="K12" s="496">
        <f>IFERROR(-1+(L12/$L$18),"")</f>
        <v>-0.16702799507100019</v>
      </c>
      <c r="L12" s="807">
        <f t="shared" si="4"/>
        <v>2357.1025309478373</v>
      </c>
      <c r="M12" s="556">
        <f t="shared" si="5"/>
        <v>-8812.11</v>
      </c>
      <c r="N12" s="556">
        <f t="shared" ca="1" si="6"/>
        <v>-8812.11</v>
      </c>
      <c r="O12" s="62"/>
      <c r="P12" s="198">
        <f t="shared" si="59"/>
        <v>1370.25</v>
      </c>
      <c r="Q12" s="523">
        <f t="shared" si="7"/>
        <v>14</v>
      </c>
      <c r="R12" s="522">
        <v>4200</v>
      </c>
      <c r="S12" s="516">
        <f t="shared" ca="1" si="60"/>
        <v>0.90667927812460292</v>
      </c>
      <c r="T12" s="379" t="str">
        <f t="shared" si="61"/>
        <v>MERV - XMEV - GFGC4200AB - 24hs</v>
      </c>
      <c r="U12" s="379" t="str">
        <f t="shared" si="62"/>
        <v>GFGC4200AB</v>
      </c>
      <c r="V12" s="377">
        <f>IFERROR(VLOOKUP($U12,HomeBroker!$A$30:$F$60,2,0),0)</f>
        <v>0</v>
      </c>
      <c r="W12" s="519">
        <f>IFERROR(VLOOKUP($U12,HomeBroker!$A$30:$F$60,3,0),0)</f>
        <v>3.18</v>
      </c>
      <c r="X12" s="803">
        <f>IFERROR(VLOOKUP($U12,HomeBroker!$A$30:$F$60,6,0),0)</f>
        <v>3.18</v>
      </c>
      <c r="Y12" s="518">
        <f>IFERROR(VLOOKUP($U12,HomeBroker!$A$30:$F$60,4,0),0)</f>
        <v>0</v>
      </c>
      <c r="Z12" s="377">
        <f>IFERROR(VLOOKUP($U12,HomeBroker!$A$30:$F$60,5,0),0)</f>
        <v>0</v>
      </c>
      <c r="AA12" s="380">
        <f>IFERROR(VLOOKUP($U12,HomeBroker!$A$30:$N$60,13,0),0)</f>
        <v>0</v>
      </c>
      <c r="AB12" s="199">
        <f t="shared" si="63"/>
        <v>170.25</v>
      </c>
      <c r="AC12" s="524">
        <f t="shared" si="9"/>
        <v>0</v>
      </c>
      <c r="AD12" s="522">
        <v>3000</v>
      </c>
      <c r="AE12" s="517">
        <f t="shared" ca="1" si="64"/>
        <v>217.69800211184429</v>
      </c>
      <c r="AF12" s="379" t="str">
        <f t="shared" si="65"/>
        <v>MERV - XMEV - GFGV3000AB - 24hs</v>
      </c>
      <c r="AG12" s="379" t="str">
        <f t="shared" si="66"/>
        <v>GFGV3000AB</v>
      </c>
      <c r="AH12" s="475">
        <f>IFERROR(VLOOKUP($AG12,HomeBroker!$A$30:$F$60,2,0),0)</f>
        <v>10</v>
      </c>
      <c r="AI12" s="519">
        <f>IFERROR(VLOOKUP($AG12,HomeBroker!$A$30:$F$60,3,0),0)</f>
        <v>190</v>
      </c>
      <c r="AJ12" s="803">
        <f>IFERROR(VLOOKUP($AG12,HomeBroker!$A$30:$F$60,6,0),0)</f>
        <v>205</v>
      </c>
      <c r="AK12" s="519">
        <f>IFERROR(VLOOKUP($AG12,HomeBroker!$A$30:$F$60,4,0),0)</f>
        <v>205</v>
      </c>
      <c r="AL12" s="475">
        <f>IFERROR(VLOOKUP($AG12,HomeBroker!$A$30:$F$60,5,0),0)</f>
        <v>7</v>
      </c>
      <c r="AM12" s="521">
        <f>IFERROR(VLOOKUP($AG12,HomeBroker!$A$30:$N$60,13,0),0)</f>
        <v>47</v>
      </c>
      <c r="AN12" s="62"/>
      <c r="AO12" s="198">
        <f t="shared" si="67"/>
        <v>1168.4300000000003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6">
        <f t="shared" si="11"/>
        <v>0</v>
      </c>
      <c r="AY12" s="217">
        <f t="shared" si="12"/>
        <v>0</v>
      </c>
      <c r="AZ12" s="114" t="s">
        <v>402</v>
      </c>
      <c r="BA12" s="112"/>
      <c r="BB12" s="129"/>
      <c r="BC12" s="115"/>
      <c r="BD12" s="218">
        <f t="shared" si="13"/>
        <v>0</v>
      </c>
      <c r="BE12" s="220">
        <f t="shared" si="14"/>
        <v>0</v>
      </c>
      <c r="BF12" s="116" t="s">
        <v>403</v>
      </c>
      <c r="BG12" s="112"/>
      <c r="BH12" s="115"/>
      <c r="BI12" s="221">
        <f t="shared" si="15"/>
        <v>0</v>
      </c>
      <c r="BJ12" s="222">
        <f t="shared" si="16"/>
        <v>0</v>
      </c>
      <c r="DE12" s="117">
        <f t="shared" si="17"/>
        <v>2357.1025309478373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-8812.11</v>
      </c>
      <c r="EU12" s="72"/>
      <c r="EV12" s="117">
        <f t="shared" si="55"/>
        <v>2357.1025309478373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-8812.11</v>
      </c>
    </row>
    <row r="13" spans="1:193" ht="15">
      <c r="A13" s="513" t="s">
        <v>401</v>
      </c>
      <c r="B13" s="203"/>
      <c r="C13" s="200"/>
      <c r="D13" s="525"/>
      <c r="E13" s="526">
        <f t="shared" si="0"/>
        <v>0</v>
      </c>
      <c r="F13" s="527">
        <f t="shared" si="1"/>
        <v>0</v>
      </c>
      <c r="G13" s="202" t="str">
        <f t="shared" si="2"/>
        <v/>
      </c>
      <c r="H13" s="531">
        <f t="shared" si="58"/>
        <v>0</v>
      </c>
      <c r="I13" s="532">
        <f t="shared" si="3"/>
        <v>0</v>
      </c>
      <c r="J13" s="62"/>
      <c r="K13" s="497">
        <f>IFERROR(-1+(L13/$L$18),"")</f>
        <v>-0.1412659743000001</v>
      </c>
      <c r="L13" s="808">
        <f t="shared" si="4"/>
        <v>2430.0026092245748</v>
      </c>
      <c r="M13" s="555">
        <f t="shared" si="5"/>
        <v>-8812.11</v>
      </c>
      <c r="N13" s="555">
        <f t="shared" ca="1" si="6"/>
        <v>-8812.11</v>
      </c>
      <c r="O13" s="62"/>
      <c r="P13" s="198">
        <f t="shared" si="59"/>
        <v>70.25</v>
      </c>
      <c r="Q13" s="523">
        <f t="shared" si="7"/>
        <v>0</v>
      </c>
      <c r="R13" s="522">
        <v>2900</v>
      </c>
      <c r="S13" s="516">
        <f t="shared" ca="1" si="60"/>
        <v>183.98303080921755</v>
      </c>
      <c r="T13" s="379" t="str">
        <f t="shared" si="61"/>
        <v>MERV - XMEV - GFGC2900AB - 24hs</v>
      </c>
      <c r="U13" s="379" t="s">
        <v>629</v>
      </c>
      <c r="V13" s="377">
        <f>IFERROR(VLOOKUP($U13,HomeBroker!$A$30:$F$60,2,0),0)</f>
        <v>0</v>
      </c>
      <c r="W13" s="519">
        <f>IFERROR(VLOOKUP($U13,HomeBroker!$A$30:$F$60,3,0),0)</f>
        <v>0</v>
      </c>
      <c r="X13" s="803">
        <f>IFERROR(VLOOKUP($U13,HomeBroker!$A$30:$F$60,6,0),0)</f>
        <v>0</v>
      </c>
      <c r="Y13" s="518">
        <f>IFERROR(VLOOKUP($U13,HomeBroker!$A$30:$F$60,4,0),0)</f>
        <v>0</v>
      </c>
      <c r="Z13" s="377">
        <f>IFERROR(VLOOKUP($U13,HomeBroker!$A$30:$F$60,5,0),0)</f>
        <v>0</v>
      </c>
      <c r="AA13" s="380">
        <f>IFERROR(VLOOKUP($U13,HomeBroker!$A$30:$N$60,13,0),0)</f>
        <v>0</v>
      </c>
      <c r="AB13" s="199" t="str">
        <f t="shared" si="63"/>
        <v>-</v>
      </c>
      <c r="AC13" s="524">
        <f t="shared" si="9"/>
        <v>0</v>
      </c>
      <c r="AD13" s="522"/>
      <c r="AE13" s="517">
        <f t="shared" ca="1" si="64"/>
        <v>0</v>
      </c>
      <c r="AF13" s="379" t="str">
        <f t="shared" si="65"/>
        <v/>
      </c>
      <c r="AG13" s="379" t="str">
        <f t="shared" si="66"/>
        <v/>
      </c>
      <c r="AH13" s="475">
        <f>IFERROR(VLOOKUP($AG13,HomeBroker!$A$30:$F$60,2,0),0)</f>
        <v>0</v>
      </c>
      <c r="AI13" s="519">
        <f>IFERROR(VLOOKUP($AG13,HomeBroker!$A$30:$F$60,3,0),0)</f>
        <v>0</v>
      </c>
      <c r="AJ13" s="803">
        <f>IFERROR(VLOOKUP($AG13,HomeBroker!$A$30:$F$60,6,0),0)</f>
        <v>0</v>
      </c>
      <c r="AK13" s="519">
        <f>IFERROR(VLOOKUP($AG13,HomeBroker!$A$30:$F$60,4,0),0)</f>
        <v>0</v>
      </c>
      <c r="AL13" s="475">
        <f>IFERROR(VLOOKUP($AG13,HomeBroker!$A$30:$F$60,5,0),0)</f>
        <v>0</v>
      </c>
      <c r="AM13" s="521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6">
        <f t="shared" si="11"/>
        <v>0</v>
      </c>
      <c r="AY13" s="217">
        <f t="shared" si="12"/>
        <v>0</v>
      </c>
      <c r="AZ13" s="114" t="s">
        <v>402</v>
      </c>
      <c r="BA13" s="112"/>
      <c r="BB13" s="129"/>
      <c r="BC13" s="115"/>
      <c r="BD13" s="218">
        <f t="shared" si="13"/>
        <v>0</v>
      </c>
      <c r="BE13" s="220">
        <f t="shared" si="14"/>
        <v>0</v>
      </c>
      <c r="BF13" s="116" t="s">
        <v>403</v>
      </c>
      <c r="BG13" s="112"/>
      <c r="BH13" s="115"/>
      <c r="BI13" s="221">
        <f t="shared" si="15"/>
        <v>0</v>
      </c>
      <c r="BJ13" s="222">
        <f t="shared" si="16"/>
        <v>0</v>
      </c>
      <c r="DE13" s="117">
        <f t="shared" si="17"/>
        <v>2430.0026092245748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-8812.11</v>
      </c>
      <c r="EU13" s="72"/>
      <c r="EV13" s="117">
        <f t="shared" si="55"/>
        <v>2430.0026092245748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-8812.11</v>
      </c>
    </row>
    <row r="14" spans="1:193" ht="15">
      <c r="A14" s="513" t="s">
        <v>401</v>
      </c>
      <c r="B14" s="203"/>
      <c r="C14" s="200"/>
      <c r="D14" s="525"/>
      <c r="E14" s="526">
        <f t="shared" si="0"/>
        <v>0</v>
      </c>
      <c r="F14" s="527">
        <f t="shared" si="1"/>
        <v>0</v>
      </c>
      <c r="G14" s="202" t="str">
        <f t="shared" si="2"/>
        <v/>
      </c>
      <c r="H14" s="531">
        <f t="shared" si="58"/>
        <v>0</v>
      </c>
      <c r="I14" s="532">
        <f t="shared" si="3"/>
        <v>0</v>
      </c>
      <c r="J14" s="62"/>
      <c r="K14" s="498">
        <f>IFERROR(-1+(L14/$L$18),"")</f>
        <v>-0.11470719000000007</v>
      </c>
      <c r="L14" s="808">
        <f t="shared" si="4"/>
        <v>2505.1573290974998</v>
      </c>
      <c r="M14" s="555">
        <f t="shared" si="5"/>
        <v>-8812.11</v>
      </c>
      <c r="N14" s="555">
        <f t="shared" ca="1" si="6"/>
        <v>-8812.11</v>
      </c>
      <c r="O14" s="62"/>
      <c r="P14" s="198">
        <f t="shared" si="59"/>
        <v>170.25</v>
      </c>
      <c r="Q14" s="523">
        <f t="shared" si="7"/>
        <v>0</v>
      </c>
      <c r="R14" s="522">
        <v>3000</v>
      </c>
      <c r="S14" s="516">
        <f t="shared" ca="1" si="60"/>
        <v>138.31468973844562</v>
      </c>
      <c r="T14" s="379" t="str">
        <f t="shared" si="61"/>
        <v>MERV - XMEV - GFGC3000AB - 24hs</v>
      </c>
      <c r="U14" s="379" t="s">
        <v>630</v>
      </c>
      <c r="V14" s="377">
        <f>IFERROR(VLOOKUP($U14,HomeBroker!$A$30:$F$60,2,0),0)</f>
        <v>0</v>
      </c>
      <c r="W14" s="519">
        <f>IFERROR(VLOOKUP($U14,HomeBroker!$A$30:$F$60,3,0),0)</f>
        <v>383.5</v>
      </c>
      <c r="X14" s="803">
        <f>IFERROR(VLOOKUP($U14,HomeBroker!$A$30:$F$60,6,0),0)</f>
        <v>383.5</v>
      </c>
      <c r="Y14" s="518">
        <f>IFERROR(VLOOKUP($U14,HomeBroker!$A$30:$F$60,4,0),0)</f>
        <v>0</v>
      </c>
      <c r="Z14" s="377">
        <f>IFERROR(VLOOKUP($U14,HomeBroker!$A$30:$F$60,5,0),0)</f>
        <v>0</v>
      </c>
      <c r="AA14" s="380">
        <f>IFERROR(VLOOKUP($U14,HomeBroker!$A$30:$N$60,13,0),0)</f>
        <v>0</v>
      </c>
      <c r="AB14" s="199" t="str">
        <f t="shared" si="63"/>
        <v>-</v>
      </c>
      <c r="AC14" s="524">
        <f t="shared" si="9"/>
        <v>0</v>
      </c>
      <c r="AD14" s="522"/>
      <c r="AE14" s="517">
        <f t="shared" ca="1" si="64"/>
        <v>0</v>
      </c>
      <c r="AF14" s="379" t="str">
        <f t="shared" si="65"/>
        <v/>
      </c>
      <c r="AG14" s="379" t="str">
        <f t="shared" si="66"/>
        <v/>
      </c>
      <c r="AH14" s="475">
        <f>IFERROR(VLOOKUP($AG14,HomeBroker!$A$30:$F$60,2,0),0)</f>
        <v>0</v>
      </c>
      <c r="AI14" s="519">
        <f>IFERROR(VLOOKUP($AG14,HomeBroker!$A$30:$F$60,3,0),0)</f>
        <v>0</v>
      </c>
      <c r="AJ14" s="803">
        <f>IFERROR(VLOOKUP($AG14,HomeBroker!$A$30:$F$60,6,0),0)</f>
        <v>0</v>
      </c>
      <c r="AK14" s="519">
        <f>IFERROR(VLOOKUP($AG14,HomeBroker!$A$30:$F$60,4,0),0)</f>
        <v>0</v>
      </c>
      <c r="AL14" s="475">
        <f>IFERROR(VLOOKUP($AG14,HomeBroker!$A$30:$F$60,5,0),0)</f>
        <v>0</v>
      </c>
      <c r="AM14" s="521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6">
        <f t="shared" si="11"/>
        <v>0</v>
      </c>
      <c r="AY14" s="217">
        <f t="shared" si="12"/>
        <v>0</v>
      </c>
      <c r="AZ14" s="114" t="s">
        <v>402</v>
      </c>
      <c r="BA14" s="112"/>
      <c r="BB14" s="129"/>
      <c r="BC14" s="115"/>
      <c r="BD14" s="218">
        <f t="shared" si="13"/>
        <v>0</v>
      </c>
      <c r="BE14" s="220">
        <f t="shared" si="14"/>
        <v>0</v>
      </c>
      <c r="BF14" s="116" t="s">
        <v>403</v>
      </c>
      <c r="BG14" s="112"/>
      <c r="BH14" s="115"/>
      <c r="BI14" s="221">
        <f t="shared" si="15"/>
        <v>0</v>
      </c>
      <c r="BJ14" s="222">
        <f t="shared" si="16"/>
        <v>0</v>
      </c>
      <c r="DE14" s="117">
        <f t="shared" si="17"/>
        <v>2505.1573290974998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-8812.11</v>
      </c>
      <c r="EU14" s="72"/>
      <c r="EV14" s="117">
        <f t="shared" si="55"/>
        <v>2505.1573290974998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-8812.11</v>
      </c>
    </row>
    <row r="15" spans="1:193" ht="15">
      <c r="A15" s="513" t="s">
        <v>401</v>
      </c>
      <c r="B15" s="203"/>
      <c r="C15" s="200"/>
      <c r="D15" s="525"/>
      <c r="E15" s="526">
        <f t="shared" si="0"/>
        <v>0</v>
      </c>
      <c r="F15" s="527">
        <f t="shared" si="1"/>
        <v>0</v>
      </c>
      <c r="G15" s="202" t="str">
        <f t="shared" si="2"/>
        <v/>
      </c>
      <c r="H15" s="531">
        <f t="shared" si="58"/>
        <v>0</v>
      </c>
      <c r="I15" s="532">
        <f t="shared" si="3"/>
        <v>0</v>
      </c>
      <c r="J15" s="62"/>
      <c r="K15" s="498">
        <f t="shared" ref="K15:K17" si="68">IFERROR(-1+(L15/$L$18),"")</f>
        <v>-8.7327000000000043E-2</v>
      </c>
      <c r="L15" s="808">
        <f t="shared" si="4"/>
        <v>2582.63642175</v>
      </c>
      <c r="M15" s="556">
        <f t="shared" si="5"/>
        <v>-8812.11</v>
      </c>
      <c r="N15" s="556">
        <f t="shared" ca="1" si="6"/>
        <v>-8812.11</v>
      </c>
      <c r="O15" s="62"/>
      <c r="P15" s="198">
        <f t="shared" si="59"/>
        <v>320.25</v>
      </c>
      <c r="Q15" s="523">
        <f t="shared" si="7"/>
        <v>0</v>
      </c>
      <c r="R15" s="522">
        <v>3150</v>
      </c>
      <c r="S15" s="516">
        <f t="shared" ca="1" si="60"/>
        <v>86.283541658870604</v>
      </c>
      <c r="T15" s="379" t="str">
        <f t="shared" si="61"/>
        <v>MERV - XMEV - GFGC3150AB - 24hs</v>
      </c>
      <c r="U15" s="379" t="s">
        <v>631</v>
      </c>
      <c r="V15" s="377">
        <f>IFERROR(VLOOKUP($U15,HomeBroker!$A$30:$F$60,2,0),0)</f>
        <v>0</v>
      </c>
      <c r="W15" s="519">
        <f>IFERROR(VLOOKUP($U15,HomeBroker!$A$30:$F$60,3,0),0)</f>
        <v>270</v>
      </c>
      <c r="X15" s="803">
        <f>IFERROR(VLOOKUP($U15,HomeBroker!$A$30:$F$60,6,0),0)</f>
        <v>270</v>
      </c>
      <c r="Y15" s="518">
        <f>IFERROR(VLOOKUP($U15,HomeBroker!$A$30:$F$60,4,0),0)</f>
        <v>0</v>
      </c>
      <c r="Z15" s="377">
        <f>IFERROR(VLOOKUP($U15,HomeBroker!$A$30:$F$60,5,0),0)</f>
        <v>0</v>
      </c>
      <c r="AA15" s="380">
        <f>IFERROR(VLOOKUP($U15,HomeBroker!$A$30:$N$60,13,0),0)</f>
        <v>0</v>
      </c>
      <c r="AB15" s="199" t="str">
        <f t="shared" si="63"/>
        <v>-</v>
      </c>
      <c r="AC15" s="524">
        <f t="shared" si="9"/>
        <v>0</v>
      </c>
      <c r="AD15" s="522"/>
      <c r="AE15" s="517">
        <f t="shared" ca="1" si="64"/>
        <v>0</v>
      </c>
      <c r="AF15" s="379" t="str">
        <f t="shared" si="65"/>
        <v/>
      </c>
      <c r="AG15" s="379" t="str">
        <f t="shared" si="66"/>
        <v/>
      </c>
      <c r="AH15" s="475">
        <f>IFERROR(VLOOKUP($AG15,HomeBroker!$A$30:$F$60,2,0),0)</f>
        <v>0</v>
      </c>
      <c r="AI15" s="519">
        <f>IFERROR(VLOOKUP($AG15,HomeBroker!$A$30:$F$60,3,0),0)</f>
        <v>0</v>
      </c>
      <c r="AJ15" s="803">
        <f>IFERROR(VLOOKUP($AG15,HomeBroker!$A$30:$F$60,6,0),0)</f>
        <v>0</v>
      </c>
      <c r="AK15" s="519">
        <f>IFERROR(VLOOKUP($AG15,HomeBroker!$A$30:$F$60,4,0),0)</f>
        <v>0</v>
      </c>
      <c r="AL15" s="475">
        <f>IFERROR(VLOOKUP($AG15,HomeBroker!$A$30:$F$60,5,0),0)</f>
        <v>0</v>
      </c>
      <c r="AM15" s="521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6">
        <f t="shared" si="11"/>
        <v>0</v>
      </c>
      <c r="AY15" s="217">
        <f t="shared" si="12"/>
        <v>0</v>
      </c>
      <c r="AZ15" s="114" t="s">
        <v>402</v>
      </c>
      <c r="BA15" s="112"/>
      <c r="BB15" s="129"/>
      <c r="BC15" s="115"/>
      <c r="BD15" s="218">
        <f t="shared" si="13"/>
        <v>0</v>
      </c>
      <c r="BE15" s="220">
        <f t="shared" si="14"/>
        <v>0</v>
      </c>
      <c r="BF15" s="116" t="s">
        <v>403</v>
      </c>
      <c r="BG15" s="112"/>
      <c r="BH15" s="115"/>
      <c r="BI15" s="221">
        <f t="shared" si="15"/>
        <v>0</v>
      </c>
      <c r="BJ15" s="222">
        <f t="shared" si="16"/>
        <v>0</v>
      </c>
      <c r="DE15" s="117">
        <f t="shared" si="17"/>
        <v>2582.63642175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-8812.11</v>
      </c>
      <c r="EU15" s="72"/>
      <c r="EV15" s="117">
        <f t="shared" si="55"/>
        <v>2582.63642175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-8812.11</v>
      </c>
    </row>
    <row r="16" spans="1:193" ht="15">
      <c r="A16" s="513" t="s">
        <v>401</v>
      </c>
      <c r="B16" s="203"/>
      <c r="C16" s="200"/>
      <c r="D16" s="525"/>
      <c r="E16" s="526">
        <f>+B16*D16*-100</f>
        <v>0</v>
      </c>
      <c r="F16" s="527">
        <f t="shared" si="1"/>
        <v>0</v>
      </c>
      <c r="G16" s="202" t="str">
        <f t="shared" si="2"/>
        <v/>
      </c>
      <c r="H16" s="531">
        <f>IFERROR(+G16*B16*-100,0)</f>
        <v>0</v>
      </c>
      <c r="I16" s="532">
        <f t="shared" si="3"/>
        <v>0</v>
      </c>
      <c r="J16" s="62"/>
      <c r="K16" s="498">
        <f t="shared" si="68"/>
        <v>-5.9100000000000041E-2</v>
      </c>
      <c r="L16" s="808">
        <f t="shared" si="4"/>
        <v>2662.5117749999999</v>
      </c>
      <c r="M16" s="555">
        <f t="shared" si="5"/>
        <v>-8812.11</v>
      </c>
      <c r="N16" s="555">
        <f t="shared" ca="1" si="6"/>
        <v>-8812.11</v>
      </c>
      <c r="O16" s="62"/>
      <c r="P16" s="198">
        <f t="shared" si="59"/>
        <v>470.25</v>
      </c>
      <c r="Q16" s="523">
        <f t="shared" si="7"/>
        <v>0</v>
      </c>
      <c r="R16" s="522">
        <v>3300</v>
      </c>
      <c r="S16" s="516">
        <f t="shared" ca="1" si="60"/>
        <v>51.14685391652813</v>
      </c>
      <c r="T16" s="379" t="str">
        <f t="shared" si="61"/>
        <v>MERV - XMEV - GFGC3300AB - 24hs</v>
      </c>
      <c r="U16" s="379" t="s">
        <v>632</v>
      </c>
      <c r="V16" s="377">
        <f>IFERROR(VLOOKUP($U16,HomeBroker!$A$30:$F$60,2,0),0)</f>
        <v>0</v>
      </c>
      <c r="W16" s="519">
        <f>IFERROR(VLOOKUP($U16,HomeBroker!$A$30:$F$60,3,0),0)</f>
        <v>274</v>
      </c>
      <c r="X16" s="803">
        <f>IFERROR(VLOOKUP($U16,HomeBroker!$A$30:$F$60,6,0),0)</f>
        <v>274</v>
      </c>
      <c r="Y16" s="518">
        <f>IFERROR(VLOOKUP($U16,HomeBroker!$A$30:$F$60,4,0),0)</f>
        <v>0</v>
      </c>
      <c r="Z16" s="377">
        <f>IFERROR(VLOOKUP($U16,HomeBroker!$A$30:$F$60,5,0),0)</f>
        <v>0</v>
      </c>
      <c r="AA16" s="380">
        <f>IFERROR(VLOOKUP($U16,HomeBroker!$A$30:$N$60,13,0),0)</f>
        <v>0</v>
      </c>
      <c r="AB16" s="199" t="str">
        <f t="shared" si="63"/>
        <v>-</v>
      </c>
      <c r="AC16" s="524">
        <f t="shared" si="9"/>
        <v>0</v>
      </c>
      <c r="AD16" s="522"/>
      <c r="AE16" s="517">
        <f t="shared" ca="1" si="64"/>
        <v>0</v>
      </c>
      <c r="AF16" s="379" t="str">
        <f t="shared" si="65"/>
        <v/>
      </c>
      <c r="AG16" s="379" t="str">
        <f t="shared" si="66"/>
        <v/>
      </c>
      <c r="AH16" s="475">
        <f>IFERROR(VLOOKUP($AG16,HomeBroker!$A$30:$F$60,2,0),0)</f>
        <v>0</v>
      </c>
      <c r="AI16" s="519">
        <f>IFERROR(VLOOKUP($AG16,HomeBroker!$A$30:$F$60,3,0),0)</f>
        <v>0</v>
      </c>
      <c r="AJ16" s="803">
        <f>IFERROR(VLOOKUP($AG16,HomeBroker!$A$30:$F$60,6,0),0)</f>
        <v>0</v>
      </c>
      <c r="AK16" s="519">
        <f>IFERROR(VLOOKUP($AG16,HomeBroker!$A$30:$F$60,4,0),0)</f>
        <v>0</v>
      </c>
      <c r="AL16" s="475">
        <f>IFERROR(VLOOKUP($AG16,HomeBroker!$A$30:$F$60,5,0),0)</f>
        <v>0</v>
      </c>
      <c r="AM16" s="521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6">
        <f t="shared" si="11"/>
        <v>0</v>
      </c>
      <c r="AY16" s="217">
        <f t="shared" si="12"/>
        <v>0</v>
      </c>
      <c r="AZ16" s="114" t="s">
        <v>402</v>
      </c>
      <c r="BA16" s="112"/>
      <c r="BB16" s="129"/>
      <c r="BC16" s="115"/>
      <c r="BD16" s="218">
        <f t="shared" si="13"/>
        <v>0</v>
      </c>
      <c r="BE16" s="220">
        <f t="shared" si="14"/>
        <v>0</v>
      </c>
      <c r="BF16" s="116" t="s">
        <v>403</v>
      </c>
      <c r="BG16" s="112"/>
      <c r="BH16" s="115"/>
      <c r="BI16" s="221">
        <f t="shared" si="15"/>
        <v>0</v>
      </c>
      <c r="BJ16" s="222">
        <f t="shared" si="16"/>
        <v>0</v>
      </c>
      <c r="DE16" s="117">
        <f t="shared" si="17"/>
        <v>2662.5117749999999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-8812.11</v>
      </c>
      <c r="EU16" s="72"/>
      <c r="EV16" s="117">
        <f t="shared" si="55"/>
        <v>2662.5117749999999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-8812.11</v>
      </c>
    </row>
    <row r="17" spans="1:193" ht="15.75">
      <c r="A17" s="513" t="s">
        <v>401</v>
      </c>
      <c r="B17" s="204"/>
      <c r="C17" s="200"/>
      <c r="D17" s="525"/>
      <c r="E17" s="526">
        <f>+B17*D17*-100</f>
        <v>0</v>
      </c>
      <c r="F17" s="527">
        <f t="shared" si="1"/>
        <v>0</v>
      </c>
      <c r="G17" s="202" t="str">
        <f t="shared" si="2"/>
        <v/>
      </c>
      <c r="H17" s="531">
        <f>IFERROR(+G17*B17*-100,0)</f>
        <v>0</v>
      </c>
      <c r="I17" s="532">
        <f t="shared" si="3"/>
        <v>0</v>
      </c>
      <c r="J17" s="62"/>
      <c r="K17" s="498">
        <f t="shared" si="68"/>
        <v>-3.0000000000000027E-2</v>
      </c>
      <c r="L17" s="808">
        <f t="shared" si="4"/>
        <v>2744.8575000000001</v>
      </c>
      <c r="M17" s="555">
        <f t="shared" si="5"/>
        <v>-8812.11</v>
      </c>
      <c r="N17" s="555">
        <f t="shared" ca="1" si="6"/>
        <v>-8812.11</v>
      </c>
      <c r="O17" s="62"/>
      <c r="P17" s="198">
        <f t="shared" si="59"/>
        <v>620.25</v>
      </c>
      <c r="Q17" s="523">
        <f t="shared" si="7"/>
        <v>0</v>
      </c>
      <c r="R17" s="522">
        <v>3450</v>
      </c>
      <c r="S17" s="516">
        <f t="shared" ca="1" si="60"/>
        <v>28.888332405705739</v>
      </c>
      <c r="T17" s="379" t="str">
        <f t="shared" si="61"/>
        <v>MERV - XMEV - GFGC3450AB - 24hs</v>
      </c>
      <c r="U17" s="379" t="s">
        <v>633</v>
      </c>
      <c r="V17" s="377">
        <f>IFERROR(VLOOKUP($U17,HomeBroker!$A$30:$F$60,2,0),0)</f>
        <v>0</v>
      </c>
      <c r="W17" s="519">
        <f>IFERROR(VLOOKUP($U17,HomeBroker!$A$30:$F$60,3,0),0)</f>
        <v>0</v>
      </c>
      <c r="X17" s="803">
        <f>IFERROR(VLOOKUP($U17,HomeBroker!$A$30:$F$60,6,0),0)</f>
        <v>0</v>
      </c>
      <c r="Y17" s="518">
        <f>IFERROR(VLOOKUP($U17,HomeBroker!$A$30:$F$60,4,0),0)</f>
        <v>0</v>
      </c>
      <c r="Z17" s="377">
        <f>IFERROR(VLOOKUP($U17,HomeBroker!$A$30:$F$60,5,0),0)</f>
        <v>0</v>
      </c>
      <c r="AA17" s="380">
        <f>IFERROR(VLOOKUP($U17,HomeBroker!$A$30:$N$60,13,0),0)</f>
        <v>0</v>
      </c>
      <c r="AB17" s="199" t="str">
        <f t="shared" si="63"/>
        <v>-</v>
      </c>
      <c r="AC17" s="524">
        <f t="shared" si="9"/>
        <v>0</v>
      </c>
      <c r="AD17" s="522"/>
      <c r="AE17" s="517">
        <f t="shared" ca="1" si="64"/>
        <v>0</v>
      </c>
      <c r="AF17" s="379" t="str">
        <f t="shared" si="65"/>
        <v/>
      </c>
      <c r="AG17" s="379" t="str">
        <f t="shared" si="66"/>
        <v/>
      </c>
      <c r="AH17" s="475">
        <f>IFERROR(VLOOKUP($AG17,HomeBroker!$A$30:$F$60,2,0),0)</f>
        <v>0</v>
      </c>
      <c r="AI17" s="519">
        <f>IFERROR(VLOOKUP($AG17,HomeBroker!$A$30:$F$60,3,0),0)</f>
        <v>0</v>
      </c>
      <c r="AJ17" s="803">
        <f>IFERROR(VLOOKUP($AG17,HomeBroker!$A$30:$F$60,6,0),0)</f>
        <v>0</v>
      </c>
      <c r="AK17" s="519">
        <f>IFERROR(VLOOKUP($AG17,HomeBroker!$A$30:$F$60,4,0),0)</f>
        <v>0</v>
      </c>
      <c r="AL17" s="475">
        <f>IFERROR(VLOOKUP($AG17,HomeBroker!$A$30:$F$60,5,0),0)</f>
        <v>0</v>
      </c>
      <c r="AM17" s="521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6">
        <f t="shared" si="11"/>
        <v>0</v>
      </c>
      <c r="AY17" s="217">
        <f t="shared" si="12"/>
        <v>0</v>
      </c>
      <c r="AZ17" s="114" t="s">
        <v>402</v>
      </c>
      <c r="BA17" s="112"/>
      <c r="BB17" s="129"/>
      <c r="BC17" s="115"/>
      <c r="BD17" s="218">
        <f t="shared" si="13"/>
        <v>0</v>
      </c>
      <c r="BE17" s="220">
        <f t="shared" si="14"/>
        <v>0</v>
      </c>
      <c r="BF17" s="116" t="s">
        <v>403</v>
      </c>
      <c r="BG17" s="112"/>
      <c r="BH17" s="115"/>
      <c r="BI17" s="221">
        <f t="shared" si="15"/>
        <v>0</v>
      </c>
      <c r="BJ17" s="222">
        <f t="shared" si="16"/>
        <v>0</v>
      </c>
      <c r="DE17" s="117">
        <f t="shared" si="17"/>
        <v>2744.8575000000001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-8812.11</v>
      </c>
      <c r="EU17" s="72"/>
      <c r="EV17" s="117">
        <f t="shared" si="55"/>
        <v>2744.8575000000001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-8812.11</v>
      </c>
    </row>
    <row r="18" spans="1:193" ht="15">
      <c r="A18" s="513" t="s">
        <v>401</v>
      </c>
      <c r="B18" s="203"/>
      <c r="C18" s="200"/>
      <c r="D18" s="525"/>
      <c r="E18" s="526">
        <f>+B18*D18*-100</f>
        <v>0</v>
      </c>
      <c r="F18" s="527">
        <f t="shared" si="1"/>
        <v>0</v>
      </c>
      <c r="G18" s="202" t="str">
        <f t="shared" si="2"/>
        <v/>
      </c>
      <c r="H18" s="531">
        <f>IFERROR(+G18*B18*-100,0)</f>
        <v>0</v>
      </c>
      <c r="I18" s="532">
        <f t="shared" si="3"/>
        <v>0</v>
      </c>
      <c r="J18" s="62"/>
      <c r="K18" s="131">
        <v>0</v>
      </c>
      <c r="L18" s="804">
        <f>IF($N$45&lt;&gt;"",$N$45,$B$76)</f>
        <v>2829.75</v>
      </c>
      <c r="M18" s="556">
        <f t="shared" si="5"/>
        <v>-8812.11</v>
      </c>
      <c r="N18" s="556">
        <f t="shared" ca="1" si="6"/>
        <v>-8812.11</v>
      </c>
      <c r="O18" s="62"/>
      <c r="P18" s="198">
        <f t="shared" si="59"/>
        <v>770.25</v>
      </c>
      <c r="Q18" s="474">
        <f t="shared" ref="Q18:Q42" si="69">SUMIFS(AU:AU,AV:AV,R18)</f>
        <v>0</v>
      </c>
      <c r="R18" s="522">
        <v>3600</v>
      </c>
      <c r="S18" s="516">
        <f t="shared" ca="1" si="60"/>
        <v>15.597738876307346</v>
      </c>
      <c r="T18" s="379" t="str">
        <f t="shared" si="61"/>
        <v>MERV - XMEV - GFGC3600AB - 24hs</v>
      </c>
      <c r="U18" s="379" t="s">
        <v>634</v>
      </c>
      <c r="V18" s="377">
        <f>IFERROR(VLOOKUP($U18,HomeBroker!$A$30:$F$60,2,0),0)</f>
        <v>0</v>
      </c>
      <c r="W18" s="519">
        <f>IFERROR(VLOOKUP($U18,HomeBroker!$A$30:$F$60,3,0),0)</f>
        <v>142.36000000000001</v>
      </c>
      <c r="X18" s="803">
        <f>IFERROR(VLOOKUP($U18,HomeBroker!$A$30:$F$60,6,0),0)</f>
        <v>142.36000000000001</v>
      </c>
      <c r="Y18" s="518">
        <f>IFERROR(VLOOKUP($U18,HomeBroker!$A$30:$F$60,4,0),0)</f>
        <v>0</v>
      </c>
      <c r="Z18" s="377">
        <f>IFERROR(VLOOKUP($U18,HomeBroker!$A$30:$F$60,5,0),0)</f>
        <v>0</v>
      </c>
      <c r="AA18" s="380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194"/>
      <c r="AE18" s="378">
        <f t="shared" ca="1" si="64"/>
        <v>0</v>
      </c>
      <c r="AF18" s="379" t="str">
        <f t="shared" si="65"/>
        <v/>
      </c>
      <c r="AG18" s="379" t="str">
        <f t="shared" si="66"/>
        <v/>
      </c>
      <c r="AH18" s="475">
        <f>IFERROR(VLOOKUP($AG18,HomeBroker!$A$30:$F$60,2,0),0)</f>
        <v>0</v>
      </c>
      <c r="AI18" s="519">
        <f>IFERROR(VLOOKUP($AG18,HomeBroker!$A$30:$F$60,3,0),0)</f>
        <v>0</v>
      </c>
      <c r="AJ18" s="803">
        <f>IFERROR(VLOOKUP($AG18,HomeBroker!$A$30:$F$60,6,0),0)</f>
        <v>0</v>
      </c>
      <c r="AK18" s="519">
        <f>IFERROR(VLOOKUP($AG18,HomeBroker!$A$30:$F$60,4,0),0)</f>
        <v>0</v>
      </c>
      <c r="AL18" s="475">
        <f>IFERROR(VLOOKUP($AG18,HomeBroker!$A$30:$F$60,5,0),0)</f>
        <v>0</v>
      </c>
      <c r="AM18" s="521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6">
        <f t="shared" si="11"/>
        <v>0</v>
      </c>
      <c r="AY18" s="217">
        <f t="shared" si="12"/>
        <v>0</v>
      </c>
      <c r="AZ18" s="114" t="s">
        <v>402</v>
      </c>
      <c r="BA18" s="112"/>
      <c r="BB18" s="129"/>
      <c r="BC18" s="115"/>
      <c r="BD18" s="218">
        <f t="shared" si="13"/>
        <v>0</v>
      </c>
      <c r="BE18" s="220">
        <f t="shared" si="14"/>
        <v>0</v>
      </c>
      <c r="BF18" s="116" t="s">
        <v>403</v>
      </c>
      <c r="BG18" s="112"/>
      <c r="BH18" s="115"/>
      <c r="BI18" s="221">
        <f t="shared" si="15"/>
        <v>0</v>
      </c>
      <c r="BJ18" s="222">
        <f t="shared" si="16"/>
        <v>0</v>
      </c>
      <c r="DE18" s="117">
        <f t="shared" si="17"/>
        <v>2829.75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-8812.11</v>
      </c>
      <c r="EU18" s="72"/>
      <c r="EV18" s="117">
        <f t="shared" si="55"/>
        <v>2829.75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-8812.11</v>
      </c>
    </row>
    <row r="19" spans="1:193" ht="15">
      <c r="A19" s="513" t="s">
        <v>401</v>
      </c>
      <c r="B19" s="203"/>
      <c r="C19" s="200"/>
      <c r="D19" s="525"/>
      <c r="E19" s="526">
        <f t="shared" si="0"/>
        <v>0</v>
      </c>
      <c r="F19" s="527">
        <f t="shared" si="1"/>
        <v>0</v>
      </c>
      <c r="G19" s="202" t="str">
        <f t="shared" si="2"/>
        <v/>
      </c>
      <c r="H19" s="531">
        <f t="shared" si="58"/>
        <v>0</v>
      </c>
      <c r="I19" s="532">
        <f t="shared" si="3"/>
        <v>0</v>
      </c>
      <c r="J19" s="62"/>
      <c r="K19" s="497">
        <f>IFERROR(+L19/$L$18-1,"")</f>
        <v>3.0000000000000027E-2</v>
      </c>
      <c r="L19" s="808">
        <f t="shared" ref="L19:L34" si="71">+L18*(1+$N$42)</f>
        <v>2914.6424999999999</v>
      </c>
      <c r="M19" s="555">
        <f t="shared" si="5"/>
        <v>-8812.11</v>
      </c>
      <c r="N19" s="555">
        <f t="shared" ca="1" si="6"/>
        <v>-8812.11</v>
      </c>
      <c r="O19" s="62"/>
      <c r="P19" s="198">
        <f t="shared" si="59"/>
        <v>920.25</v>
      </c>
      <c r="Q19" s="474">
        <f t="shared" si="69"/>
        <v>0</v>
      </c>
      <c r="R19" s="522">
        <v>3750</v>
      </c>
      <c r="S19" s="516">
        <f t="shared" ca="1" si="60"/>
        <v>8.0792474619711925</v>
      </c>
      <c r="T19" s="379" t="str">
        <f t="shared" si="61"/>
        <v>MERV - XMEV - GFGC3750AB - 24hs</v>
      </c>
      <c r="U19" s="379" t="s">
        <v>635</v>
      </c>
      <c r="V19" s="377">
        <f>IFERROR(VLOOKUP($U19,HomeBroker!$A$30:$F$60,2,0),0)</f>
        <v>0</v>
      </c>
      <c r="W19" s="519">
        <f>IFERROR(VLOOKUP($U19,HomeBroker!$A$30:$F$60,3,0),0)</f>
        <v>0</v>
      </c>
      <c r="X19" s="803">
        <f>IFERROR(VLOOKUP($U19,HomeBroker!$A$30:$F$60,6,0),0)</f>
        <v>0</v>
      </c>
      <c r="Y19" s="518">
        <f>IFERROR(VLOOKUP($U19,HomeBroker!$A$30:$F$60,4,0),0)</f>
        <v>0</v>
      </c>
      <c r="Z19" s="377">
        <f>IFERROR(VLOOKUP($U19,HomeBroker!$A$30:$F$60,5,0),0)</f>
        <v>0</v>
      </c>
      <c r="AA19" s="380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194"/>
      <c r="AE19" s="378">
        <f t="shared" ca="1" si="64"/>
        <v>0</v>
      </c>
      <c r="AF19" s="379" t="str">
        <f t="shared" si="65"/>
        <v/>
      </c>
      <c r="AG19" s="379" t="str">
        <f t="shared" si="66"/>
        <v/>
      </c>
      <c r="AH19" s="475">
        <f>IFERROR(VLOOKUP($AG19,HomeBroker!$A$30:$F$60,2,0),0)</f>
        <v>0</v>
      </c>
      <c r="AI19" s="519">
        <f>IFERROR(VLOOKUP($AG19,HomeBroker!$A$30:$F$60,3,0),0)</f>
        <v>0</v>
      </c>
      <c r="AJ19" s="803">
        <f>IFERROR(VLOOKUP($AG19,HomeBroker!$A$30:$F$60,6,0),0)</f>
        <v>0</v>
      </c>
      <c r="AK19" s="519">
        <f>IFERROR(VLOOKUP($AG19,HomeBroker!$A$30:$F$60,4,0),0)</f>
        <v>0</v>
      </c>
      <c r="AL19" s="475">
        <f>IFERROR(VLOOKUP($AG19,HomeBroker!$A$30:$F$60,5,0),0)</f>
        <v>0</v>
      </c>
      <c r="AM19" s="521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6">
        <f t="shared" si="11"/>
        <v>0</v>
      </c>
      <c r="AY19" s="217">
        <f t="shared" si="12"/>
        <v>0</v>
      </c>
      <c r="AZ19" s="114" t="s">
        <v>402</v>
      </c>
      <c r="BA19" s="112"/>
      <c r="BB19" s="129"/>
      <c r="BC19" s="115"/>
      <c r="BD19" s="218">
        <f t="shared" si="13"/>
        <v>0</v>
      </c>
      <c r="BE19" s="220">
        <f t="shared" si="14"/>
        <v>0</v>
      </c>
      <c r="BF19" s="116" t="s">
        <v>403</v>
      </c>
      <c r="BG19" s="112"/>
      <c r="BH19" s="115"/>
      <c r="BI19" s="221">
        <f t="shared" si="15"/>
        <v>0</v>
      </c>
      <c r="BJ19" s="222">
        <f t="shared" si="16"/>
        <v>0</v>
      </c>
      <c r="DE19" s="117">
        <f t="shared" si="17"/>
        <v>2914.6424999999999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-8812.11</v>
      </c>
      <c r="EU19" s="72"/>
      <c r="EV19" s="117">
        <f t="shared" si="55"/>
        <v>2914.6424999999999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-8812.11</v>
      </c>
    </row>
    <row r="20" spans="1:193" ht="15">
      <c r="A20" s="513" t="s">
        <v>401</v>
      </c>
      <c r="B20" s="203"/>
      <c r="C20" s="200"/>
      <c r="D20" s="525"/>
      <c r="E20" s="526">
        <f t="shared" si="0"/>
        <v>0</v>
      </c>
      <c r="F20" s="527">
        <f t="shared" si="1"/>
        <v>0</v>
      </c>
      <c r="G20" s="202" t="str">
        <f t="shared" si="2"/>
        <v/>
      </c>
      <c r="H20" s="531">
        <f t="shared" si="58"/>
        <v>0</v>
      </c>
      <c r="I20" s="532">
        <f t="shared" si="3"/>
        <v>0</v>
      </c>
      <c r="J20" s="62"/>
      <c r="K20" s="498">
        <f t="shared" ref="K20:K23" si="72">IFERROR(+L20/$L$18-1,"")</f>
        <v>6.0899999999999954E-2</v>
      </c>
      <c r="L20" s="808">
        <f t="shared" si="71"/>
        <v>3002.0817750000001</v>
      </c>
      <c r="M20" s="555">
        <f t="shared" si="5"/>
        <v>-8812.11</v>
      </c>
      <c r="N20" s="555">
        <f t="shared" ca="1" si="6"/>
        <v>-8812.11</v>
      </c>
      <c r="O20" s="62"/>
      <c r="P20" s="198">
        <f t="shared" si="59"/>
        <v>1070.25</v>
      </c>
      <c r="Q20" s="474">
        <f t="shared" si="69"/>
        <v>0</v>
      </c>
      <c r="R20" s="522">
        <v>3900</v>
      </c>
      <c r="S20" s="516">
        <f t="shared" ca="1" si="60"/>
        <v>4.0290798736230045</v>
      </c>
      <c r="T20" s="379" t="str">
        <f t="shared" si="61"/>
        <v>MERV - XMEV - GFGC3900AB - 24hs</v>
      </c>
      <c r="U20" s="379" t="s">
        <v>636</v>
      </c>
      <c r="V20" s="377">
        <f>IFERROR(VLOOKUP($U20,HomeBroker!$A$30:$F$60,2,0),0)</f>
        <v>0</v>
      </c>
      <c r="W20" s="519">
        <f>IFERROR(VLOOKUP($U20,HomeBroker!$A$30:$F$60,3,0),0)</f>
        <v>93.07</v>
      </c>
      <c r="X20" s="803">
        <f>IFERROR(VLOOKUP($U20,HomeBroker!$A$30:$F$60,6,0),0)</f>
        <v>93.07</v>
      </c>
      <c r="Y20" s="518">
        <f>IFERROR(VLOOKUP($U20,HomeBroker!$A$30:$F$60,4,0),0)</f>
        <v>0</v>
      </c>
      <c r="Z20" s="377">
        <f>IFERROR(VLOOKUP($U20,HomeBroker!$A$30:$F$60,5,0),0)</f>
        <v>0</v>
      </c>
      <c r="AA20" s="380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194"/>
      <c r="AE20" s="378">
        <f t="shared" ca="1" si="64"/>
        <v>0</v>
      </c>
      <c r="AF20" s="379" t="str">
        <f t="shared" si="65"/>
        <v/>
      </c>
      <c r="AG20" s="379" t="str">
        <f t="shared" si="66"/>
        <v/>
      </c>
      <c r="AH20" s="475">
        <f>IFERROR(VLOOKUP($AG20,HomeBroker!$A$30:$F$60,2,0),0)</f>
        <v>0</v>
      </c>
      <c r="AI20" s="519">
        <f>IFERROR(VLOOKUP($AG20,HomeBroker!$A$30:$F$60,3,0),0)</f>
        <v>0</v>
      </c>
      <c r="AJ20" s="803">
        <f>IFERROR(VLOOKUP($AG20,HomeBroker!$A$30:$F$60,6,0),0)</f>
        <v>0</v>
      </c>
      <c r="AK20" s="519">
        <f>IFERROR(VLOOKUP($AG20,HomeBroker!$A$30:$F$60,4,0),0)</f>
        <v>0</v>
      </c>
      <c r="AL20" s="475">
        <f>IFERROR(VLOOKUP($AG20,HomeBroker!$A$30:$F$60,5,0),0)</f>
        <v>0</v>
      </c>
      <c r="AM20" s="521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6">
        <f t="shared" si="11"/>
        <v>0</v>
      </c>
      <c r="AY20" s="217">
        <f t="shared" si="12"/>
        <v>0</v>
      </c>
      <c r="AZ20" s="114" t="s">
        <v>402</v>
      </c>
      <c r="BA20" s="112"/>
      <c r="BB20" s="129"/>
      <c r="BC20" s="115"/>
      <c r="BD20" s="218">
        <f t="shared" si="13"/>
        <v>0</v>
      </c>
      <c r="BE20" s="220">
        <f t="shared" si="14"/>
        <v>0</v>
      </c>
      <c r="BF20" s="116" t="s">
        <v>403</v>
      </c>
      <c r="BG20" s="112"/>
      <c r="BH20" s="115"/>
      <c r="BI20" s="221">
        <f t="shared" si="15"/>
        <v>0</v>
      </c>
      <c r="BJ20" s="222">
        <f t="shared" si="16"/>
        <v>0</v>
      </c>
      <c r="DE20" s="117">
        <f t="shared" si="17"/>
        <v>3002.0817750000001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-8812.11</v>
      </c>
      <c r="EU20" s="72"/>
      <c r="EV20" s="117">
        <f t="shared" si="55"/>
        <v>3002.0817750000001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-8812.11</v>
      </c>
    </row>
    <row r="21" spans="1:193" ht="15">
      <c r="A21" s="513" t="s">
        <v>401</v>
      </c>
      <c r="B21" s="203"/>
      <c r="C21" s="200"/>
      <c r="D21" s="525"/>
      <c r="E21" s="526">
        <f t="shared" si="0"/>
        <v>0</v>
      </c>
      <c r="F21" s="527">
        <f t="shared" si="1"/>
        <v>0</v>
      </c>
      <c r="G21" s="202" t="str">
        <f t="shared" si="2"/>
        <v/>
      </c>
      <c r="H21" s="531">
        <f t="shared" si="58"/>
        <v>0</v>
      </c>
      <c r="I21" s="532">
        <f t="shared" si="3"/>
        <v>0</v>
      </c>
      <c r="J21" s="62"/>
      <c r="K21" s="498">
        <f t="shared" si="72"/>
        <v>9.2727000000000004E-2</v>
      </c>
      <c r="L21" s="808">
        <f t="shared" si="71"/>
        <v>3092.1442282500002</v>
      </c>
      <c r="M21" s="556">
        <f t="shared" si="5"/>
        <v>-8812.11</v>
      </c>
      <c r="N21" s="556">
        <f t="shared" ca="1" si="6"/>
        <v>-8812.11</v>
      </c>
      <c r="O21" s="62"/>
      <c r="P21" s="198">
        <f t="shared" si="59"/>
        <v>1220.25</v>
      </c>
      <c r="Q21" s="474">
        <f t="shared" si="69"/>
        <v>0</v>
      </c>
      <c r="R21" s="522">
        <v>4050</v>
      </c>
      <c r="S21" s="516">
        <f t="shared" ca="1" si="60"/>
        <v>1.9412651501724056</v>
      </c>
      <c r="T21" s="379" t="str">
        <f t="shared" si="61"/>
        <v>MERV - XMEV - GFGC4050AB - 24hs</v>
      </c>
      <c r="U21" s="379" t="s">
        <v>637</v>
      </c>
      <c r="V21" s="377">
        <f>IFERROR(VLOOKUP($U21,HomeBroker!$A$30:$F$60,2,0),0)</f>
        <v>0</v>
      </c>
      <c r="W21" s="519">
        <f>IFERROR(VLOOKUP($U21,HomeBroker!$A$30:$F$60,3,0),0)</f>
        <v>49.1</v>
      </c>
      <c r="X21" s="803">
        <f>IFERROR(VLOOKUP($U21,HomeBroker!$A$30:$F$60,6,0),0)</f>
        <v>49.1</v>
      </c>
      <c r="Y21" s="518">
        <f>IFERROR(VLOOKUP($U21,HomeBroker!$A$30:$F$60,4,0),0)</f>
        <v>0</v>
      </c>
      <c r="Z21" s="377">
        <f>IFERROR(VLOOKUP($U21,HomeBroker!$A$30:$F$60,5,0),0)</f>
        <v>0</v>
      </c>
      <c r="AA21" s="380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194"/>
      <c r="AE21" s="378">
        <f t="shared" ca="1" si="64"/>
        <v>0</v>
      </c>
      <c r="AF21" s="379" t="str">
        <f t="shared" si="65"/>
        <v/>
      </c>
      <c r="AG21" s="379" t="str">
        <f t="shared" si="66"/>
        <v/>
      </c>
      <c r="AH21" s="475">
        <f>IFERROR(VLOOKUP($AG21,HomeBroker!$A$30:$F$60,2,0),0)</f>
        <v>0</v>
      </c>
      <c r="AI21" s="519">
        <f>IFERROR(VLOOKUP($AG21,HomeBroker!$A$30:$F$60,3,0),0)</f>
        <v>0</v>
      </c>
      <c r="AJ21" s="803">
        <f>IFERROR(VLOOKUP($AG21,HomeBroker!$A$30:$F$60,6,0),0)</f>
        <v>0</v>
      </c>
      <c r="AK21" s="519">
        <f>IFERROR(VLOOKUP($AG21,HomeBroker!$A$30:$F$60,4,0),0)</f>
        <v>0</v>
      </c>
      <c r="AL21" s="475">
        <f>IFERROR(VLOOKUP($AG21,HomeBroker!$A$30:$F$60,5,0),0)</f>
        <v>0</v>
      </c>
      <c r="AM21" s="521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6">
        <f t="shared" si="11"/>
        <v>0</v>
      </c>
      <c r="AY21" s="217">
        <f t="shared" si="12"/>
        <v>0</v>
      </c>
      <c r="AZ21" s="114" t="s">
        <v>402</v>
      </c>
      <c r="BA21" s="112"/>
      <c r="BB21" s="129"/>
      <c r="BC21" s="115"/>
      <c r="BD21" s="218">
        <f t="shared" si="13"/>
        <v>0</v>
      </c>
      <c r="BE21" s="220">
        <f t="shared" si="14"/>
        <v>0</v>
      </c>
      <c r="BF21" s="116" t="s">
        <v>403</v>
      </c>
      <c r="BG21" s="112"/>
      <c r="BH21" s="115"/>
      <c r="BI21" s="221">
        <f t="shared" si="15"/>
        <v>0</v>
      </c>
      <c r="BJ21" s="222">
        <f t="shared" si="16"/>
        <v>0</v>
      </c>
      <c r="DE21" s="117">
        <f t="shared" si="17"/>
        <v>3092.1442282500002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-8812.11</v>
      </c>
      <c r="EU21" s="72"/>
      <c r="EV21" s="117">
        <f t="shared" si="55"/>
        <v>3092.1442282500002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-8812.11</v>
      </c>
    </row>
    <row r="22" spans="1:193" ht="15">
      <c r="A22" s="513" t="s">
        <v>401</v>
      </c>
      <c r="B22" s="203"/>
      <c r="C22" s="200"/>
      <c r="D22" s="525"/>
      <c r="E22" s="526">
        <f t="shared" si="0"/>
        <v>0</v>
      </c>
      <c r="F22" s="527">
        <f t="shared" si="1"/>
        <v>0</v>
      </c>
      <c r="G22" s="202" t="str">
        <f t="shared" si="2"/>
        <v/>
      </c>
      <c r="H22" s="531">
        <f t="shared" si="58"/>
        <v>0</v>
      </c>
      <c r="I22" s="532">
        <f t="shared" si="3"/>
        <v>0</v>
      </c>
      <c r="J22" s="62"/>
      <c r="K22" s="498">
        <f t="shared" si="72"/>
        <v>0.12550881000000014</v>
      </c>
      <c r="L22" s="808">
        <f t="shared" si="71"/>
        <v>3184.9085550975001</v>
      </c>
      <c r="M22" s="555">
        <f t="shared" si="5"/>
        <v>-8812.11</v>
      </c>
      <c r="N22" s="555">
        <f t="shared" ca="1" si="6"/>
        <v>-8812.11</v>
      </c>
      <c r="O22" s="62"/>
      <c r="P22" s="198">
        <f t="shared" si="59"/>
        <v>1370.25</v>
      </c>
      <c r="Q22" s="474">
        <f t="shared" si="69"/>
        <v>0</v>
      </c>
      <c r="R22" s="522">
        <v>4200</v>
      </c>
      <c r="S22" s="516">
        <f t="shared" ca="1" si="60"/>
        <v>0.90667927812460292</v>
      </c>
      <c r="T22" s="379" t="str">
        <f t="shared" si="61"/>
        <v>MERV - XMEV - GFGC4200AB - 24hs</v>
      </c>
      <c r="U22" s="379" t="s">
        <v>638</v>
      </c>
      <c r="V22" s="377">
        <f>IFERROR(VLOOKUP($U22,HomeBroker!$A$30:$F$60,2,0),0)</f>
        <v>0</v>
      </c>
      <c r="W22" s="519">
        <f>IFERROR(VLOOKUP($U22,HomeBroker!$A$30:$F$60,3,0),0)</f>
        <v>54.06</v>
      </c>
      <c r="X22" s="803">
        <f>IFERROR(VLOOKUP($U22,HomeBroker!$A$30:$F$60,6,0),0)</f>
        <v>54.06</v>
      </c>
      <c r="Y22" s="518">
        <f>IFERROR(VLOOKUP($U22,HomeBroker!$A$30:$F$60,4,0),0)</f>
        <v>0</v>
      </c>
      <c r="Z22" s="377">
        <f>IFERROR(VLOOKUP($U22,HomeBroker!$A$30:$F$60,5,0),0)</f>
        <v>0</v>
      </c>
      <c r="AA22" s="380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194"/>
      <c r="AE22" s="378">
        <f t="shared" ca="1" si="64"/>
        <v>0</v>
      </c>
      <c r="AF22" s="379" t="str">
        <f t="shared" si="65"/>
        <v/>
      </c>
      <c r="AG22" s="379" t="str">
        <f t="shared" si="66"/>
        <v/>
      </c>
      <c r="AH22" s="475">
        <f>IFERROR(VLOOKUP($AG22,HomeBroker!$A$30:$F$60,2,0),0)</f>
        <v>0</v>
      </c>
      <c r="AI22" s="519">
        <f>IFERROR(VLOOKUP($AG22,HomeBroker!$A$30:$F$60,3,0),0)</f>
        <v>0</v>
      </c>
      <c r="AJ22" s="803">
        <f>IFERROR(VLOOKUP($AG22,HomeBroker!$A$30:$F$60,6,0),0)</f>
        <v>0</v>
      </c>
      <c r="AK22" s="519">
        <f>IFERROR(VLOOKUP($AG22,HomeBroker!$A$30:$F$60,4,0),0)</f>
        <v>0</v>
      </c>
      <c r="AL22" s="475">
        <f>IFERROR(VLOOKUP($AG22,HomeBroker!$A$30:$F$60,5,0),0)</f>
        <v>0</v>
      </c>
      <c r="AM22" s="521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6">
        <f t="shared" si="11"/>
        <v>0</v>
      </c>
      <c r="AY22" s="217">
        <f t="shared" si="12"/>
        <v>0</v>
      </c>
      <c r="AZ22" s="114" t="s">
        <v>402</v>
      </c>
      <c r="BA22" s="112"/>
      <c r="BB22" s="129"/>
      <c r="BC22" s="115"/>
      <c r="BD22" s="218">
        <f t="shared" si="13"/>
        <v>0</v>
      </c>
      <c r="BE22" s="220">
        <f t="shared" si="14"/>
        <v>0</v>
      </c>
      <c r="BF22" s="116" t="s">
        <v>403</v>
      </c>
      <c r="BG22" s="112"/>
      <c r="BH22" s="115"/>
      <c r="BI22" s="221">
        <f t="shared" si="15"/>
        <v>0</v>
      </c>
      <c r="BJ22" s="222">
        <f t="shared" si="16"/>
        <v>0</v>
      </c>
      <c r="DE22" s="117">
        <f t="shared" si="17"/>
        <v>3184.9085550975001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-8812.11</v>
      </c>
      <c r="EU22" s="72"/>
      <c r="EV22" s="117">
        <f t="shared" si="55"/>
        <v>3184.9085550975001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-8812.11</v>
      </c>
    </row>
    <row r="23" spans="1:193" ht="15">
      <c r="A23" s="513" t="s">
        <v>401</v>
      </c>
      <c r="B23" s="203"/>
      <c r="C23" s="200"/>
      <c r="D23" s="525"/>
      <c r="E23" s="526">
        <f t="shared" si="0"/>
        <v>0</v>
      </c>
      <c r="F23" s="527">
        <f t="shared" si="1"/>
        <v>0</v>
      </c>
      <c r="G23" s="202" t="str">
        <f t="shared" si="2"/>
        <v/>
      </c>
      <c r="H23" s="531">
        <f t="shared" si="58"/>
        <v>0</v>
      </c>
      <c r="I23" s="532">
        <f t="shared" si="3"/>
        <v>0</v>
      </c>
      <c r="J23" s="62"/>
      <c r="K23" s="498">
        <f t="shared" si="72"/>
        <v>0.15927407430000007</v>
      </c>
      <c r="L23" s="808">
        <f t="shared" si="71"/>
        <v>3280.4558117504253</v>
      </c>
      <c r="M23" s="555">
        <f t="shared" si="5"/>
        <v>-8812.11</v>
      </c>
      <c r="N23" s="555">
        <f t="shared" ca="1" si="6"/>
        <v>-8812.11</v>
      </c>
      <c r="O23" s="62"/>
      <c r="P23" s="198" t="str">
        <f t="shared" si="59"/>
        <v>-</v>
      </c>
      <c r="Q23" s="474">
        <f t="shared" si="69"/>
        <v>0</v>
      </c>
      <c r="R23" s="194"/>
      <c r="S23" s="516">
        <f t="shared" ca="1" si="60"/>
        <v>0</v>
      </c>
      <c r="T23" s="379" t="str">
        <f t="shared" si="61"/>
        <v/>
      </c>
      <c r="U23" s="379" t="str">
        <f t="shared" si="62"/>
        <v/>
      </c>
      <c r="V23" s="377">
        <f>IFERROR(VLOOKUP($U23,HomeBroker!$A$30:$F$60,2,0),0)</f>
        <v>0</v>
      </c>
      <c r="W23" s="519">
        <f>IFERROR(VLOOKUP($U23,HomeBroker!$A$30:$F$60,3,0),0)</f>
        <v>0</v>
      </c>
      <c r="X23" s="803">
        <f>IFERROR(VLOOKUP($U23,HomeBroker!$A$30:$F$60,6,0),0)</f>
        <v>0</v>
      </c>
      <c r="Y23" s="518">
        <f>IFERROR(VLOOKUP($U23,HomeBroker!$A$30:$F$60,4,0),0)</f>
        <v>0</v>
      </c>
      <c r="Z23" s="377">
        <f>IFERROR(VLOOKUP($U23,HomeBroker!$A$30:$F$60,5,0),0)</f>
        <v>0</v>
      </c>
      <c r="AA23" s="380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78">
        <f t="shared" ca="1" si="64"/>
        <v>0</v>
      </c>
      <c r="AF23" s="379" t="str">
        <f t="shared" si="65"/>
        <v/>
      </c>
      <c r="AG23" s="379" t="str">
        <f t="shared" si="66"/>
        <v/>
      </c>
      <c r="AH23" s="475">
        <f>IFERROR(VLOOKUP($AG23,HomeBroker!$A$30:$F$60,2,0),0)</f>
        <v>0</v>
      </c>
      <c r="AI23" s="519">
        <f>IFERROR(VLOOKUP($AG23,HomeBroker!$A$30:$F$60,3,0),0)</f>
        <v>0</v>
      </c>
      <c r="AJ23" s="803">
        <f>IFERROR(VLOOKUP($AG23,HomeBroker!$A$30:$F$60,6,0),0)</f>
        <v>0</v>
      </c>
      <c r="AK23" s="519">
        <f>IFERROR(VLOOKUP($AG23,HomeBroker!$A$30:$F$60,4,0),0)</f>
        <v>0</v>
      </c>
      <c r="AL23" s="475">
        <f>IFERROR(VLOOKUP($AG23,HomeBroker!$A$30:$F$60,5,0),0)</f>
        <v>0</v>
      </c>
      <c r="AM23" s="521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6">
        <f t="shared" si="11"/>
        <v>0</v>
      </c>
      <c r="AY23" s="217">
        <f t="shared" si="12"/>
        <v>0</v>
      </c>
      <c r="AZ23" s="114" t="s">
        <v>402</v>
      </c>
      <c r="BA23" s="112"/>
      <c r="BB23" s="129"/>
      <c r="BC23" s="115"/>
      <c r="BD23" s="218">
        <f t="shared" si="13"/>
        <v>0</v>
      </c>
      <c r="BE23" s="220">
        <f t="shared" si="14"/>
        <v>0</v>
      </c>
      <c r="BF23" s="116" t="s">
        <v>403</v>
      </c>
      <c r="BG23" s="112"/>
      <c r="BH23" s="115"/>
      <c r="BI23" s="221">
        <f t="shared" si="15"/>
        <v>0</v>
      </c>
      <c r="BJ23" s="222">
        <f t="shared" si="16"/>
        <v>0</v>
      </c>
      <c r="DE23" s="117">
        <f t="shared" si="17"/>
        <v>3280.4558117504253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-8812.11</v>
      </c>
      <c r="EU23" s="72"/>
      <c r="EV23" s="117">
        <f t="shared" si="55"/>
        <v>3280.4558117504253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-8812.11</v>
      </c>
    </row>
    <row r="24" spans="1:193" ht="15">
      <c r="A24" s="513" t="s">
        <v>401</v>
      </c>
      <c r="B24" s="203"/>
      <c r="C24" s="200"/>
      <c r="D24" s="525"/>
      <c r="E24" s="526">
        <f t="shared" si="0"/>
        <v>0</v>
      </c>
      <c r="F24" s="527">
        <f t="shared" si="1"/>
        <v>0</v>
      </c>
      <c r="G24" s="202" t="str">
        <f t="shared" si="2"/>
        <v/>
      </c>
      <c r="H24" s="531">
        <f t="shared" si="58"/>
        <v>0</v>
      </c>
      <c r="I24" s="532">
        <f t="shared" si="3"/>
        <v>0</v>
      </c>
      <c r="J24" s="62"/>
      <c r="K24" s="495">
        <f>IFERROR(+L24/$L$18-1,"")</f>
        <v>0.19405229652900013</v>
      </c>
      <c r="L24" s="807">
        <f t="shared" si="71"/>
        <v>3378.869486102938</v>
      </c>
      <c r="M24" s="556">
        <f t="shared" si="5"/>
        <v>-8812.11</v>
      </c>
      <c r="N24" s="556">
        <f t="shared" ca="1" si="6"/>
        <v>-8812.11</v>
      </c>
      <c r="O24" s="62"/>
      <c r="P24" s="198" t="str">
        <f t="shared" si="59"/>
        <v>-</v>
      </c>
      <c r="Q24" s="474">
        <f t="shared" si="69"/>
        <v>0</v>
      </c>
      <c r="R24" s="194"/>
      <c r="S24" s="516">
        <f t="shared" ca="1" si="60"/>
        <v>0</v>
      </c>
      <c r="T24" s="379" t="str">
        <f t="shared" si="61"/>
        <v/>
      </c>
      <c r="U24" s="379" t="str">
        <f t="shared" si="62"/>
        <v/>
      </c>
      <c r="V24" s="377">
        <f>IFERROR(VLOOKUP($U24,HomeBroker!$A$30:$F$60,2,0),0)</f>
        <v>0</v>
      </c>
      <c r="W24" s="519">
        <f>IFERROR(VLOOKUP($U24,HomeBroker!$A$30:$F$60,3,0),0)</f>
        <v>0</v>
      </c>
      <c r="X24" s="803">
        <f>IFERROR(VLOOKUP($U24,HomeBroker!$A$30:$F$60,6,0),0)</f>
        <v>0</v>
      </c>
      <c r="Y24" s="518">
        <f>IFERROR(VLOOKUP($U24,HomeBroker!$A$30:$F$60,4,0),0)</f>
        <v>0</v>
      </c>
      <c r="Z24" s="377">
        <f>IFERROR(VLOOKUP($U24,HomeBroker!$A$30:$F$60,5,0),0)</f>
        <v>0</v>
      </c>
      <c r="AA24" s="380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78">
        <f t="shared" ca="1" si="64"/>
        <v>0</v>
      </c>
      <c r="AF24" s="379" t="str">
        <f t="shared" si="65"/>
        <v/>
      </c>
      <c r="AG24" s="379" t="str">
        <f t="shared" si="66"/>
        <v/>
      </c>
      <c r="AH24" s="475">
        <f>IFERROR(VLOOKUP($AG24,HomeBroker!$A$30:$F$60,2,0),0)</f>
        <v>0</v>
      </c>
      <c r="AI24" s="519">
        <f>IFERROR(VLOOKUP($AG24,HomeBroker!$A$30:$F$60,3,0),0)</f>
        <v>0</v>
      </c>
      <c r="AJ24" s="803">
        <f>IFERROR(VLOOKUP($AG24,HomeBroker!$A$30:$F$60,6,0),0)</f>
        <v>0</v>
      </c>
      <c r="AK24" s="519">
        <f>IFERROR(VLOOKUP($AG24,HomeBroker!$A$30:$F$60,4,0),0)</f>
        <v>0</v>
      </c>
      <c r="AL24" s="475">
        <f>IFERROR(VLOOKUP($AG24,HomeBroker!$A$30:$F$60,5,0),0)</f>
        <v>0</v>
      </c>
      <c r="AM24" s="521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6">
        <f t="shared" si="11"/>
        <v>0</v>
      </c>
      <c r="AY24" s="217">
        <f t="shared" si="12"/>
        <v>0</v>
      </c>
      <c r="AZ24" s="114" t="s">
        <v>402</v>
      </c>
      <c r="BA24" s="112"/>
      <c r="BB24" s="129"/>
      <c r="BC24" s="115"/>
      <c r="BD24" s="218">
        <f t="shared" si="13"/>
        <v>0</v>
      </c>
      <c r="BE24" s="220">
        <f t="shared" si="14"/>
        <v>0</v>
      </c>
      <c r="BF24" s="116" t="s">
        <v>403</v>
      </c>
      <c r="BG24" s="112"/>
      <c r="BH24" s="115"/>
      <c r="BI24" s="221">
        <f t="shared" si="15"/>
        <v>0</v>
      </c>
      <c r="BJ24" s="222">
        <f t="shared" si="16"/>
        <v>0</v>
      </c>
      <c r="DE24" s="117">
        <f t="shared" si="17"/>
        <v>3378.869486102938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-8812.11</v>
      </c>
      <c r="EU24" s="72"/>
      <c r="EV24" s="117">
        <f t="shared" si="55"/>
        <v>3378.869486102938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-8812.11</v>
      </c>
    </row>
    <row r="25" spans="1:193" ht="15">
      <c r="A25" s="513" t="s">
        <v>401</v>
      </c>
      <c r="B25" s="203"/>
      <c r="C25" s="200"/>
      <c r="D25" s="525"/>
      <c r="E25" s="526">
        <f t="shared" si="0"/>
        <v>0</v>
      </c>
      <c r="F25" s="527">
        <f t="shared" si="1"/>
        <v>0</v>
      </c>
      <c r="G25" s="202" t="str">
        <f t="shared" si="2"/>
        <v/>
      </c>
      <c r="H25" s="531">
        <f t="shared" si="58"/>
        <v>0</v>
      </c>
      <c r="I25" s="532">
        <f t="shared" si="3"/>
        <v>0</v>
      </c>
      <c r="J25" s="62"/>
      <c r="K25" s="496"/>
      <c r="L25" s="807">
        <f t="shared" si="71"/>
        <v>3480.2355706860262</v>
      </c>
      <c r="M25" s="555">
        <f t="shared" si="5"/>
        <v>-8812.11</v>
      </c>
      <c r="N25" s="555">
        <f t="shared" ca="1" si="6"/>
        <v>-8812.11</v>
      </c>
      <c r="O25" s="62"/>
      <c r="P25" s="198" t="str">
        <f t="shared" si="59"/>
        <v>-</v>
      </c>
      <c r="Q25" s="474">
        <f t="shared" si="69"/>
        <v>0</v>
      </c>
      <c r="R25" s="194"/>
      <c r="S25" s="516">
        <f t="shared" ca="1" si="60"/>
        <v>0</v>
      </c>
      <c r="T25" s="379" t="str">
        <f t="shared" si="61"/>
        <v/>
      </c>
      <c r="U25" s="379" t="str">
        <f t="shared" si="62"/>
        <v/>
      </c>
      <c r="V25" s="377">
        <f>IFERROR(VLOOKUP($U25,HomeBroker!$A$30:$F$60,2,0),0)</f>
        <v>0</v>
      </c>
      <c r="W25" s="519">
        <f>IFERROR(VLOOKUP($U25,HomeBroker!$A$30:$F$60,3,0),0)</f>
        <v>0</v>
      </c>
      <c r="X25" s="803">
        <f>IFERROR(VLOOKUP($U25,HomeBroker!$A$30:$F$60,6,0),0)</f>
        <v>0</v>
      </c>
      <c r="Y25" s="518">
        <f>IFERROR(VLOOKUP($U25,HomeBroker!$A$30:$F$60,4,0),0)</f>
        <v>0</v>
      </c>
      <c r="Z25" s="377">
        <f>IFERROR(VLOOKUP($U25,HomeBroker!$A$30:$F$60,5,0),0)</f>
        <v>0</v>
      </c>
      <c r="AA25" s="380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78">
        <f t="shared" ca="1" si="64"/>
        <v>0</v>
      </c>
      <c r="AF25" s="379" t="str">
        <f t="shared" si="65"/>
        <v/>
      </c>
      <c r="AG25" s="379" t="str">
        <f t="shared" si="66"/>
        <v/>
      </c>
      <c r="AH25" s="475">
        <f>IFERROR(VLOOKUP($AG25,HomeBroker!$A$30:$F$60,2,0),0)</f>
        <v>0</v>
      </c>
      <c r="AI25" s="519">
        <f>IFERROR(VLOOKUP($AG25,HomeBroker!$A$30:$F$60,3,0),0)</f>
        <v>0</v>
      </c>
      <c r="AJ25" s="803">
        <f>IFERROR(VLOOKUP($AG25,HomeBroker!$A$30:$F$60,6,0),0)</f>
        <v>0</v>
      </c>
      <c r="AK25" s="519">
        <f>IFERROR(VLOOKUP($AG25,HomeBroker!$A$30:$F$60,4,0),0)</f>
        <v>0</v>
      </c>
      <c r="AL25" s="475">
        <f>IFERROR(VLOOKUP($AG25,HomeBroker!$A$30:$F$60,5,0),0)</f>
        <v>0</v>
      </c>
      <c r="AM25" s="521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6">
        <f t="shared" si="11"/>
        <v>0</v>
      </c>
      <c r="AY25" s="217">
        <f t="shared" si="12"/>
        <v>0</v>
      </c>
      <c r="AZ25" s="114" t="s">
        <v>402</v>
      </c>
      <c r="BA25" s="112"/>
      <c r="BB25" s="129"/>
      <c r="BC25" s="115"/>
      <c r="BD25" s="218">
        <f t="shared" si="13"/>
        <v>0</v>
      </c>
      <c r="BE25" s="220">
        <f t="shared" si="14"/>
        <v>0</v>
      </c>
      <c r="BF25" s="116" t="s">
        <v>403</v>
      </c>
      <c r="BG25" s="112"/>
      <c r="BH25" s="115"/>
      <c r="BI25" s="221">
        <f t="shared" si="15"/>
        <v>0</v>
      </c>
      <c r="BJ25" s="222">
        <f t="shared" si="16"/>
        <v>0</v>
      </c>
      <c r="DE25" s="117">
        <f t="shared" si="17"/>
        <v>3480.2355706860262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-8812.11</v>
      </c>
      <c r="EU25" s="72"/>
      <c r="EV25" s="117">
        <f t="shared" si="55"/>
        <v>3480.2355706860262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-8812.11</v>
      </c>
    </row>
    <row r="26" spans="1:193" ht="15">
      <c r="A26" s="513" t="s">
        <v>401</v>
      </c>
      <c r="B26" s="203"/>
      <c r="C26" s="200"/>
      <c r="D26" s="525"/>
      <c r="E26" s="526">
        <f t="shared" si="0"/>
        <v>0</v>
      </c>
      <c r="F26" s="527">
        <f t="shared" si="1"/>
        <v>0</v>
      </c>
      <c r="G26" s="202" t="str">
        <f t="shared" si="2"/>
        <v/>
      </c>
      <c r="H26" s="531">
        <f t="shared" si="58"/>
        <v>0</v>
      </c>
      <c r="I26" s="532">
        <f t="shared" si="3"/>
        <v>0</v>
      </c>
      <c r="J26" s="62"/>
      <c r="K26" s="496"/>
      <c r="L26" s="807">
        <f t="shared" si="71"/>
        <v>3584.6426378066071</v>
      </c>
      <c r="M26" s="555">
        <f t="shared" si="5"/>
        <v>-8812.11</v>
      </c>
      <c r="N26" s="555">
        <f t="shared" ca="1" si="6"/>
        <v>-8812.11</v>
      </c>
      <c r="O26" s="62"/>
      <c r="P26" s="198" t="str">
        <f t="shared" si="59"/>
        <v>-</v>
      </c>
      <c r="Q26" s="474">
        <f t="shared" si="69"/>
        <v>0</v>
      </c>
      <c r="R26" s="194"/>
      <c r="S26" s="516">
        <f t="shared" ca="1" si="60"/>
        <v>0</v>
      </c>
      <c r="T26" s="379" t="str">
        <f t="shared" si="61"/>
        <v/>
      </c>
      <c r="U26" s="379" t="str">
        <f t="shared" si="62"/>
        <v/>
      </c>
      <c r="V26" s="377">
        <f>IFERROR(VLOOKUP($U26,HomeBroker!$A$30:$F$60,2,0),0)</f>
        <v>0</v>
      </c>
      <c r="W26" s="519">
        <f>IFERROR(VLOOKUP($U26,HomeBroker!$A$30:$F$60,3,0),0)</f>
        <v>0</v>
      </c>
      <c r="X26" s="803">
        <f>IFERROR(VLOOKUP($U26,HomeBroker!$A$30:$F$60,6,0),0)</f>
        <v>0</v>
      </c>
      <c r="Y26" s="518">
        <f>IFERROR(VLOOKUP($U26,HomeBroker!$A$30:$F$60,4,0),0)</f>
        <v>0</v>
      </c>
      <c r="Z26" s="377">
        <f>IFERROR(VLOOKUP($U26,HomeBroker!$A$30:$F$60,5,0),0)</f>
        <v>0</v>
      </c>
      <c r="AA26" s="380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78">
        <f t="shared" ca="1" si="64"/>
        <v>0</v>
      </c>
      <c r="AF26" s="379" t="str">
        <f t="shared" si="65"/>
        <v/>
      </c>
      <c r="AG26" s="379" t="str">
        <f t="shared" si="66"/>
        <v/>
      </c>
      <c r="AH26" s="475">
        <f>IFERROR(VLOOKUP($AG26,HomeBroker!$A$30:$F$60,2,0),0)</f>
        <v>0</v>
      </c>
      <c r="AI26" s="519">
        <f>IFERROR(VLOOKUP($AG26,HomeBroker!$A$30:$F$60,3,0),0)</f>
        <v>0</v>
      </c>
      <c r="AJ26" s="803">
        <f>IFERROR(VLOOKUP($AG26,HomeBroker!$A$30:$F$60,6,0),0)</f>
        <v>0</v>
      </c>
      <c r="AK26" s="519">
        <f>IFERROR(VLOOKUP($AG26,HomeBroker!$A$30:$F$60,4,0),0)</f>
        <v>0</v>
      </c>
      <c r="AL26" s="475">
        <f>IFERROR(VLOOKUP($AG26,HomeBroker!$A$30:$F$60,5,0),0)</f>
        <v>0</v>
      </c>
      <c r="AM26" s="521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6">
        <f t="shared" si="11"/>
        <v>0</v>
      </c>
      <c r="AY26" s="217">
        <f t="shared" si="12"/>
        <v>0</v>
      </c>
      <c r="AZ26" s="114" t="s">
        <v>402</v>
      </c>
      <c r="BA26" s="112"/>
      <c r="BB26" s="129"/>
      <c r="BC26" s="115"/>
      <c r="BD26" s="218">
        <f t="shared" si="13"/>
        <v>0</v>
      </c>
      <c r="BE26" s="220">
        <f t="shared" si="14"/>
        <v>0</v>
      </c>
      <c r="BF26" s="116" t="s">
        <v>403</v>
      </c>
      <c r="BG26" s="112"/>
      <c r="BH26" s="115"/>
      <c r="BI26" s="221">
        <f t="shared" si="15"/>
        <v>0</v>
      </c>
      <c r="BJ26" s="222">
        <f t="shared" si="16"/>
        <v>0</v>
      </c>
      <c r="DE26" s="117">
        <f t="shared" si="17"/>
        <v>3584.6426378066071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-8812.11</v>
      </c>
      <c r="EU26" s="72"/>
      <c r="EV26" s="117">
        <f t="shared" si="55"/>
        <v>3584.6426378066071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-8812.11</v>
      </c>
    </row>
    <row r="27" spans="1:193" ht="15">
      <c r="A27" s="513" t="s">
        <v>401</v>
      </c>
      <c r="B27" s="205"/>
      <c r="C27" s="200"/>
      <c r="D27" s="525"/>
      <c r="E27" s="526">
        <f t="shared" si="0"/>
        <v>0</v>
      </c>
      <c r="F27" s="527">
        <f t="shared" si="1"/>
        <v>0</v>
      </c>
      <c r="G27" s="202" t="str">
        <f t="shared" si="2"/>
        <v/>
      </c>
      <c r="H27" s="531">
        <f t="shared" si="58"/>
        <v>0</v>
      </c>
      <c r="I27" s="532">
        <f t="shared" si="3"/>
        <v>0</v>
      </c>
      <c r="J27" s="62"/>
      <c r="K27" s="496"/>
      <c r="L27" s="807">
        <f t="shared" si="71"/>
        <v>3692.1819169408054</v>
      </c>
      <c r="M27" s="556">
        <f t="shared" si="5"/>
        <v>-8812.11</v>
      </c>
      <c r="N27" s="556">
        <f t="shared" ca="1" si="6"/>
        <v>-8812.11</v>
      </c>
      <c r="O27" s="62"/>
      <c r="P27" s="198" t="str">
        <f t="shared" si="59"/>
        <v>-</v>
      </c>
      <c r="Q27" s="474">
        <f t="shared" si="69"/>
        <v>0</v>
      </c>
      <c r="R27" s="194"/>
      <c r="S27" s="516">
        <f t="shared" ca="1" si="60"/>
        <v>0</v>
      </c>
      <c r="T27" s="3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79" t="str">
        <f t="shared" ref="U27:U42" si="74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377">
        <f>IFERROR(VLOOKUP($U27,HomeBroker!$A$30:$F$60,2,0),0)</f>
        <v>0</v>
      </c>
      <c r="W27" s="519">
        <f>IFERROR(VLOOKUP($U27,HomeBroker!$A$30:$F$60,3,0),0)</f>
        <v>0</v>
      </c>
      <c r="X27" s="803">
        <f>IFERROR(VLOOKUP($U27,HomeBroker!$A$30:$F$60,6,0),0)</f>
        <v>0</v>
      </c>
      <c r="Y27" s="518">
        <f>IFERROR(VLOOKUP($U27,HomeBroker!$A$30:$F$60,4,0),0)</f>
        <v>0</v>
      </c>
      <c r="Z27" s="377">
        <f>IFERROR(VLOOKUP($U27,HomeBroker!$A$30:$F$60,5,0),0)</f>
        <v>0</v>
      </c>
      <c r="AA27" s="380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78">
        <f t="shared" ca="1" si="64"/>
        <v>0</v>
      </c>
      <c r="AF27" s="379" t="str">
        <f t="shared" ref="AF27:AF42" si="75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79" t="str">
        <f t="shared" ref="AG27:AG42" si="76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75">
        <f>IFERROR(VLOOKUP($AG27,HomeBroker!$A$30:$F$60,2,0),0)</f>
        <v>0</v>
      </c>
      <c r="AI27" s="519">
        <f>IFERROR(VLOOKUP($AG27,HomeBroker!$A$30:$F$60,3,0),0)</f>
        <v>0</v>
      </c>
      <c r="AJ27" s="803">
        <f>IFERROR(VLOOKUP($AG27,HomeBroker!$A$30:$F$60,6,0),0)</f>
        <v>0</v>
      </c>
      <c r="AK27" s="519">
        <f>IFERROR(VLOOKUP($AG27,HomeBroker!$A$30:$F$60,4,0),0)</f>
        <v>0</v>
      </c>
      <c r="AL27" s="475">
        <f>IFERROR(VLOOKUP($AG27,HomeBroker!$A$30:$F$60,5,0),0)</f>
        <v>0</v>
      </c>
      <c r="AM27" s="521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6">
        <f t="shared" si="11"/>
        <v>0</v>
      </c>
      <c r="AY27" s="217">
        <f t="shared" si="12"/>
        <v>0</v>
      </c>
      <c r="AZ27" s="114" t="s">
        <v>402</v>
      </c>
      <c r="BA27" s="112"/>
      <c r="BB27" s="129"/>
      <c r="BC27" s="115"/>
      <c r="BD27" s="218">
        <f t="shared" si="13"/>
        <v>0</v>
      </c>
      <c r="BE27" s="220">
        <f t="shared" si="14"/>
        <v>0</v>
      </c>
      <c r="BF27" s="116" t="s">
        <v>403</v>
      </c>
      <c r="BG27" s="112"/>
      <c r="BH27" s="115"/>
      <c r="BI27" s="221">
        <f t="shared" si="15"/>
        <v>0</v>
      </c>
      <c r="BJ27" s="222">
        <f t="shared" si="16"/>
        <v>0</v>
      </c>
      <c r="DE27" s="117">
        <f t="shared" si="17"/>
        <v>3692.1819169408054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-8812.11</v>
      </c>
      <c r="EU27" s="72"/>
      <c r="EV27" s="117">
        <f t="shared" si="55"/>
        <v>3692.1819169408054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-8812.11</v>
      </c>
    </row>
    <row r="28" spans="1:193" ht="15">
      <c r="A28" s="513" t="s">
        <v>401</v>
      </c>
      <c r="B28" s="203"/>
      <c r="C28" s="200"/>
      <c r="D28" s="525"/>
      <c r="E28" s="526">
        <f t="shared" si="0"/>
        <v>0</v>
      </c>
      <c r="F28" s="527">
        <f t="shared" si="1"/>
        <v>0</v>
      </c>
      <c r="G28" s="202" t="str">
        <f t="shared" si="2"/>
        <v/>
      </c>
      <c r="H28" s="531">
        <f t="shared" si="58"/>
        <v>0</v>
      </c>
      <c r="I28" s="532">
        <f t="shared" si="3"/>
        <v>0</v>
      </c>
      <c r="J28" s="62"/>
      <c r="K28" s="499"/>
      <c r="L28" s="807">
        <f t="shared" si="71"/>
        <v>3802.9473744490297</v>
      </c>
      <c r="M28" s="555">
        <f t="shared" si="5"/>
        <v>-8812.11</v>
      </c>
      <c r="N28" s="555">
        <f t="shared" ca="1" si="6"/>
        <v>-8812.11</v>
      </c>
      <c r="O28" s="62"/>
      <c r="P28" s="198" t="str">
        <f t="shared" si="59"/>
        <v>-</v>
      </c>
      <c r="Q28" s="474">
        <f t="shared" si="69"/>
        <v>0</v>
      </c>
      <c r="R28" s="194"/>
      <c r="S28" s="516">
        <f t="shared" ca="1" si="60"/>
        <v>0</v>
      </c>
      <c r="T28" s="379" t="str">
        <f t="shared" si="73"/>
        <v/>
      </c>
      <c r="U28" s="379" t="str">
        <f t="shared" si="74"/>
        <v/>
      </c>
      <c r="V28" s="377">
        <f>IFERROR(VLOOKUP($U28,HomeBroker!$A$30:$F$60,2,0),0)</f>
        <v>0</v>
      </c>
      <c r="W28" s="519">
        <f>IFERROR(VLOOKUP($U28,HomeBroker!$A$30:$F$60,3,0),0)</f>
        <v>0</v>
      </c>
      <c r="X28" s="803">
        <f>IFERROR(VLOOKUP($U28,HomeBroker!$A$30:$F$60,6,0),0)</f>
        <v>0</v>
      </c>
      <c r="Y28" s="518">
        <f>IFERROR(VLOOKUP($U28,HomeBroker!$A$30:$F$60,4,0),0)</f>
        <v>0</v>
      </c>
      <c r="Z28" s="377">
        <f>IFERROR(VLOOKUP($U28,HomeBroker!$A$30:$F$60,5,0),0)</f>
        <v>0</v>
      </c>
      <c r="AA28" s="380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78">
        <f t="shared" ca="1" si="64"/>
        <v>0</v>
      </c>
      <c r="AF28" s="379" t="str">
        <f t="shared" si="75"/>
        <v/>
      </c>
      <c r="AG28" s="379" t="str">
        <f t="shared" si="76"/>
        <v/>
      </c>
      <c r="AH28" s="475">
        <f>IFERROR(VLOOKUP($AG28,HomeBroker!$A$30:$F$60,2,0),0)</f>
        <v>0</v>
      </c>
      <c r="AI28" s="519">
        <f>IFERROR(VLOOKUP($AG28,HomeBroker!$A$30:$F$60,3,0),0)</f>
        <v>0</v>
      </c>
      <c r="AJ28" s="803">
        <f>IFERROR(VLOOKUP($AG28,HomeBroker!$A$30:$F$60,6,0),0)</f>
        <v>0</v>
      </c>
      <c r="AK28" s="519">
        <f>IFERROR(VLOOKUP($AG28,HomeBroker!$A$30:$F$60,4,0),0)</f>
        <v>0</v>
      </c>
      <c r="AL28" s="475">
        <f>IFERROR(VLOOKUP($AG28,HomeBroker!$A$30:$F$60,5,0),0)</f>
        <v>0</v>
      </c>
      <c r="AM28" s="521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6">
        <f t="shared" si="11"/>
        <v>0</v>
      </c>
      <c r="AY28" s="217">
        <f t="shared" si="12"/>
        <v>0</v>
      </c>
      <c r="AZ28" s="114" t="s">
        <v>402</v>
      </c>
      <c r="BA28" s="112"/>
      <c r="BB28" s="129"/>
      <c r="BC28" s="115"/>
      <c r="BD28" s="218">
        <f t="shared" si="13"/>
        <v>0</v>
      </c>
      <c r="BE28" s="220">
        <f t="shared" si="14"/>
        <v>0</v>
      </c>
      <c r="BF28" s="116" t="s">
        <v>403</v>
      </c>
      <c r="BG28" s="112"/>
      <c r="BH28" s="115"/>
      <c r="BI28" s="221">
        <f t="shared" si="15"/>
        <v>0</v>
      </c>
      <c r="BJ28" s="222">
        <f t="shared" si="16"/>
        <v>0</v>
      </c>
      <c r="DE28" s="117">
        <f t="shared" si="17"/>
        <v>3802.9473744490297</v>
      </c>
      <c r="DF28" s="118">
        <f t="shared" si="18"/>
        <v>0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0</v>
      </c>
      <c r="EQ28" s="119"/>
      <c r="ER28" s="126"/>
      <c r="ES28" s="122"/>
      <c r="ET28" s="123">
        <f t="shared" si="54"/>
        <v>-8812.11</v>
      </c>
      <c r="EU28" s="72"/>
      <c r="EV28" s="117">
        <f t="shared" si="55"/>
        <v>3802.9473744490297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-8812.11</v>
      </c>
    </row>
    <row r="29" spans="1:193" ht="15">
      <c r="A29" s="513" t="s">
        <v>401</v>
      </c>
      <c r="B29" s="203"/>
      <c r="C29" s="200"/>
      <c r="D29" s="525"/>
      <c r="E29" s="526">
        <f t="shared" si="0"/>
        <v>0</v>
      </c>
      <c r="F29" s="527">
        <f t="shared" si="1"/>
        <v>0</v>
      </c>
      <c r="G29" s="202" t="str">
        <f t="shared" si="2"/>
        <v/>
      </c>
      <c r="H29" s="531">
        <f t="shared" si="58"/>
        <v>0</v>
      </c>
      <c r="I29" s="532">
        <f t="shared" si="3"/>
        <v>0</v>
      </c>
      <c r="J29" s="62"/>
      <c r="K29" s="106">
        <f>IFERROR(+L29/$L$18-1,"")</f>
        <v>0.3842338707244457</v>
      </c>
      <c r="L29" s="809">
        <f t="shared" si="71"/>
        <v>3917.0357956825005</v>
      </c>
      <c r="M29" s="555">
        <f t="shared" si="5"/>
        <v>-8812.11</v>
      </c>
      <c r="N29" s="555">
        <f t="shared" ca="1" si="6"/>
        <v>-8812.11</v>
      </c>
      <c r="O29" s="62"/>
      <c r="P29" s="198" t="str">
        <f t="shared" si="59"/>
        <v>-</v>
      </c>
      <c r="Q29" s="474">
        <f t="shared" si="69"/>
        <v>0</v>
      </c>
      <c r="R29" s="194"/>
      <c r="S29" s="516">
        <f t="shared" ca="1" si="60"/>
        <v>0</v>
      </c>
      <c r="T29" s="379" t="str">
        <f t="shared" si="73"/>
        <v/>
      </c>
      <c r="U29" s="379" t="str">
        <f t="shared" si="74"/>
        <v/>
      </c>
      <c r="V29" s="377">
        <f>IFERROR(VLOOKUP($U29,HomeBroker!$A$30:$F$60,2,0),0)</f>
        <v>0</v>
      </c>
      <c r="W29" s="519">
        <f>IFERROR(VLOOKUP($U29,HomeBroker!$A$30:$F$60,3,0),0)</f>
        <v>0</v>
      </c>
      <c r="X29" s="803">
        <f>IFERROR(VLOOKUP($U29,HomeBroker!$A$30:$F$60,6,0),0)</f>
        <v>0</v>
      </c>
      <c r="Y29" s="518">
        <f>IFERROR(VLOOKUP($U29,HomeBroker!$A$30:$F$60,4,0),0)</f>
        <v>0</v>
      </c>
      <c r="Z29" s="377">
        <f>IFERROR(VLOOKUP($U29,HomeBroker!$A$30:$F$60,5,0),0)</f>
        <v>0</v>
      </c>
      <c r="AA29" s="380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78">
        <f t="shared" ca="1" si="64"/>
        <v>0</v>
      </c>
      <c r="AF29" s="379" t="str">
        <f t="shared" si="75"/>
        <v/>
      </c>
      <c r="AG29" s="379" t="str">
        <f t="shared" si="76"/>
        <v/>
      </c>
      <c r="AH29" s="475">
        <f>IFERROR(VLOOKUP($AG29,HomeBroker!$A$30:$F$60,2,0),0)</f>
        <v>0</v>
      </c>
      <c r="AI29" s="519">
        <f>IFERROR(VLOOKUP($AG29,HomeBroker!$A$30:$F$60,3,0),0)</f>
        <v>0</v>
      </c>
      <c r="AJ29" s="803">
        <f>IFERROR(VLOOKUP($AG29,HomeBroker!$A$30:$F$60,6,0),0)</f>
        <v>0</v>
      </c>
      <c r="AK29" s="519">
        <f>IFERROR(VLOOKUP($AG29,HomeBroker!$A$30:$F$60,4,0),0)</f>
        <v>0</v>
      </c>
      <c r="AL29" s="475">
        <f>IFERROR(VLOOKUP($AG29,HomeBroker!$A$30:$F$60,5,0),0)</f>
        <v>0</v>
      </c>
      <c r="AM29" s="521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6">
        <f t="shared" si="11"/>
        <v>0</v>
      </c>
      <c r="AY29" s="217">
        <f t="shared" si="12"/>
        <v>0</v>
      </c>
      <c r="AZ29" s="114" t="s">
        <v>402</v>
      </c>
      <c r="BA29" s="112"/>
      <c r="BB29" s="129"/>
      <c r="BC29" s="115"/>
      <c r="BD29" s="218">
        <f t="shared" si="13"/>
        <v>0</v>
      </c>
      <c r="BE29" s="220">
        <f t="shared" si="14"/>
        <v>0</v>
      </c>
      <c r="BF29" s="116" t="s">
        <v>403</v>
      </c>
      <c r="BG29" s="112"/>
      <c r="BH29" s="115"/>
      <c r="BI29" s="221">
        <f t="shared" si="15"/>
        <v>0</v>
      </c>
      <c r="BJ29" s="222">
        <f t="shared" si="16"/>
        <v>0</v>
      </c>
      <c r="DE29" s="117">
        <f t="shared" si="17"/>
        <v>3917.0357956825005</v>
      </c>
      <c r="DF29" s="118">
        <f t="shared" si="18"/>
        <v>0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0</v>
      </c>
      <c r="EQ29" s="119"/>
      <c r="ER29" s="126"/>
      <c r="ES29" s="122"/>
      <c r="ET29" s="123">
        <f t="shared" si="54"/>
        <v>-8812.11</v>
      </c>
      <c r="EU29" s="72"/>
      <c r="EV29" s="117">
        <f t="shared" si="55"/>
        <v>3917.0357956825005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-8812.11</v>
      </c>
    </row>
    <row r="30" spans="1:193" ht="15">
      <c r="A30" s="513" t="s">
        <v>401</v>
      </c>
      <c r="B30" s="203"/>
      <c r="C30" s="200"/>
      <c r="D30" s="525"/>
      <c r="E30" s="526">
        <f t="shared" si="0"/>
        <v>0</v>
      </c>
      <c r="F30" s="527">
        <f t="shared" si="1"/>
        <v>0</v>
      </c>
      <c r="G30" s="202" t="str">
        <f t="shared" si="2"/>
        <v/>
      </c>
      <c r="H30" s="531">
        <f t="shared" si="58"/>
        <v>0</v>
      </c>
      <c r="I30" s="532">
        <f t="shared" si="3"/>
        <v>0</v>
      </c>
      <c r="J30" s="62"/>
      <c r="K30" s="106"/>
      <c r="L30" s="809">
        <f t="shared" si="71"/>
        <v>4034.5468695529757</v>
      </c>
      <c r="M30" s="556">
        <f t="shared" si="5"/>
        <v>-8812.11</v>
      </c>
      <c r="N30" s="556">
        <f t="shared" ca="1" si="6"/>
        <v>-8812.11</v>
      </c>
      <c r="O30" s="62"/>
      <c r="P30" s="198" t="str">
        <f t="shared" si="59"/>
        <v>-</v>
      </c>
      <c r="Q30" s="474">
        <f t="shared" si="69"/>
        <v>0</v>
      </c>
      <c r="R30" s="194"/>
      <c r="S30" s="516">
        <f t="shared" ca="1" si="60"/>
        <v>0</v>
      </c>
      <c r="T30" s="379" t="str">
        <f t="shared" si="73"/>
        <v/>
      </c>
      <c r="U30" s="379" t="str">
        <f t="shared" si="74"/>
        <v/>
      </c>
      <c r="V30" s="377">
        <f>IFERROR(VLOOKUP($U30,HomeBroker!$A$30:$F$60,2,0),0)</f>
        <v>0</v>
      </c>
      <c r="W30" s="519">
        <f>IFERROR(VLOOKUP($U30,HomeBroker!$A$30:$F$60,3,0),0)</f>
        <v>0</v>
      </c>
      <c r="X30" s="803">
        <f>IFERROR(VLOOKUP($U30,HomeBroker!$A$30:$F$60,6,0),0)</f>
        <v>0</v>
      </c>
      <c r="Y30" s="518">
        <f>IFERROR(VLOOKUP($U30,HomeBroker!$A$30:$F$60,4,0),0)</f>
        <v>0</v>
      </c>
      <c r="Z30" s="377">
        <f>IFERROR(VLOOKUP($U30,HomeBroker!$A$30:$F$60,5,0),0)</f>
        <v>0</v>
      </c>
      <c r="AA30" s="380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78">
        <f t="shared" ca="1" si="64"/>
        <v>0</v>
      </c>
      <c r="AF30" s="379" t="str">
        <f t="shared" si="75"/>
        <v/>
      </c>
      <c r="AG30" s="379" t="str">
        <f t="shared" si="76"/>
        <v/>
      </c>
      <c r="AH30" s="475">
        <f>IFERROR(VLOOKUP($AG30,HomeBroker!$A$30:$F$60,2,0),0)</f>
        <v>0</v>
      </c>
      <c r="AI30" s="519">
        <f>IFERROR(VLOOKUP($AG30,HomeBroker!$A$30:$F$60,3,0),0)</f>
        <v>0</v>
      </c>
      <c r="AJ30" s="803">
        <f>IFERROR(VLOOKUP($AG30,HomeBroker!$A$30:$F$60,6,0),0)</f>
        <v>0</v>
      </c>
      <c r="AK30" s="519">
        <f>IFERROR(VLOOKUP($AG30,HomeBroker!$A$30:$F$60,4,0),0)</f>
        <v>0</v>
      </c>
      <c r="AL30" s="475">
        <f>IFERROR(VLOOKUP($AG30,HomeBroker!$A$30:$F$60,5,0),0)</f>
        <v>0</v>
      </c>
      <c r="AM30" s="521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6">
        <f t="shared" si="11"/>
        <v>0</v>
      </c>
      <c r="AY30" s="217">
        <f t="shared" si="12"/>
        <v>0</v>
      </c>
      <c r="AZ30" s="114" t="s">
        <v>402</v>
      </c>
      <c r="BA30" s="112"/>
      <c r="BB30" s="129"/>
      <c r="BC30" s="115"/>
      <c r="BD30" s="218">
        <f t="shared" si="13"/>
        <v>0</v>
      </c>
      <c r="BE30" s="220">
        <f t="shared" si="14"/>
        <v>0</v>
      </c>
      <c r="BF30" s="116" t="s">
        <v>403</v>
      </c>
      <c r="BG30" s="112"/>
      <c r="BH30" s="115"/>
      <c r="BI30" s="221">
        <f t="shared" si="15"/>
        <v>0</v>
      </c>
      <c r="BJ30" s="222">
        <f t="shared" si="16"/>
        <v>0</v>
      </c>
      <c r="DE30" s="117">
        <f t="shared" si="17"/>
        <v>4034.5468695529757</v>
      </c>
      <c r="DF30" s="118">
        <f t="shared" si="18"/>
        <v>0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0</v>
      </c>
      <c r="EQ30" s="119"/>
      <c r="ER30" s="126"/>
      <c r="ES30" s="122"/>
      <c r="ET30" s="123">
        <f t="shared" si="54"/>
        <v>-8812.11</v>
      </c>
      <c r="EU30" s="72"/>
      <c r="EV30" s="117">
        <f t="shared" si="55"/>
        <v>4034.5468695529757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-8812.11</v>
      </c>
    </row>
    <row r="31" spans="1:193" ht="15">
      <c r="A31" s="513" t="s">
        <v>401</v>
      </c>
      <c r="B31" s="203"/>
      <c r="C31" s="200"/>
      <c r="D31" s="525"/>
      <c r="E31" s="526">
        <f t="shared" si="0"/>
        <v>0</v>
      </c>
      <c r="F31" s="527">
        <f t="shared" si="1"/>
        <v>0</v>
      </c>
      <c r="G31" s="202" t="str">
        <f t="shared" si="2"/>
        <v/>
      </c>
      <c r="H31" s="531">
        <f t="shared" si="58"/>
        <v>0</v>
      </c>
      <c r="I31" s="532">
        <f t="shared" si="3"/>
        <v>0</v>
      </c>
      <c r="J31" s="62"/>
      <c r="K31" s="106"/>
      <c r="L31" s="809">
        <f t="shared" si="71"/>
        <v>4155.5832756395648</v>
      </c>
      <c r="M31" s="555">
        <f t="shared" si="5"/>
        <v>-8812.11</v>
      </c>
      <c r="N31" s="555">
        <f t="shared" ca="1" si="6"/>
        <v>-8812.11</v>
      </c>
      <c r="O31" s="62"/>
      <c r="P31" s="198" t="str">
        <f t="shared" si="59"/>
        <v>-</v>
      </c>
      <c r="Q31" s="474">
        <f t="shared" si="69"/>
        <v>0</v>
      </c>
      <c r="R31" s="194"/>
      <c r="S31" s="516">
        <f t="shared" ca="1" si="60"/>
        <v>0</v>
      </c>
      <c r="T31" s="379" t="str">
        <f t="shared" si="73"/>
        <v/>
      </c>
      <c r="U31" s="379" t="str">
        <f t="shared" si="74"/>
        <v/>
      </c>
      <c r="V31" s="377">
        <f>IFERROR(VLOOKUP($U31,HomeBroker!$A$30:$F$60,2,0),0)</f>
        <v>0</v>
      </c>
      <c r="W31" s="519">
        <f>IFERROR(VLOOKUP($U31,HomeBroker!$A$30:$F$60,3,0),0)</f>
        <v>0</v>
      </c>
      <c r="X31" s="803">
        <f>IFERROR(VLOOKUP($U31,HomeBroker!$A$30:$F$60,6,0),0)</f>
        <v>0</v>
      </c>
      <c r="Y31" s="518">
        <f>IFERROR(VLOOKUP($U31,HomeBroker!$A$30:$F$60,4,0),0)</f>
        <v>0</v>
      </c>
      <c r="Z31" s="377">
        <f>IFERROR(VLOOKUP($U31,HomeBroker!$A$30:$F$60,5,0),0)</f>
        <v>0</v>
      </c>
      <c r="AA31" s="380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78">
        <f t="shared" ca="1" si="64"/>
        <v>0</v>
      </c>
      <c r="AF31" s="379" t="str">
        <f t="shared" si="75"/>
        <v/>
      </c>
      <c r="AG31" s="379" t="str">
        <f t="shared" si="76"/>
        <v/>
      </c>
      <c r="AH31" s="475">
        <f>IFERROR(VLOOKUP($AG31,HomeBroker!$A$30:$F$60,2,0),0)</f>
        <v>0</v>
      </c>
      <c r="AI31" s="519">
        <f>IFERROR(VLOOKUP($AG31,HomeBroker!$A$30:$F$60,3,0),0)</f>
        <v>0</v>
      </c>
      <c r="AJ31" s="803">
        <f>IFERROR(VLOOKUP($AG31,HomeBroker!$A$30:$F$60,6,0),0)</f>
        <v>0</v>
      </c>
      <c r="AK31" s="519">
        <f>IFERROR(VLOOKUP($AG31,HomeBroker!$A$30:$F$60,4,0),0)</f>
        <v>0</v>
      </c>
      <c r="AL31" s="475">
        <f>IFERROR(VLOOKUP($AG31,HomeBroker!$A$30:$F$60,5,0),0)</f>
        <v>0</v>
      </c>
      <c r="AM31" s="521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6">
        <f t="shared" si="11"/>
        <v>0</v>
      </c>
      <c r="AY31" s="217">
        <f t="shared" si="12"/>
        <v>0</v>
      </c>
      <c r="AZ31" s="114" t="s">
        <v>402</v>
      </c>
      <c r="BA31" s="112"/>
      <c r="BB31" s="129"/>
      <c r="BC31" s="115"/>
      <c r="BD31" s="218">
        <f t="shared" si="13"/>
        <v>0</v>
      </c>
      <c r="BE31" s="220">
        <f t="shared" si="14"/>
        <v>0</v>
      </c>
      <c r="BF31" s="116" t="s">
        <v>403</v>
      </c>
      <c r="BG31" s="112"/>
      <c r="BH31" s="115"/>
      <c r="BI31" s="221">
        <f t="shared" si="15"/>
        <v>0</v>
      </c>
      <c r="BJ31" s="222">
        <f t="shared" si="16"/>
        <v>0</v>
      </c>
      <c r="DE31" s="117">
        <f t="shared" si="17"/>
        <v>4155.5832756395648</v>
      </c>
      <c r="DF31" s="118">
        <f t="shared" si="18"/>
        <v>0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0</v>
      </c>
      <c r="EQ31" s="119"/>
      <c r="ER31" s="126"/>
      <c r="ES31" s="122"/>
      <c r="ET31" s="123">
        <f t="shared" si="54"/>
        <v>-8812.11</v>
      </c>
      <c r="EU31" s="72"/>
      <c r="EV31" s="117">
        <f t="shared" si="55"/>
        <v>4155.5832756395648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-8812.11</v>
      </c>
    </row>
    <row r="32" spans="1:193" ht="15">
      <c r="A32" s="513" t="s">
        <v>401</v>
      </c>
      <c r="B32" s="203"/>
      <c r="C32" s="200"/>
      <c r="D32" s="525"/>
      <c r="E32" s="526">
        <f t="shared" si="0"/>
        <v>0</v>
      </c>
      <c r="F32" s="527">
        <f t="shared" si="1"/>
        <v>0</v>
      </c>
      <c r="G32" s="202" t="str">
        <f t="shared" si="2"/>
        <v/>
      </c>
      <c r="H32" s="531">
        <f t="shared" si="58"/>
        <v>0</v>
      </c>
      <c r="I32" s="532">
        <f t="shared" si="3"/>
        <v>0</v>
      </c>
      <c r="J32" s="62"/>
      <c r="K32" s="106"/>
      <c r="L32" s="809">
        <f t="shared" si="71"/>
        <v>4280.2507739087523</v>
      </c>
      <c r="M32" s="555">
        <f t="shared" si="5"/>
        <v>215890.06</v>
      </c>
      <c r="N32" s="555">
        <f t="shared" ca="1" si="6"/>
        <v>-8812.11</v>
      </c>
      <c r="O32" s="62"/>
      <c r="P32" s="198" t="str">
        <f t="shared" si="59"/>
        <v>-</v>
      </c>
      <c r="Q32" s="474">
        <f t="shared" si="69"/>
        <v>0</v>
      </c>
      <c r="R32" s="194"/>
      <c r="S32" s="516">
        <f t="shared" ca="1" si="60"/>
        <v>0</v>
      </c>
      <c r="T32" s="379" t="str">
        <f t="shared" si="73"/>
        <v/>
      </c>
      <c r="U32" s="379" t="str">
        <f t="shared" si="74"/>
        <v/>
      </c>
      <c r="V32" s="377">
        <f>IFERROR(VLOOKUP($U32,HomeBroker!$A$30:$F$60,2,0),0)</f>
        <v>0</v>
      </c>
      <c r="W32" s="519">
        <f>IFERROR(VLOOKUP($U32,HomeBroker!$A$30:$F$60,3,0),0)</f>
        <v>0</v>
      </c>
      <c r="X32" s="803">
        <f>IFERROR(VLOOKUP($U32,HomeBroker!$A$30:$F$60,6,0),0)</f>
        <v>0</v>
      </c>
      <c r="Y32" s="518">
        <f>IFERROR(VLOOKUP($U32,HomeBroker!$A$30:$F$60,4,0),0)</f>
        <v>0</v>
      </c>
      <c r="Z32" s="377">
        <f>IFERROR(VLOOKUP($U32,HomeBroker!$A$30:$F$60,5,0),0)</f>
        <v>0</v>
      </c>
      <c r="AA32" s="380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78">
        <f t="shared" ca="1" si="64"/>
        <v>0</v>
      </c>
      <c r="AF32" s="379" t="str">
        <f t="shared" si="75"/>
        <v/>
      </c>
      <c r="AG32" s="379" t="str">
        <f t="shared" si="76"/>
        <v/>
      </c>
      <c r="AH32" s="475">
        <f>IFERROR(VLOOKUP($AG32,HomeBroker!$A$30:$F$60,2,0),0)</f>
        <v>0</v>
      </c>
      <c r="AI32" s="519">
        <f>IFERROR(VLOOKUP($AG32,HomeBroker!$A$30:$F$60,3,0),0)</f>
        <v>0</v>
      </c>
      <c r="AJ32" s="803">
        <f>IFERROR(VLOOKUP($AG32,HomeBroker!$A$30:$F$60,6,0),0)</f>
        <v>0</v>
      </c>
      <c r="AK32" s="519">
        <f>IFERROR(VLOOKUP($AG32,HomeBroker!$A$30:$F$60,4,0),0)</f>
        <v>0</v>
      </c>
      <c r="AL32" s="475">
        <f>IFERROR(VLOOKUP($AG32,HomeBroker!$A$30:$F$60,5,0),0)</f>
        <v>0</v>
      </c>
      <c r="AM32" s="521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6">
        <f t="shared" si="11"/>
        <v>0</v>
      </c>
      <c r="AY32" s="217">
        <f t="shared" si="12"/>
        <v>0</v>
      </c>
      <c r="AZ32" s="114" t="s">
        <v>402</v>
      </c>
      <c r="BA32" s="112"/>
      <c r="BB32" s="129"/>
      <c r="BC32" s="115"/>
      <c r="BD32" s="218">
        <f t="shared" si="13"/>
        <v>0</v>
      </c>
      <c r="BE32" s="220">
        <f t="shared" si="14"/>
        <v>0</v>
      </c>
      <c r="BF32" s="116" t="s">
        <v>403</v>
      </c>
      <c r="BG32" s="112"/>
      <c r="BH32" s="115"/>
      <c r="BI32" s="221">
        <f t="shared" si="15"/>
        <v>0</v>
      </c>
      <c r="BJ32" s="222">
        <f t="shared" si="16"/>
        <v>0</v>
      </c>
      <c r="DE32" s="117">
        <f t="shared" si="17"/>
        <v>4280.2507739087523</v>
      </c>
      <c r="DF32" s="118">
        <f t="shared" si="18"/>
        <v>112351.08347225323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112351.08347225323</v>
      </c>
      <c r="EQ32" s="119"/>
      <c r="ER32" s="126"/>
      <c r="ES32" s="122"/>
      <c r="ET32" s="123">
        <f t="shared" si="54"/>
        <v>215890.06</v>
      </c>
      <c r="EU32" s="72"/>
      <c r="EV32" s="117">
        <f t="shared" si="55"/>
        <v>4280.2507739087523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-8812.11</v>
      </c>
    </row>
    <row r="33" spans="1:193" ht="15">
      <c r="A33" s="513" t="s">
        <v>401</v>
      </c>
      <c r="B33" s="203"/>
      <c r="C33" s="200"/>
      <c r="D33" s="525"/>
      <c r="E33" s="526">
        <f t="shared" si="0"/>
        <v>0</v>
      </c>
      <c r="F33" s="527">
        <f t="shared" si="1"/>
        <v>0</v>
      </c>
      <c r="G33" s="202" t="str">
        <f t="shared" si="2"/>
        <v/>
      </c>
      <c r="H33" s="531">
        <f t="shared" si="58"/>
        <v>0</v>
      </c>
      <c r="I33" s="532">
        <f t="shared" si="3"/>
        <v>0</v>
      </c>
      <c r="J33" s="62"/>
      <c r="K33" s="106"/>
      <c r="L33" s="809">
        <f t="shared" si="71"/>
        <v>4408.658297126015</v>
      </c>
      <c r="M33" s="556">
        <f t="shared" si="5"/>
        <v>575431.12</v>
      </c>
      <c r="N33" s="556">
        <f t="shared" ca="1" si="6"/>
        <v>-8812.11</v>
      </c>
      <c r="O33" s="62"/>
      <c r="P33" s="198" t="str">
        <f t="shared" si="59"/>
        <v>-</v>
      </c>
      <c r="Q33" s="474">
        <f t="shared" si="69"/>
        <v>0</v>
      </c>
      <c r="R33" s="194"/>
      <c r="S33" s="516">
        <f t="shared" ca="1" si="60"/>
        <v>0</v>
      </c>
      <c r="T33" s="379" t="str">
        <f t="shared" si="73"/>
        <v/>
      </c>
      <c r="U33" s="379" t="str">
        <f t="shared" si="74"/>
        <v/>
      </c>
      <c r="V33" s="377">
        <f>IFERROR(VLOOKUP($U33,HomeBroker!$A$30:$F$60,2,0),0)</f>
        <v>0</v>
      </c>
      <c r="W33" s="519">
        <f>IFERROR(VLOOKUP($U33,HomeBroker!$A$30:$F$60,3,0),0)</f>
        <v>0</v>
      </c>
      <c r="X33" s="803">
        <f>IFERROR(VLOOKUP($U33,HomeBroker!$A$30:$F$60,6,0),0)</f>
        <v>0</v>
      </c>
      <c r="Y33" s="518">
        <f>IFERROR(VLOOKUP($U33,HomeBroker!$A$30:$F$60,4,0),0)</f>
        <v>0</v>
      </c>
      <c r="Z33" s="377">
        <f>IFERROR(VLOOKUP($U33,HomeBroker!$A$30:$F$60,5,0),0)</f>
        <v>0</v>
      </c>
      <c r="AA33" s="380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78">
        <f t="shared" ca="1" si="64"/>
        <v>0</v>
      </c>
      <c r="AF33" s="379" t="str">
        <f t="shared" si="75"/>
        <v/>
      </c>
      <c r="AG33" s="379" t="str">
        <f t="shared" si="76"/>
        <v/>
      </c>
      <c r="AH33" s="475">
        <f>IFERROR(VLOOKUP($AG33,HomeBroker!$A$30:$F$60,2,0),0)</f>
        <v>0</v>
      </c>
      <c r="AI33" s="519">
        <f>IFERROR(VLOOKUP($AG33,HomeBroker!$A$30:$F$60,3,0),0)</f>
        <v>0</v>
      </c>
      <c r="AJ33" s="803">
        <f>IFERROR(VLOOKUP($AG33,HomeBroker!$A$30:$F$60,6,0),0)</f>
        <v>0</v>
      </c>
      <c r="AK33" s="519">
        <f>IFERROR(VLOOKUP($AG33,HomeBroker!$A$30:$F$60,4,0),0)</f>
        <v>0</v>
      </c>
      <c r="AL33" s="475">
        <f>IFERROR(VLOOKUP($AG33,HomeBroker!$A$30:$F$60,5,0),0)</f>
        <v>0</v>
      </c>
      <c r="AM33" s="521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6">
        <f t="shared" si="11"/>
        <v>0</v>
      </c>
      <c r="AY33" s="217">
        <f t="shared" si="12"/>
        <v>0</v>
      </c>
      <c r="AZ33" s="114" t="s">
        <v>402</v>
      </c>
      <c r="BA33" s="112"/>
      <c r="BB33" s="129"/>
      <c r="BC33" s="115"/>
      <c r="BD33" s="218">
        <f t="shared" si="13"/>
        <v>0</v>
      </c>
      <c r="BE33" s="220">
        <f t="shared" si="14"/>
        <v>0</v>
      </c>
      <c r="BF33" s="116" t="s">
        <v>403</v>
      </c>
      <c r="BG33" s="112"/>
      <c r="BH33" s="115"/>
      <c r="BI33" s="221">
        <f t="shared" si="15"/>
        <v>0</v>
      </c>
      <c r="BJ33" s="222">
        <f t="shared" si="16"/>
        <v>0</v>
      </c>
      <c r="DE33" s="117">
        <f t="shared" si="17"/>
        <v>4408.658297126015</v>
      </c>
      <c r="DF33" s="118">
        <f t="shared" si="18"/>
        <v>292121.61597642099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292121.61597642099</v>
      </c>
      <c r="EQ33" s="119"/>
      <c r="ER33" s="126"/>
      <c r="ES33" s="122"/>
      <c r="ET33" s="123">
        <f t="shared" si="54"/>
        <v>575431.12</v>
      </c>
      <c r="EU33" s="72"/>
      <c r="EV33" s="117">
        <f t="shared" si="55"/>
        <v>4408.658297126015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-8812.11</v>
      </c>
    </row>
    <row r="34" spans="1:193" ht="15.75" thickBot="1">
      <c r="A34" s="513" t="s">
        <v>401</v>
      </c>
      <c r="B34" s="203"/>
      <c r="C34" s="200"/>
      <c r="D34" s="525"/>
      <c r="E34" s="526">
        <f t="shared" si="0"/>
        <v>0</v>
      </c>
      <c r="F34" s="527">
        <f t="shared" si="1"/>
        <v>0</v>
      </c>
      <c r="G34" s="202" t="str">
        <f t="shared" si="2"/>
        <v/>
      </c>
      <c r="H34" s="531">
        <f t="shared" si="58"/>
        <v>0</v>
      </c>
      <c r="I34" s="532">
        <f t="shared" si="3"/>
        <v>0</v>
      </c>
      <c r="J34" s="62"/>
      <c r="K34" s="133"/>
      <c r="L34" s="810">
        <f t="shared" si="71"/>
        <v>4540.9180460397956</v>
      </c>
      <c r="M34" s="557">
        <f t="shared" si="5"/>
        <v>945758.42</v>
      </c>
      <c r="N34" s="557">
        <f t="shared" ca="1" si="6"/>
        <v>-8812.11</v>
      </c>
      <c r="O34" s="134"/>
      <c r="P34" s="198" t="str">
        <f t="shared" si="59"/>
        <v>-</v>
      </c>
      <c r="Q34" s="474">
        <f t="shared" si="69"/>
        <v>0</v>
      </c>
      <c r="R34" s="194"/>
      <c r="S34" s="516">
        <f t="shared" ca="1" si="60"/>
        <v>0</v>
      </c>
      <c r="T34" s="379" t="str">
        <f t="shared" si="73"/>
        <v/>
      </c>
      <c r="U34" s="379" t="str">
        <f t="shared" si="74"/>
        <v/>
      </c>
      <c r="V34" s="377">
        <f>IFERROR(VLOOKUP($U34,HomeBroker!$A$30:$F$60,2,0),0)</f>
        <v>0</v>
      </c>
      <c r="W34" s="519">
        <f>IFERROR(VLOOKUP($U34,HomeBroker!$A$30:$F$60,3,0),0)</f>
        <v>0</v>
      </c>
      <c r="X34" s="803">
        <f>IFERROR(VLOOKUP($U34,HomeBroker!$A$30:$F$60,6,0),0)</f>
        <v>0</v>
      </c>
      <c r="Y34" s="518">
        <f>IFERROR(VLOOKUP($U34,HomeBroker!$A$30:$F$60,4,0),0)</f>
        <v>0</v>
      </c>
      <c r="Z34" s="377">
        <f>IFERROR(VLOOKUP($U34,HomeBroker!$A$30:$F$60,5,0),0)</f>
        <v>0</v>
      </c>
      <c r="AA34" s="380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78">
        <f t="shared" ca="1" si="64"/>
        <v>0</v>
      </c>
      <c r="AF34" s="379" t="str">
        <f t="shared" si="75"/>
        <v/>
      </c>
      <c r="AG34" s="379" t="str">
        <f t="shared" si="76"/>
        <v/>
      </c>
      <c r="AH34" s="475">
        <f>IFERROR(VLOOKUP($AG34,HomeBroker!$A$30:$F$60,2,0),0)</f>
        <v>0</v>
      </c>
      <c r="AI34" s="519">
        <f>IFERROR(VLOOKUP($AG34,HomeBroker!$A$30:$F$60,3,0),0)</f>
        <v>0</v>
      </c>
      <c r="AJ34" s="803">
        <f>IFERROR(VLOOKUP($AG34,HomeBroker!$A$30:$F$60,6,0),0)</f>
        <v>0</v>
      </c>
      <c r="AK34" s="519">
        <f>IFERROR(VLOOKUP($AG34,HomeBroker!$A$30:$F$60,4,0),0)</f>
        <v>0</v>
      </c>
      <c r="AL34" s="475">
        <f>IFERROR(VLOOKUP($AG34,HomeBroker!$A$30:$F$60,5,0),0)</f>
        <v>0</v>
      </c>
      <c r="AM34" s="521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6">
        <f t="shared" si="11"/>
        <v>0</v>
      </c>
      <c r="AY34" s="217">
        <f t="shared" si="12"/>
        <v>0</v>
      </c>
      <c r="AZ34" s="114" t="s">
        <v>402</v>
      </c>
      <c r="BA34" s="112"/>
      <c r="BB34" s="129"/>
      <c r="BC34" s="115"/>
      <c r="BD34" s="218">
        <f t="shared" si="13"/>
        <v>0</v>
      </c>
      <c r="BE34" s="220">
        <f t="shared" si="14"/>
        <v>0</v>
      </c>
      <c r="BF34" s="116" t="s">
        <v>403</v>
      </c>
      <c r="BG34" s="112"/>
      <c r="BH34" s="115"/>
      <c r="BI34" s="221">
        <f t="shared" si="15"/>
        <v>0</v>
      </c>
      <c r="BJ34" s="222">
        <f t="shared" si="16"/>
        <v>0</v>
      </c>
      <c r="DE34" s="117">
        <f t="shared" si="17"/>
        <v>4540.9180460397956</v>
      </c>
      <c r="DF34" s="118">
        <f t="shared" si="18"/>
        <v>477285.26445571386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477285.26445571386</v>
      </c>
      <c r="EQ34" s="119"/>
      <c r="ER34" s="135"/>
      <c r="ES34" s="136"/>
      <c r="ET34" s="137">
        <f t="shared" si="54"/>
        <v>945758.42</v>
      </c>
      <c r="EU34" s="72"/>
      <c r="EV34" s="117">
        <f t="shared" si="55"/>
        <v>4540.9180460397956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-8812.11</v>
      </c>
    </row>
    <row r="35" spans="1:193" ht="15">
      <c r="A35" s="513" t="s">
        <v>401</v>
      </c>
      <c r="B35" s="203"/>
      <c r="C35" s="200"/>
      <c r="D35" s="525"/>
      <c r="E35" s="526">
        <f t="shared" si="0"/>
        <v>0</v>
      </c>
      <c r="F35" s="527">
        <f t="shared" ref="F35:F66" si="77">IF(B35&gt;0,+B35*D35*(1+($N$53+0.002)*1.21)*-100,B35*D35*(1-($N$53+0.002)*1.21)*-100)</f>
        <v>0</v>
      </c>
      <c r="G35" s="202" t="str">
        <f t="shared" si="2"/>
        <v/>
      </c>
      <c r="H35" s="531">
        <f t="shared" si="58"/>
        <v>0</v>
      </c>
      <c r="I35" s="532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474">
        <f t="shared" si="69"/>
        <v>0</v>
      </c>
      <c r="R35" s="194"/>
      <c r="S35" s="516">
        <f t="shared" ca="1" si="60"/>
        <v>0</v>
      </c>
      <c r="T35" s="379" t="str">
        <f t="shared" si="73"/>
        <v/>
      </c>
      <c r="U35" s="379" t="str">
        <f t="shared" si="74"/>
        <v/>
      </c>
      <c r="V35" s="377">
        <f>IFERROR(VLOOKUP($U35,HomeBroker!$A$30:$F$60,2,0),0)</f>
        <v>0</v>
      </c>
      <c r="W35" s="519">
        <f>IFERROR(VLOOKUP($U35,HomeBroker!$A$30:$F$60,3,0),0)</f>
        <v>0</v>
      </c>
      <c r="X35" s="803">
        <f>IFERROR(VLOOKUP($U35,HomeBroker!$A$30:$F$60,6,0),0)</f>
        <v>0</v>
      </c>
      <c r="Y35" s="518">
        <f>IFERROR(VLOOKUP($U35,HomeBroker!$A$30:$F$60,4,0),0)</f>
        <v>0</v>
      </c>
      <c r="Z35" s="377">
        <f>IFERROR(VLOOKUP($U35,HomeBroker!$A$30:$F$60,5,0),0)</f>
        <v>0</v>
      </c>
      <c r="AA35" s="380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78">
        <f t="shared" ca="1" si="64"/>
        <v>0</v>
      </c>
      <c r="AF35" s="379" t="str">
        <f t="shared" si="75"/>
        <v/>
      </c>
      <c r="AG35" s="379" t="str">
        <f t="shared" si="76"/>
        <v/>
      </c>
      <c r="AH35" s="475">
        <f>IFERROR(VLOOKUP($AG35,HomeBroker!$A$30:$F$60,2,0),0)</f>
        <v>0</v>
      </c>
      <c r="AI35" s="519">
        <f>IFERROR(VLOOKUP($AG35,HomeBroker!$A$30:$F$60,3,0),0)</f>
        <v>0</v>
      </c>
      <c r="AJ35" s="803">
        <f>IFERROR(VLOOKUP($AG35,HomeBroker!$A$30:$F$60,6,0),0)</f>
        <v>0</v>
      </c>
      <c r="AK35" s="519">
        <f>IFERROR(VLOOKUP($AG35,HomeBroker!$A$30:$F$60,4,0),0)</f>
        <v>0</v>
      </c>
      <c r="AL35" s="475">
        <f>IFERROR(VLOOKUP($AG35,HomeBroker!$A$30:$F$60,5,0),0)</f>
        <v>0</v>
      </c>
      <c r="AM35" s="521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6">
        <f t="shared" si="11"/>
        <v>0</v>
      </c>
      <c r="AY35" s="217">
        <f t="shared" si="12"/>
        <v>0</v>
      </c>
      <c r="AZ35" s="114" t="s">
        <v>402</v>
      </c>
      <c r="BA35" s="112"/>
      <c r="BB35" s="129"/>
      <c r="BC35" s="115"/>
      <c r="BD35" s="218">
        <f t="shared" si="13"/>
        <v>0</v>
      </c>
      <c r="BE35" s="220">
        <f t="shared" si="14"/>
        <v>0</v>
      </c>
      <c r="BF35" s="116" t="s">
        <v>403</v>
      </c>
      <c r="BG35" s="112"/>
      <c r="BH35" s="115"/>
      <c r="BI35" s="221">
        <f t="shared" si="15"/>
        <v>0</v>
      </c>
      <c r="BJ35" s="222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513" t="s">
        <v>401</v>
      </c>
      <c r="B36" s="203"/>
      <c r="C36" s="200"/>
      <c r="D36" s="525"/>
      <c r="E36" s="526">
        <f t="shared" si="0"/>
        <v>0</v>
      </c>
      <c r="F36" s="527">
        <f t="shared" si="77"/>
        <v>0</v>
      </c>
      <c r="G36" s="202" t="str">
        <f t="shared" si="2"/>
        <v/>
      </c>
      <c r="H36" s="531">
        <f t="shared" si="58"/>
        <v>0</v>
      </c>
      <c r="I36" s="532">
        <f t="shared" si="3"/>
        <v>0</v>
      </c>
      <c r="J36" s="62"/>
      <c r="K36" s="746" t="s">
        <v>442</v>
      </c>
      <c r="L36" s="743"/>
      <c r="M36" s="744"/>
      <c r="N36" s="503">
        <f>SUM(AY:AY)+SUM(BE:BE)+SUM(BJ:BJ)+$F$76</f>
        <v>-8812.1080320000001</v>
      </c>
      <c r="O36" s="62"/>
      <c r="P36" s="198" t="str">
        <f t="shared" si="59"/>
        <v>-</v>
      </c>
      <c r="Q36" s="474">
        <f t="shared" si="69"/>
        <v>0</v>
      </c>
      <c r="R36" s="194"/>
      <c r="S36" s="516">
        <f t="shared" ca="1" si="60"/>
        <v>0</v>
      </c>
      <c r="T36" s="379" t="str">
        <f t="shared" si="73"/>
        <v/>
      </c>
      <c r="U36" s="379" t="str">
        <f t="shared" si="74"/>
        <v/>
      </c>
      <c r="V36" s="377">
        <f>IFERROR(VLOOKUP($U36,HomeBroker!$A$30:$F$60,2,0),0)</f>
        <v>0</v>
      </c>
      <c r="W36" s="519">
        <f>IFERROR(VLOOKUP($U36,HomeBroker!$A$30:$F$60,3,0),0)</f>
        <v>0</v>
      </c>
      <c r="X36" s="803">
        <f>IFERROR(VLOOKUP($U36,HomeBroker!$A$30:$F$60,6,0),0)</f>
        <v>0</v>
      </c>
      <c r="Y36" s="518">
        <f>IFERROR(VLOOKUP($U36,HomeBroker!$A$30:$F$60,4,0),0)</f>
        <v>0</v>
      </c>
      <c r="Z36" s="377">
        <f>IFERROR(VLOOKUP($U36,HomeBroker!$A$30:$F$60,5,0),0)</f>
        <v>0</v>
      </c>
      <c r="AA36" s="380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78">
        <f t="shared" ca="1" si="64"/>
        <v>0</v>
      </c>
      <c r="AF36" s="379" t="str">
        <f t="shared" si="75"/>
        <v/>
      </c>
      <c r="AG36" s="379" t="str">
        <f t="shared" si="76"/>
        <v/>
      </c>
      <c r="AH36" s="475">
        <f>IFERROR(VLOOKUP($AG36,HomeBroker!$A$30:$F$60,2,0),0)</f>
        <v>0</v>
      </c>
      <c r="AI36" s="519">
        <f>IFERROR(VLOOKUP($AG36,HomeBroker!$A$30:$F$60,3,0),0)</f>
        <v>0</v>
      </c>
      <c r="AJ36" s="803">
        <f>IFERROR(VLOOKUP($AG36,HomeBroker!$A$30:$F$60,6,0),0)</f>
        <v>0</v>
      </c>
      <c r="AK36" s="519">
        <f>IFERROR(VLOOKUP($AG36,HomeBroker!$A$30:$F$60,4,0),0)</f>
        <v>0</v>
      </c>
      <c r="AL36" s="475">
        <f>IFERROR(VLOOKUP($AG36,HomeBroker!$A$30:$F$60,5,0),0)</f>
        <v>0</v>
      </c>
      <c r="AM36" s="521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6">
        <f t="shared" si="11"/>
        <v>0</v>
      </c>
      <c r="AY36" s="217">
        <f t="shared" si="12"/>
        <v>0</v>
      </c>
      <c r="AZ36" s="114" t="s">
        <v>402</v>
      </c>
      <c r="BA36" s="112"/>
      <c r="BB36" s="129"/>
      <c r="BC36" s="115"/>
      <c r="BD36" s="218">
        <f t="shared" si="13"/>
        <v>0</v>
      </c>
      <c r="BE36" s="220">
        <f t="shared" si="14"/>
        <v>0</v>
      </c>
      <c r="BF36" s="116" t="s">
        <v>403</v>
      </c>
      <c r="BG36" s="112"/>
      <c r="BH36" s="115"/>
      <c r="BI36" s="221">
        <f t="shared" si="15"/>
        <v>0</v>
      </c>
      <c r="BJ36" s="222">
        <f t="shared" si="16"/>
        <v>0</v>
      </c>
      <c r="DE36" s="117">
        <f t="shared" ref="DE36:DE67" si="78">DE3</f>
        <v>1791.9425524598291</v>
      </c>
      <c r="DF36" s="118">
        <f t="shared" ref="DF36:DF67" si="79">IF($DE36&lt;$C$38,$B$38*100*($C$38-$DE36),0)</f>
        <v>0</v>
      </c>
      <c r="DG36" s="118">
        <f t="shared" ref="DG36:DG67" si="80">IF($DE36&lt;$C$39,$B$39*100*($C$39-$DE36),0)</f>
        <v>0</v>
      </c>
      <c r="DH36" s="118">
        <f t="shared" ref="DH36:DH67" si="81">IF($DE36&lt;$C$40,$B$40*100*($C$40-$DE36),0)</f>
        <v>0</v>
      </c>
      <c r="DI36" s="118">
        <f t="shared" ref="DI36:DI67" si="82">IF($DE36&lt;$C$41,$B$41*100*($C$41-$DE36),0)</f>
        <v>0</v>
      </c>
      <c r="DJ36" s="118">
        <f t="shared" ref="DJ36:DJ67" si="83">IF($DE36&lt;$C$42,$B$42*100*($C$42-$DE36),0)</f>
        <v>0</v>
      </c>
      <c r="DK36" s="118">
        <f t="shared" ref="DK36:DK67" si="84">IF($DE36&lt;$C$43,$B$43*100*($C$43-$DE36),0)</f>
        <v>0</v>
      </c>
      <c r="DL36" s="118">
        <f t="shared" ref="DL36:DL67" si="85">IF($DE36&lt;$C$44,$B$44*100*($C$44-$DE36),0)</f>
        <v>0</v>
      </c>
      <c r="DM36" s="118">
        <f t="shared" ref="DM36:DM67" si="86">IF($DE36&lt;$C$45,$B$45*100*($C$45-$DE36),0)</f>
        <v>0</v>
      </c>
      <c r="DN36" s="118">
        <f t="shared" ref="DN36:DN67" si="87">IF($DE36&lt;$C$46,$B$46*100*($C$46-$DE36),0)</f>
        <v>0</v>
      </c>
      <c r="DO36" s="118">
        <f t="shared" ref="DO36:DO67" si="88">IF($DE36&lt;$C$47,$B$47*100*($C$47-$DE36),0)</f>
        <v>0</v>
      </c>
      <c r="DP36" s="118">
        <f t="shared" ref="DP36:DP67" si="89">IF($DE36&lt;$C$48,$B$48*100*($C$48-$DE36),0)</f>
        <v>0</v>
      </c>
      <c r="DQ36" s="118">
        <f t="shared" ref="DQ36:DQ67" si="90">IF($DE36&lt;$C$49,$B$49*100*($C$49-$DE36),0)</f>
        <v>0</v>
      </c>
      <c r="DR36" s="118">
        <f t="shared" ref="DR36:DR67" si="91">IF($DE36&lt;$C$50,$B$50*100*($C$50-$DE36),0)</f>
        <v>0</v>
      </c>
      <c r="DS36" s="118">
        <f t="shared" ref="DS36:DS67" si="92">IF($DE36&lt;$C$51,$B$51*100*($C$51-$DE36),0)</f>
        <v>0</v>
      </c>
      <c r="DT36" s="118">
        <f t="shared" ref="DT36:DT67" si="93">IF($DE36&lt;$C$52,$B$52*100*($C$52-$DE36),0)</f>
        <v>0</v>
      </c>
      <c r="DU36" s="118">
        <f t="shared" ref="DU36:DU67" si="94">IF($DE36&lt;$C$53,$B$53*100*($C$53-$DE36),0)</f>
        <v>0</v>
      </c>
      <c r="DV36" s="118">
        <f t="shared" ref="DV36:DV67" si="95">IF($DE36&lt;$C$54,$B$54*100*($C$54-$DE36),0)</f>
        <v>0</v>
      </c>
      <c r="DW36" s="118">
        <f t="shared" ref="DW36:DW67" si="96">IF($DE36&lt;$C$55,$B$55*100*($C$55-$DE36),0)</f>
        <v>0</v>
      </c>
      <c r="DX36" s="118">
        <f t="shared" ref="DX36:DX67" si="97">IF($DE36&lt;$C$56,$B$56*100*($C$56-$DE36),0)</f>
        <v>0</v>
      </c>
      <c r="DY36" s="118">
        <f t="shared" ref="DY36:DY67" si="98">IF($DE36&lt;$C$57,$B$57*100*($C$57-$DE36),0)</f>
        <v>0</v>
      </c>
      <c r="DZ36" s="118">
        <f t="shared" ref="DZ36:DZ67" si="99">IF($DE36&lt;$C$58,$B$58*100*($C$58-$DE36),0)</f>
        <v>0</v>
      </c>
      <c r="EA36" s="118">
        <f t="shared" ref="EA36:EA67" si="100">IF($DE36&lt;$C$59,$B$59*100*($C$59-$DE36),0)</f>
        <v>0</v>
      </c>
      <c r="EB36" s="118">
        <f t="shared" ref="EB36:EB67" si="101">IF($DE36&lt;$C$60,$B$60*100*($C$60-$DE36),0)</f>
        <v>0</v>
      </c>
      <c r="EC36" s="118">
        <f t="shared" ref="EC36:EC67" si="102">IF($DE36&lt;$C$61,$B$61*100*($C$61-$DE36),0)</f>
        <v>0</v>
      </c>
      <c r="ED36" s="118">
        <f t="shared" ref="ED36:ED67" si="103">IF($DE36&lt;$C$62,$B$62*100*($C$62-$DE36),0)</f>
        <v>0</v>
      </c>
      <c r="EE36" s="118">
        <f t="shared" ref="EE36:EE67" si="104">IF($DE36&lt;$C$63,$B$63*100*($C$63-$DE36),0)</f>
        <v>0</v>
      </c>
      <c r="EF36" s="118">
        <f t="shared" ref="EF36:EF67" si="105">IF($DE36&lt;$C$64,$B$64*100*($C$64-$DE36),0)</f>
        <v>0</v>
      </c>
      <c r="EG36" s="118">
        <f t="shared" ref="EG36:EG67" si="106">IF($DE36&lt;$C$65,$B$65*100*($C$65-$DE36),0)</f>
        <v>0</v>
      </c>
      <c r="EH36" s="118">
        <f t="shared" ref="EH36:EH67" si="107">IF($DE36&lt;$C$66,$B$66*100*($C$66-$DE36),0)</f>
        <v>0</v>
      </c>
      <c r="EI36" s="118">
        <f t="shared" ref="EI36:EI67" si="108">IF($DE36&lt;$C$67,$B$67*100*($C$67-$DE36),0)</f>
        <v>0</v>
      </c>
      <c r="EJ36" s="118">
        <f t="shared" ref="EJ36:EJ67" si="109">IF($DE36&lt;$C$68,$B$68*100*($C$68-$DE36),0)</f>
        <v>0</v>
      </c>
      <c r="EK36" s="118">
        <f t="shared" ref="EK36:EK67" si="110">IF($DE36&lt;$C$69,$B$69*100*($C$69-$DE36),0)</f>
        <v>0</v>
      </c>
      <c r="EL36" s="118">
        <f t="shared" ref="EL36:EL67" si="111">IF($DE36&lt;$C$70,$B$70*100*($C$70-$DE36),0)</f>
        <v>0</v>
      </c>
      <c r="EM36" s="118">
        <f t="shared" ref="EM36:EM67" si="112">IF($DE36&lt;$C$71,$B$71*100*($C$71-$DE36),0)</f>
        <v>0</v>
      </c>
      <c r="EN36" s="118">
        <f t="shared" ref="EN36:EN67" si="113">IF($DE36&lt;$C$72,$B$72*100*($C$72-$DE36),0)</f>
        <v>0</v>
      </c>
      <c r="EO36" s="118">
        <f t="shared" ref="EO36:EO67" si="114">$DE36*$B$73</f>
        <v>0</v>
      </c>
      <c r="EP36" s="118">
        <f t="shared" ref="EP36:EP67" si="115">$DE36*$B$74</f>
        <v>0</v>
      </c>
      <c r="EQ36" s="118">
        <f t="shared" ref="EQ36:EQ67" si="116">$DE36*$B$75</f>
        <v>0</v>
      </c>
      <c r="ER36" s="118">
        <f t="shared" ref="ER36:ER67" si="117">$DE36*$AB$43</f>
        <v>0</v>
      </c>
      <c r="ES36" s="119"/>
      <c r="ET36" s="143">
        <f t="shared" ref="ET36:ET67" si="118">SUM(DF36:ER36)</f>
        <v>0</v>
      </c>
      <c r="EU36" s="72"/>
      <c r="EV36" s="117">
        <f t="shared" ref="EV36:EV67" si="119">EV3</f>
        <v>1791.9425524598291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0">$EV36*$B$73</f>
        <v>0</v>
      </c>
      <c r="GG36" s="118">
        <f t="shared" ref="GG36:GG67" si="121">$EV36*$B$74</f>
        <v>0</v>
      </c>
      <c r="GH36" s="118">
        <f t="shared" ref="GH36:GH67" si="122">$EV36*$B$75</f>
        <v>0</v>
      </c>
      <c r="GI36" s="118">
        <f t="shared" ref="GI36:GI67" si="123">$EV36*$AB$43</f>
        <v>0</v>
      </c>
      <c r="GJ36" s="119"/>
      <c r="GK36" s="143">
        <f t="shared" ref="GK36:GK67" ca="1" si="124">SUM(EW36:GI36)</f>
        <v>0</v>
      </c>
    </row>
    <row r="37" spans="1:193" ht="15">
      <c r="A37" s="514" t="s">
        <v>401</v>
      </c>
      <c r="B37" s="505"/>
      <c r="C37" s="506"/>
      <c r="D37" s="528"/>
      <c r="E37" s="529">
        <f t="shared" si="0"/>
        <v>0</v>
      </c>
      <c r="F37" s="530">
        <f t="shared" si="77"/>
        <v>0</v>
      </c>
      <c r="G37" s="507" t="str">
        <f t="shared" si="2"/>
        <v/>
      </c>
      <c r="H37" s="533">
        <f t="shared" si="58"/>
        <v>0</v>
      </c>
      <c r="I37" s="530">
        <f t="shared" si="3"/>
        <v>0</v>
      </c>
      <c r="J37" s="62"/>
      <c r="K37" s="746" t="s">
        <v>443</v>
      </c>
      <c r="L37" s="743"/>
      <c r="M37" s="744"/>
      <c r="N37" s="504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91.891967999999906</v>
      </c>
      <c r="O37" s="62"/>
      <c r="P37" s="198" t="str">
        <f t="shared" si="59"/>
        <v>-</v>
      </c>
      <c r="Q37" s="474">
        <f t="shared" si="69"/>
        <v>0</v>
      </c>
      <c r="R37" s="194"/>
      <c r="S37" s="516">
        <f t="shared" ca="1" si="60"/>
        <v>0</v>
      </c>
      <c r="T37" s="379" t="str">
        <f t="shared" si="73"/>
        <v/>
      </c>
      <c r="U37" s="379" t="str">
        <f t="shared" si="74"/>
        <v/>
      </c>
      <c r="V37" s="377">
        <f>IFERROR(VLOOKUP($U37,HomeBroker!$A$30:$F$60,2,0),0)</f>
        <v>0</v>
      </c>
      <c r="W37" s="519">
        <f>IFERROR(VLOOKUP($U37,HomeBroker!$A$30:$F$60,3,0),0)</f>
        <v>0</v>
      </c>
      <c r="X37" s="803">
        <f>IFERROR(VLOOKUP($U37,HomeBroker!$A$30:$F$60,6,0),0)</f>
        <v>0</v>
      </c>
      <c r="Y37" s="518">
        <f>IFERROR(VLOOKUP($U37,HomeBroker!$A$30:$F$60,4,0),0)</f>
        <v>0</v>
      </c>
      <c r="Z37" s="377">
        <f>IFERROR(VLOOKUP($U37,HomeBroker!$A$30:$F$60,5,0),0)</f>
        <v>0</v>
      </c>
      <c r="AA37" s="380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78">
        <f t="shared" ca="1" si="64"/>
        <v>0</v>
      </c>
      <c r="AF37" s="379" t="str">
        <f t="shared" si="75"/>
        <v/>
      </c>
      <c r="AG37" s="379" t="str">
        <f t="shared" si="76"/>
        <v/>
      </c>
      <c r="AH37" s="475">
        <f>IFERROR(VLOOKUP($AG37,HomeBroker!$A$30:$F$60,2,0),0)</f>
        <v>0</v>
      </c>
      <c r="AI37" s="519">
        <f>IFERROR(VLOOKUP($AG37,HomeBroker!$A$30:$F$60,3,0),0)</f>
        <v>0</v>
      </c>
      <c r="AJ37" s="803">
        <f>IFERROR(VLOOKUP($AG37,HomeBroker!$A$30:$F$60,6,0),0)</f>
        <v>0</v>
      </c>
      <c r="AK37" s="519">
        <f>IFERROR(VLOOKUP($AG37,HomeBroker!$A$30:$F$60,4,0),0)</f>
        <v>0</v>
      </c>
      <c r="AL37" s="475">
        <f>IFERROR(VLOOKUP($AG37,HomeBroker!$A$30:$F$60,5,0),0)</f>
        <v>0</v>
      </c>
      <c r="AM37" s="521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6">
        <f t="shared" si="11"/>
        <v>0</v>
      </c>
      <c r="AY37" s="217">
        <f t="shared" si="12"/>
        <v>0</v>
      </c>
      <c r="AZ37" s="114" t="s">
        <v>402</v>
      </c>
      <c r="BA37" s="112"/>
      <c r="BB37" s="129"/>
      <c r="BC37" s="115"/>
      <c r="BD37" s="218">
        <f t="shared" si="13"/>
        <v>0</v>
      </c>
      <c r="BE37" s="220">
        <f t="shared" si="14"/>
        <v>0</v>
      </c>
      <c r="BF37" s="116" t="s">
        <v>403</v>
      </c>
      <c r="BG37" s="112"/>
      <c r="BH37" s="115"/>
      <c r="BI37" s="221">
        <f t="shared" si="15"/>
        <v>0</v>
      </c>
      <c r="BJ37" s="222">
        <f t="shared" si="16"/>
        <v>0</v>
      </c>
      <c r="DE37" s="117">
        <f t="shared" si="78"/>
        <v>1847.3634561441538</v>
      </c>
      <c r="DF37" s="118">
        <f t="shared" si="79"/>
        <v>0</v>
      </c>
      <c r="DG37" s="118">
        <f t="shared" si="80"/>
        <v>0</v>
      </c>
      <c r="DH37" s="118">
        <f t="shared" si="81"/>
        <v>0</v>
      </c>
      <c r="DI37" s="118">
        <f t="shared" si="82"/>
        <v>0</v>
      </c>
      <c r="DJ37" s="118">
        <f t="shared" si="83"/>
        <v>0</v>
      </c>
      <c r="DK37" s="118">
        <f t="shared" si="84"/>
        <v>0</v>
      </c>
      <c r="DL37" s="118">
        <f t="shared" si="85"/>
        <v>0</v>
      </c>
      <c r="DM37" s="118">
        <f t="shared" si="86"/>
        <v>0</v>
      </c>
      <c r="DN37" s="118">
        <f t="shared" si="87"/>
        <v>0</v>
      </c>
      <c r="DO37" s="118">
        <f t="shared" si="88"/>
        <v>0</v>
      </c>
      <c r="DP37" s="118">
        <f t="shared" si="89"/>
        <v>0</v>
      </c>
      <c r="DQ37" s="118">
        <f t="shared" si="90"/>
        <v>0</v>
      </c>
      <c r="DR37" s="118">
        <f t="shared" si="91"/>
        <v>0</v>
      </c>
      <c r="DS37" s="118">
        <f t="shared" si="92"/>
        <v>0</v>
      </c>
      <c r="DT37" s="118">
        <f t="shared" si="93"/>
        <v>0</v>
      </c>
      <c r="DU37" s="118">
        <f t="shared" si="94"/>
        <v>0</v>
      </c>
      <c r="DV37" s="118">
        <f t="shared" si="95"/>
        <v>0</v>
      </c>
      <c r="DW37" s="118">
        <f t="shared" si="96"/>
        <v>0</v>
      </c>
      <c r="DX37" s="118">
        <f t="shared" si="97"/>
        <v>0</v>
      </c>
      <c r="DY37" s="118">
        <f t="shared" si="98"/>
        <v>0</v>
      </c>
      <c r="DZ37" s="118">
        <f t="shared" si="99"/>
        <v>0</v>
      </c>
      <c r="EA37" s="118">
        <f t="shared" si="100"/>
        <v>0</v>
      </c>
      <c r="EB37" s="118">
        <f t="shared" si="101"/>
        <v>0</v>
      </c>
      <c r="EC37" s="118">
        <f t="shared" si="102"/>
        <v>0</v>
      </c>
      <c r="ED37" s="118">
        <f t="shared" si="103"/>
        <v>0</v>
      </c>
      <c r="EE37" s="118">
        <f t="shared" si="104"/>
        <v>0</v>
      </c>
      <c r="EF37" s="118">
        <f t="shared" si="105"/>
        <v>0</v>
      </c>
      <c r="EG37" s="118">
        <f t="shared" si="106"/>
        <v>0</v>
      </c>
      <c r="EH37" s="118">
        <f t="shared" si="107"/>
        <v>0</v>
      </c>
      <c r="EI37" s="118">
        <f t="shared" si="108"/>
        <v>0</v>
      </c>
      <c r="EJ37" s="118">
        <f t="shared" si="109"/>
        <v>0</v>
      </c>
      <c r="EK37" s="118">
        <f t="shared" si="110"/>
        <v>0</v>
      </c>
      <c r="EL37" s="118">
        <f t="shared" si="111"/>
        <v>0</v>
      </c>
      <c r="EM37" s="118">
        <f t="shared" si="112"/>
        <v>0</v>
      </c>
      <c r="EN37" s="118">
        <f t="shared" si="113"/>
        <v>0</v>
      </c>
      <c r="EO37" s="118">
        <f t="shared" si="114"/>
        <v>0</v>
      </c>
      <c r="EP37" s="118">
        <f t="shared" si="115"/>
        <v>0</v>
      </c>
      <c r="EQ37" s="118">
        <f t="shared" si="116"/>
        <v>0</v>
      </c>
      <c r="ER37" s="118">
        <f t="shared" si="117"/>
        <v>0</v>
      </c>
      <c r="ES37" s="119"/>
      <c r="ET37" s="143">
        <f t="shared" si="118"/>
        <v>0</v>
      </c>
      <c r="EU37" s="72"/>
      <c r="EV37" s="117">
        <f t="shared" si="119"/>
        <v>1847.3634561441538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0"/>
        <v>0</v>
      </c>
      <c r="GG37" s="118">
        <f t="shared" si="121"/>
        <v>0</v>
      </c>
      <c r="GH37" s="118">
        <f t="shared" si="122"/>
        <v>0</v>
      </c>
      <c r="GI37" s="118">
        <f t="shared" si="123"/>
        <v>0</v>
      </c>
      <c r="GJ37" s="119"/>
      <c r="GK37" s="143">
        <f t="shared" ca="1" si="124"/>
        <v>0</v>
      </c>
    </row>
    <row r="38" spans="1:193">
      <c r="A38" s="515" t="s">
        <v>401</v>
      </c>
      <c r="B38" s="144"/>
      <c r="C38" s="200"/>
      <c r="D38" s="201"/>
      <c r="E38" s="534">
        <f t="shared" si="0"/>
        <v>0</v>
      </c>
      <c r="F38" s="535">
        <f t="shared" si="77"/>
        <v>0</v>
      </c>
      <c r="G38" s="202" t="str">
        <f>IFERROR(VLOOKUP(C38,$AD$3:$AM$50,7,0),"")</f>
        <v/>
      </c>
      <c r="H38" s="544">
        <f t="shared" si="58"/>
        <v>0</v>
      </c>
      <c r="I38" s="545">
        <f t="shared" si="3"/>
        <v>0</v>
      </c>
      <c r="J38" s="62"/>
      <c r="K38" s="747" t="s">
        <v>444</v>
      </c>
      <c r="L38" s="743"/>
      <c r="M38" s="744"/>
      <c r="N38" s="145">
        <f>SUM(Q3:Q42)</f>
        <v>14</v>
      </c>
      <c r="O38" s="62"/>
      <c r="P38" s="198" t="str">
        <f t="shared" si="59"/>
        <v>-</v>
      </c>
      <c r="Q38" s="474">
        <f t="shared" si="69"/>
        <v>0</v>
      </c>
      <c r="R38" s="194"/>
      <c r="S38" s="516">
        <f t="shared" ca="1" si="60"/>
        <v>0</v>
      </c>
      <c r="T38" s="379" t="str">
        <f t="shared" si="73"/>
        <v/>
      </c>
      <c r="U38" s="379" t="str">
        <f t="shared" si="74"/>
        <v/>
      </c>
      <c r="V38" s="377">
        <f>IFERROR(VLOOKUP($U38,HomeBroker!$A$30:$F$60,2,0),0)</f>
        <v>0</v>
      </c>
      <c r="W38" s="519">
        <f>IFERROR(VLOOKUP($U38,HomeBroker!$A$30:$F$60,3,0),0)</f>
        <v>0</v>
      </c>
      <c r="X38" s="803">
        <f>IFERROR(VLOOKUP($U38,HomeBroker!$A$30:$F$60,6,0),0)</f>
        <v>0</v>
      </c>
      <c r="Y38" s="518">
        <f>IFERROR(VLOOKUP($U38,HomeBroker!$A$30:$F$60,4,0),0)</f>
        <v>0</v>
      </c>
      <c r="Z38" s="377">
        <f>IFERROR(VLOOKUP($U38,HomeBroker!$A$30:$F$60,5,0),0)</f>
        <v>0</v>
      </c>
      <c r="AA38" s="380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78">
        <f t="shared" ca="1" si="64"/>
        <v>0</v>
      </c>
      <c r="AF38" s="379" t="str">
        <f t="shared" si="75"/>
        <v/>
      </c>
      <c r="AG38" s="379" t="str">
        <f t="shared" si="76"/>
        <v/>
      </c>
      <c r="AH38" s="475">
        <f>IFERROR(VLOOKUP($AG38,HomeBroker!$A$30:$F$60,2,0),0)</f>
        <v>0</v>
      </c>
      <c r="AI38" s="519">
        <f>IFERROR(VLOOKUP($AG38,HomeBroker!$A$30:$F$60,3,0),0)</f>
        <v>0</v>
      </c>
      <c r="AJ38" s="803">
        <f>IFERROR(VLOOKUP($AG38,HomeBroker!$A$30:$F$60,6,0),0)</f>
        <v>0</v>
      </c>
      <c r="AK38" s="519">
        <f>IFERROR(VLOOKUP($AG38,HomeBroker!$A$30:$F$60,4,0),0)</f>
        <v>0</v>
      </c>
      <c r="AL38" s="475">
        <f>IFERROR(VLOOKUP($AG38,HomeBroker!$A$30:$F$60,5,0),0)</f>
        <v>0</v>
      </c>
      <c r="AM38" s="521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6">
        <f t="shared" si="11"/>
        <v>0</v>
      </c>
      <c r="AY38" s="217">
        <f t="shared" si="12"/>
        <v>0</v>
      </c>
      <c r="AZ38" s="148" t="s">
        <v>402</v>
      </c>
      <c r="BA38" s="112"/>
      <c r="BB38" s="129"/>
      <c r="BC38" s="115"/>
      <c r="BD38" s="218">
        <f t="shared" si="13"/>
        <v>0</v>
      </c>
      <c r="BE38" s="220">
        <f t="shared" si="14"/>
        <v>0</v>
      </c>
      <c r="BF38" s="149" t="s">
        <v>403</v>
      </c>
      <c r="BG38" s="112"/>
      <c r="BH38" s="115"/>
      <c r="BI38" s="221">
        <f t="shared" si="15"/>
        <v>0</v>
      </c>
      <c r="BJ38" s="222">
        <f t="shared" si="16"/>
        <v>0</v>
      </c>
      <c r="DE38" s="117">
        <f t="shared" si="78"/>
        <v>1904.4984083960348</v>
      </c>
      <c r="DF38" s="118">
        <f t="shared" si="79"/>
        <v>0</v>
      </c>
      <c r="DG38" s="118">
        <f t="shared" si="80"/>
        <v>0</v>
      </c>
      <c r="DH38" s="118">
        <f t="shared" si="81"/>
        <v>0</v>
      </c>
      <c r="DI38" s="118">
        <f t="shared" si="82"/>
        <v>0</v>
      </c>
      <c r="DJ38" s="118">
        <f t="shared" si="83"/>
        <v>0</v>
      </c>
      <c r="DK38" s="118">
        <f t="shared" si="84"/>
        <v>0</v>
      </c>
      <c r="DL38" s="118">
        <f t="shared" si="85"/>
        <v>0</v>
      </c>
      <c r="DM38" s="118">
        <f t="shared" si="86"/>
        <v>0</v>
      </c>
      <c r="DN38" s="118">
        <f t="shared" si="87"/>
        <v>0</v>
      </c>
      <c r="DO38" s="118">
        <f t="shared" si="88"/>
        <v>0</v>
      </c>
      <c r="DP38" s="118">
        <f t="shared" si="89"/>
        <v>0</v>
      </c>
      <c r="DQ38" s="118">
        <f t="shared" si="90"/>
        <v>0</v>
      </c>
      <c r="DR38" s="118">
        <f t="shared" si="91"/>
        <v>0</v>
      </c>
      <c r="DS38" s="118">
        <f t="shared" si="92"/>
        <v>0</v>
      </c>
      <c r="DT38" s="118">
        <f t="shared" si="93"/>
        <v>0</v>
      </c>
      <c r="DU38" s="118">
        <f t="shared" si="94"/>
        <v>0</v>
      </c>
      <c r="DV38" s="118">
        <f t="shared" si="95"/>
        <v>0</v>
      </c>
      <c r="DW38" s="118">
        <f t="shared" si="96"/>
        <v>0</v>
      </c>
      <c r="DX38" s="118">
        <f t="shared" si="97"/>
        <v>0</v>
      </c>
      <c r="DY38" s="118">
        <f t="shared" si="98"/>
        <v>0</v>
      </c>
      <c r="DZ38" s="118">
        <f t="shared" si="99"/>
        <v>0</v>
      </c>
      <c r="EA38" s="118">
        <f t="shared" si="100"/>
        <v>0</v>
      </c>
      <c r="EB38" s="118">
        <f t="shared" si="101"/>
        <v>0</v>
      </c>
      <c r="EC38" s="118">
        <f t="shared" si="102"/>
        <v>0</v>
      </c>
      <c r="ED38" s="118">
        <f t="shared" si="103"/>
        <v>0</v>
      </c>
      <c r="EE38" s="118">
        <f t="shared" si="104"/>
        <v>0</v>
      </c>
      <c r="EF38" s="118">
        <f t="shared" si="105"/>
        <v>0</v>
      </c>
      <c r="EG38" s="118">
        <f t="shared" si="106"/>
        <v>0</v>
      </c>
      <c r="EH38" s="118">
        <f t="shared" si="107"/>
        <v>0</v>
      </c>
      <c r="EI38" s="118">
        <f t="shared" si="108"/>
        <v>0</v>
      </c>
      <c r="EJ38" s="118">
        <f t="shared" si="109"/>
        <v>0</v>
      </c>
      <c r="EK38" s="118">
        <f t="shared" si="110"/>
        <v>0</v>
      </c>
      <c r="EL38" s="118">
        <f t="shared" si="111"/>
        <v>0</v>
      </c>
      <c r="EM38" s="118">
        <f t="shared" si="112"/>
        <v>0</v>
      </c>
      <c r="EN38" s="118">
        <f t="shared" si="113"/>
        <v>0</v>
      </c>
      <c r="EO38" s="118">
        <f t="shared" si="114"/>
        <v>0</v>
      </c>
      <c r="EP38" s="118">
        <f t="shared" si="115"/>
        <v>0</v>
      </c>
      <c r="EQ38" s="118">
        <f t="shared" si="116"/>
        <v>0</v>
      </c>
      <c r="ER38" s="118">
        <f t="shared" si="117"/>
        <v>0</v>
      </c>
      <c r="ES38" s="119"/>
      <c r="ET38" s="143">
        <f t="shared" si="118"/>
        <v>0</v>
      </c>
      <c r="EU38" s="72"/>
      <c r="EV38" s="117">
        <f t="shared" si="119"/>
        <v>1904.4984083960348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0"/>
        <v>0</v>
      </c>
      <c r="GG38" s="118">
        <f t="shared" si="121"/>
        <v>0</v>
      </c>
      <c r="GH38" s="118">
        <f t="shared" si="122"/>
        <v>0</v>
      </c>
      <c r="GI38" s="118">
        <f t="shared" si="123"/>
        <v>0</v>
      </c>
      <c r="GJ38" s="119"/>
      <c r="GK38" s="143">
        <f t="shared" ca="1" si="124"/>
        <v>0</v>
      </c>
    </row>
    <row r="39" spans="1:193">
      <c r="A39" s="515" t="s">
        <v>401</v>
      </c>
      <c r="B39" s="144"/>
      <c r="C39" s="200"/>
      <c r="D39" s="201"/>
      <c r="E39" s="534">
        <f t="shared" si="0"/>
        <v>0</v>
      </c>
      <c r="F39" s="535">
        <f t="shared" si="77"/>
        <v>0</v>
      </c>
      <c r="G39" s="202" t="str">
        <f>IFERROR(VLOOKUP(C39,$AD$3:$AM$50,7,0),"")</f>
        <v/>
      </c>
      <c r="H39" s="544">
        <f t="shared" si="58"/>
        <v>0</v>
      </c>
      <c r="I39" s="545">
        <f t="shared" si="3"/>
        <v>0</v>
      </c>
      <c r="J39" s="62"/>
      <c r="K39" s="748" t="s">
        <v>445</v>
      </c>
      <c r="L39" s="743"/>
      <c r="M39" s="744"/>
      <c r="N39" s="150">
        <f>SUM(AC3:AC42)</f>
        <v>0</v>
      </c>
      <c r="O39" s="62"/>
      <c r="P39" s="198" t="str">
        <f t="shared" si="59"/>
        <v>-</v>
      </c>
      <c r="Q39" s="474">
        <f t="shared" si="69"/>
        <v>0</v>
      </c>
      <c r="R39" s="194"/>
      <c r="S39" s="516">
        <f t="shared" ca="1" si="60"/>
        <v>0</v>
      </c>
      <c r="T39" s="379" t="str">
        <f t="shared" si="73"/>
        <v/>
      </c>
      <c r="U39" s="379" t="str">
        <f t="shared" si="74"/>
        <v/>
      </c>
      <c r="V39" s="377">
        <f>IFERROR(VLOOKUP($U39,HomeBroker!$A$30:$F$60,2,0),0)</f>
        <v>0</v>
      </c>
      <c r="W39" s="519">
        <f>IFERROR(VLOOKUP($U39,HomeBroker!$A$30:$F$60,3,0),0)</f>
        <v>0</v>
      </c>
      <c r="X39" s="803">
        <f>IFERROR(VLOOKUP($U39,HomeBroker!$A$30:$F$60,6,0),0)</f>
        <v>0</v>
      </c>
      <c r="Y39" s="518">
        <f>IFERROR(VLOOKUP($U39,HomeBroker!$A$30:$F$60,4,0),0)</f>
        <v>0</v>
      </c>
      <c r="Z39" s="377">
        <f>IFERROR(VLOOKUP($U39,HomeBroker!$A$30:$F$60,5,0),0)</f>
        <v>0</v>
      </c>
      <c r="AA39" s="380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78">
        <f t="shared" ca="1" si="64"/>
        <v>0</v>
      </c>
      <c r="AF39" s="379" t="str">
        <f t="shared" si="75"/>
        <v/>
      </c>
      <c r="AG39" s="379" t="str">
        <f t="shared" si="76"/>
        <v/>
      </c>
      <c r="AH39" s="475">
        <f>IFERROR(VLOOKUP($AG39,HomeBroker!$A$30:$F$60,2,0),0)</f>
        <v>0</v>
      </c>
      <c r="AI39" s="519">
        <f>IFERROR(VLOOKUP($AG39,HomeBroker!$A$30:$F$60,3,0),0)</f>
        <v>0</v>
      </c>
      <c r="AJ39" s="803">
        <f>IFERROR(VLOOKUP($AG39,HomeBroker!$A$30:$F$60,6,0),0)</f>
        <v>0</v>
      </c>
      <c r="AK39" s="519">
        <f>IFERROR(VLOOKUP($AG39,HomeBroker!$A$30:$F$60,4,0),0)</f>
        <v>0</v>
      </c>
      <c r="AL39" s="475">
        <f>IFERROR(VLOOKUP($AG39,HomeBroker!$A$30:$F$60,5,0),0)</f>
        <v>0</v>
      </c>
      <c r="AM39" s="521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6">
        <f t="shared" si="11"/>
        <v>0</v>
      </c>
      <c r="AY39" s="217">
        <f t="shared" si="12"/>
        <v>0</v>
      </c>
      <c r="AZ39" s="148" t="s">
        <v>402</v>
      </c>
      <c r="BA39" s="112"/>
      <c r="BB39" s="129"/>
      <c r="BC39" s="115"/>
      <c r="BD39" s="218">
        <f t="shared" si="13"/>
        <v>0</v>
      </c>
      <c r="BE39" s="220">
        <f t="shared" si="14"/>
        <v>0</v>
      </c>
      <c r="BF39" s="149" t="s">
        <v>403</v>
      </c>
      <c r="BG39" s="112"/>
      <c r="BH39" s="115"/>
      <c r="BI39" s="221">
        <f t="shared" si="15"/>
        <v>0</v>
      </c>
      <c r="BJ39" s="222">
        <f t="shared" si="16"/>
        <v>0</v>
      </c>
      <c r="DE39" s="117">
        <f t="shared" si="78"/>
        <v>1963.4004210268401</v>
      </c>
      <c r="DF39" s="118">
        <f t="shared" si="79"/>
        <v>0</v>
      </c>
      <c r="DG39" s="118">
        <f t="shared" si="80"/>
        <v>0</v>
      </c>
      <c r="DH39" s="118">
        <f t="shared" si="81"/>
        <v>0</v>
      </c>
      <c r="DI39" s="118">
        <f t="shared" si="82"/>
        <v>0</v>
      </c>
      <c r="DJ39" s="118">
        <f t="shared" si="83"/>
        <v>0</v>
      </c>
      <c r="DK39" s="118">
        <f t="shared" si="84"/>
        <v>0</v>
      </c>
      <c r="DL39" s="118">
        <f t="shared" si="85"/>
        <v>0</v>
      </c>
      <c r="DM39" s="118">
        <f t="shared" si="86"/>
        <v>0</v>
      </c>
      <c r="DN39" s="118">
        <f t="shared" si="87"/>
        <v>0</v>
      </c>
      <c r="DO39" s="118">
        <f t="shared" si="88"/>
        <v>0</v>
      </c>
      <c r="DP39" s="118">
        <f t="shared" si="89"/>
        <v>0</v>
      </c>
      <c r="DQ39" s="118">
        <f t="shared" si="90"/>
        <v>0</v>
      </c>
      <c r="DR39" s="118">
        <f t="shared" si="91"/>
        <v>0</v>
      </c>
      <c r="DS39" s="118">
        <f t="shared" si="92"/>
        <v>0</v>
      </c>
      <c r="DT39" s="118">
        <f t="shared" si="93"/>
        <v>0</v>
      </c>
      <c r="DU39" s="118">
        <f t="shared" si="94"/>
        <v>0</v>
      </c>
      <c r="DV39" s="118">
        <f t="shared" si="95"/>
        <v>0</v>
      </c>
      <c r="DW39" s="118">
        <f t="shared" si="96"/>
        <v>0</v>
      </c>
      <c r="DX39" s="118">
        <f t="shared" si="97"/>
        <v>0</v>
      </c>
      <c r="DY39" s="118">
        <f t="shared" si="98"/>
        <v>0</v>
      </c>
      <c r="DZ39" s="118">
        <f t="shared" si="99"/>
        <v>0</v>
      </c>
      <c r="EA39" s="118">
        <f t="shared" si="100"/>
        <v>0</v>
      </c>
      <c r="EB39" s="118">
        <f t="shared" si="101"/>
        <v>0</v>
      </c>
      <c r="EC39" s="118">
        <f t="shared" si="102"/>
        <v>0</v>
      </c>
      <c r="ED39" s="118">
        <f t="shared" si="103"/>
        <v>0</v>
      </c>
      <c r="EE39" s="118">
        <f t="shared" si="104"/>
        <v>0</v>
      </c>
      <c r="EF39" s="118">
        <f t="shared" si="105"/>
        <v>0</v>
      </c>
      <c r="EG39" s="118">
        <f t="shared" si="106"/>
        <v>0</v>
      </c>
      <c r="EH39" s="118">
        <f t="shared" si="107"/>
        <v>0</v>
      </c>
      <c r="EI39" s="118">
        <f t="shared" si="108"/>
        <v>0</v>
      </c>
      <c r="EJ39" s="118">
        <f t="shared" si="109"/>
        <v>0</v>
      </c>
      <c r="EK39" s="118">
        <f t="shared" si="110"/>
        <v>0</v>
      </c>
      <c r="EL39" s="118">
        <f t="shared" si="111"/>
        <v>0</v>
      </c>
      <c r="EM39" s="118">
        <f t="shared" si="112"/>
        <v>0</v>
      </c>
      <c r="EN39" s="118">
        <f t="shared" si="113"/>
        <v>0</v>
      </c>
      <c r="EO39" s="118">
        <f t="shared" si="114"/>
        <v>0</v>
      </c>
      <c r="EP39" s="118">
        <f t="shared" si="115"/>
        <v>0</v>
      </c>
      <c r="EQ39" s="118">
        <f t="shared" si="116"/>
        <v>0</v>
      </c>
      <c r="ER39" s="118">
        <f t="shared" si="117"/>
        <v>0</v>
      </c>
      <c r="ES39" s="119"/>
      <c r="ET39" s="143">
        <f t="shared" si="118"/>
        <v>0</v>
      </c>
      <c r="EU39" s="72"/>
      <c r="EV39" s="117">
        <f t="shared" si="119"/>
        <v>1963.4004210268401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0"/>
        <v>0</v>
      </c>
      <c r="GG39" s="118">
        <f t="shared" si="121"/>
        <v>0</v>
      </c>
      <c r="GH39" s="118">
        <f t="shared" si="122"/>
        <v>0</v>
      </c>
      <c r="GI39" s="118">
        <f t="shared" si="123"/>
        <v>0</v>
      </c>
      <c r="GJ39" s="119"/>
      <c r="GK39" s="143">
        <f t="shared" ca="1" si="124"/>
        <v>0</v>
      </c>
    </row>
    <row r="40" spans="1:193">
      <c r="A40" s="515" t="s">
        <v>401</v>
      </c>
      <c r="B40" s="144"/>
      <c r="C40" s="200"/>
      <c r="D40" s="201"/>
      <c r="E40" s="534">
        <f t="shared" si="0"/>
        <v>0</v>
      </c>
      <c r="F40" s="535">
        <f t="shared" si="77"/>
        <v>0</v>
      </c>
      <c r="G40" s="202" t="str">
        <f t="shared" ref="G40:G72" si="125">IFERROR(VLOOKUP(C40,$AD$3:$AM$42,7,0),"")</f>
        <v/>
      </c>
      <c r="H40" s="544">
        <f t="shared" si="58"/>
        <v>0</v>
      </c>
      <c r="I40" s="545">
        <f t="shared" si="3"/>
        <v>0</v>
      </c>
      <c r="J40" s="62"/>
      <c r="K40" s="742" t="s">
        <v>0</v>
      </c>
      <c r="L40" s="743"/>
      <c r="M40" s="744"/>
      <c r="N40" s="151">
        <f>AB43+SUM(B73:B75)</f>
        <v>0</v>
      </c>
      <c r="O40" s="62"/>
      <c r="P40" s="198" t="str">
        <f t="shared" si="59"/>
        <v>-</v>
      </c>
      <c r="Q40" s="474">
        <f t="shared" si="69"/>
        <v>0</v>
      </c>
      <c r="R40" s="194"/>
      <c r="S40" s="516">
        <f t="shared" ca="1" si="60"/>
        <v>0</v>
      </c>
      <c r="T40" s="379" t="str">
        <f t="shared" si="73"/>
        <v/>
      </c>
      <c r="U40" s="379" t="str">
        <f t="shared" si="74"/>
        <v/>
      </c>
      <c r="V40" s="377">
        <f>IFERROR(VLOOKUP($U40,HomeBroker!$A$30:$F$60,2,0),0)</f>
        <v>0</v>
      </c>
      <c r="W40" s="519">
        <f>IFERROR(VLOOKUP($U40,HomeBroker!$A$30:$F$60,3,0),0)</f>
        <v>0</v>
      </c>
      <c r="X40" s="803">
        <f>IFERROR(VLOOKUP($U40,HomeBroker!$A$30:$F$60,6,0),0)</f>
        <v>0</v>
      </c>
      <c r="Y40" s="518">
        <f>IFERROR(VLOOKUP($U40,HomeBroker!$A$30:$F$60,4,0),0)</f>
        <v>0</v>
      </c>
      <c r="Z40" s="377">
        <f>IFERROR(VLOOKUP($U40,HomeBroker!$A$30:$F$60,5,0),0)</f>
        <v>0</v>
      </c>
      <c r="AA40" s="380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78">
        <f t="shared" ca="1" si="64"/>
        <v>0</v>
      </c>
      <c r="AF40" s="379" t="str">
        <f t="shared" si="75"/>
        <v/>
      </c>
      <c r="AG40" s="379" t="str">
        <f t="shared" si="76"/>
        <v/>
      </c>
      <c r="AH40" s="475">
        <f>IFERROR(VLOOKUP($AG40,HomeBroker!$A$30:$F$60,2,0),0)</f>
        <v>0</v>
      </c>
      <c r="AI40" s="519">
        <f>IFERROR(VLOOKUP($AG40,HomeBroker!$A$30:$F$60,3,0),0)</f>
        <v>0</v>
      </c>
      <c r="AJ40" s="803">
        <f>IFERROR(VLOOKUP($AG40,HomeBroker!$A$30:$F$60,6,0),0)</f>
        <v>0</v>
      </c>
      <c r="AK40" s="519">
        <f>IFERROR(VLOOKUP($AG40,HomeBroker!$A$30:$F$60,4,0),0)</f>
        <v>0</v>
      </c>
      <c r="AL40" s="475">
        <f>IFERROR(VLOOKUP($AG40,HomeBroker!$A$30:$F$60,5,0),0)</f>
        <v>0</v>
      </c>
      <c r="AM40" s="521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6">
        <f t="shared" si="11"/>
        <v>0</v>
      </c>
      <c r="AY40" s="217">
        <f t="shared" si="12"/>
        <v>0</v>
      </c>
      <c r="AZ40" s="148" t="s">
        <v>402</v>
      </c>
      <c r="BA40" s="112"/>
      <c r="BB40" s="129"/>
      <c r="BC40" s="115"/>
      <c r="BD40" s="218">
        <f t="shared" si="13"/>
        <v>0</v>
      </c>
      <c r="BE40" s="220">
        <f t="shared" si="14"/>
        <v>0</v>
      </c>
      <c r="BF40" s="149" t="s">
        <v>403</v>
      </c>
      <c r="BG40" s="112"/>
      <c r="BH40" s="115"/>
      <c r="BI40" s="221">
        <f t="shared" si="15"/>
        <v>0</v>
      </c>
      <c r="BJ40" s="222">
        <f t="shared" si="16"/>
        <v>0</v>
      </c>
      <c r="DE40" s="117">
        <f t="shared" si="78"/>
        <v>2024.124145388495</v>
      </c>
      <c r="DF40" s="118">
        <f t="shared" si="79"/>
        <v>0</v>
      </c>
      <c r="DG40" s="118">
        <f t="shared" si="80"/>
        <v>0</v>
      </c>
      <c r="DH40" s="118">
        <f t="shared" si="81"/>
        <v>0</v>
      </c>
      <c r="DI40" s="118">
        <f t="shared" si="82"/>
        <v>0</v>
      </c>
      <c r="DJ40" s="118">
        <f t="shared" si="83"/>
        <v>0</v>
      </c>
      <c r="DK40" s="118">
        <f t="shared" si="84"/>
        <v>0</v>
      </c>
      <c r="DL40" s="118">
        <f t="shared" si="85"/>
        <v>0</v>
      </c>
      <c r="DM40" s="118">
        <f t="shared" si="86"/>
        <v>0</v>
      </c>
      <c r="DN40" s="118">
        <f t="shared" si="87"/>
        <v>0</v>
      </c>
      <c r="DO40" s="118">
        <f t="shared" si="88"/>
        <v>0</v>
      </c>
      <c r="DP40" s="118">
        <f t="shared" si="89"/>
        <v>0</v>
      </c>
      <c r="DQ40" s="118">
        <f t="shared" si="90"/>
        <v>0</v>
      </c>
      <c r="DR40" s="118">
        <f t="shared" si="91"/>
        <v>0</v>
      </c>
      <c r="DS40" s="118">
        <f t="shared" si="92"/>
        <v>0</v>
      </c>
      <c r="DT40" s="118">
        <f t="shared" si="93"/>
        <v>0</v>
      </c>
      <c r="DU40" s="118">
        <f t="shared" si="94"/>
        <v>0</v>
      </c>
      <c r="DV40" s="118">
        <f t="shared" si="95"/>
        <v>0</v>
      </c>
      <c r="DW40" s="118">
        <f t="shared" si="96"/>
        <v>0</v>
      </c>
      <c r="DX40" s="118">
        <f t="shared" si="97"/>
        <v>0</v>
      </c>
      <c r="DY40" s="118">
        <f t="shared" si="98"/>
        <v>0</v>
      </c>
      <c r="DZ40" s="118">
        <f t="shared" si="99"/>
        <v>0</v>
      </c>
      <c r="EA40" s="118">
        <f t="shared" si="100"/>
        <v>0</v>
      </c>
      <c r="EB40" s="118">
        <f t="shared" si="101"/>
        <v>0</v>
      </c>
      <c r="EC40" s="118">
        <f t="shared" si="102"/>
        <v>0</v>
      </c>
      <c r="ED40" s="118">
        <f t="shared" si="103"/>
        <v>0</v>
      </c>
      <c r="EE40" s="118">
        <f t="shared" si="104"/>
        <v>0</v>
      </c>
      <c r="EF40" s="118">
        <f t="shared" si="105"/>
        <v>0</v>
      </c>
      <c r="EG40" s="118">
        <f t="shared" si="106"/>
        <v>0</v>
      </c>
      <c r="EH40" s="118">
        <f t="shared" si="107"/>
        <v>0</v>
      </c>
      <c r="EI40" s="118">
        <f t="shared" si="108"/>
        <v>0</v>
      </c>
      <c r="EJ40" s="118">
        <f t="shared" si="109"/>
        <v>0</v>
      </c>
      <c r="EK40" s="118">
        <f t="shared" si="110"/>
        <v>0</v>
      </c>
      <c r="EL40" s="118">
        <f t="shared" si="111"/>
        <v>0</v>
      </c>
      <c r="EM40" s="118">
        <f t="shared" si="112"/>
        <v>0</v>
      </c>
      <c r="EN40" s="118">
        <f t="shared" si="113"/>
        <v>0</v>
      </c>
      <c r="EO40" s="118">
        <f t="shared" si="114"/>
        <v>0</v>
      </c>
      <c r="EP40" s="118">
        <f t="shared" si="115"/>
        <v>0</v>
      </c>
      <c r="EQ40" s="118">
        <f t="shared" si="116"/>
        <v>0</v>
      </c>
      <c r="ER40" s="118">
        <f t="shared" si="117"/>
        <v>0</v>
      </c>
      <c r="ES40" s="119"/>
      <c r="ET40" s="143">
        <f t="shared" si="118"/>
        <v>0</v>
      </c>
      <c r="EU40" s="72"/>
      <c r="EV40" s="117">
        <f t="shared" si="119"/>
        <v>2024.124145388495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0"/>
        <v>0</v>
      </c>
      <c r="GG40" s="118">
        <f t="shared" si="121"/>
        <v>0</v>
      </c>
      <c r="GH40" s="118">
        <f t="shared" si="122"/>
        <v>0</v>
      </c>
      <c r="GI40" s="118">
        <f t="shared" si="123"/>
        <v>0</v>
      </c>
      <c r="GJ40" s="119"/>
      <c r="GK40" s="143">
        <f t="shared" ca="1" si="124"/>
        <v>0</v>
      </c>
    </row>
    <row r="41" spans="1:193">
      <c r="A41" s="515" t="s">
        <v>401</v>
      </c>
      <c r="B41" s="144"/>
      <c r="C41" s="200"/>
      <c r="D41" s="201"/>
      <c r="E41" s="534">
        <f t="shared" si="0"/>
        <v>0</v>
      </c>
      <c r="F41" s="535">
        <f t="shared" si="77"/>
        <v>0</v>
      </c>
      <c r="G41" s="202" t="str">
        <f t="shared" si="125"/>
        <v/>
      </c>
      <c r="H41" s="544">
        <f t="shared" si="58"/>
        <v>0</v>
      </c>
      <c r="I41" s="545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474">
        <f t="shared" si="69"/>
        <v>0</v>
      </c>
      <c r="R41" s="194"/>
      <c r="S41" s="516">
        <f t="shared" ca="1" si="60"/>
        <v>0</v>
      </c>
      <c r="T41" s="379" t="str">
        <f t="shared" si="73"/>
        <v/>
      </c>
      <c r="U41" s="379" t="str">
        <f t="shared" si="74"/>
        <v/>
      </c>
      <c r="V41" s="377">
        <f>IFERROR(VLOOKUP($U41,HomeBroker!$A$30:$F$60,2,0),0)</f>
        <v>0</v>
      </c>
      <c r="W41" s="519">
        <f>IFERROR(VLOOKUP($U41,HomeBroker!$A$30:$F$60,3,0),0)</f>
        <v>0</v>
      </c>
      <c r="X41" s="803">
        <f>IFERROR(VLOOKUP($U41,HomeBroker!$A$30:$F$60,6,0),0)</f>
        <v>0</v>
      </c>
      <c r="Y41" s="518">
        <f>IFERROR(VLOOKUP($U41,HomeBroker!$A$30:$F$60,4,0),0)</f>
        <v>0</v>
      </c>
      <c r="Z41" s="377">
        <f>IFERROR(VLOOKUP($U41,HomeBroker!$A$30:$F$60,5,0),0)</f>
        <v>0</v>
      </c>
      <c r="AA41" s="380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78">
        <f t="shared" ca="1" si="64"/>
        <v>0</v>
      </c>
      <c r="AF41" s="379" t="str">
        <f t="shared" si="75"/>
        <v/>
      </c>
      <c r="AG41" s="379" t="str">
        <f t="shared" si="76"/>
        <v/>
      </c>
      <c r="AH41" s="475">
        <f>IFERROR(VLOOKUP($AG41,HomeBroker!$A$30:$F$60,2,0),0)</f>
        <v>0</v>
      </c>
      <c r="AI41" s="519">
        <f>IFERROR(VLOOKUP($AG41,HomeBroker!$A$30:$F$60,3,0),0)</f>
        <v>0</v>
      </c>
      <c r="AJ41" s="803">
        <f>IFERROR(VLOOKUP($AG41,HomeBroker!$A$30:$F$60,6,0),0)</f>
        <v>0</v>
      </c>
      <c r="AK41" s="519">
        <f>IFERROR(VLOOKUP($AG41,HomeBroker!$A$30:$F$60,4,0),0)</f>
        <v>0</v>
      </c>
      <c r="AL41" s="475">
        <f>IFERROR(VLOOKUP($AG41,HomeBroker!$A$30:$F$60,5,0),0)</f>
        <v>0</v>
      </c>
      <c r="AM41" s="521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6">
        <f t="shared" si="11"/>
        <v>0</v>
      </c>
      <c r="AY41" s="217">
        <f t="shared" si="12"/>
        <v>0</v>
      </c>
      <c r="AZ41" s="148" t="s">
        <v>402</v>
      </c>
      <c r="BA41" s="112"/>
      <c r="BB41" s="129"/>
      <c r="BC41" s="115"/>
      <c r="BD41" s="218">
        <f t="shared" si="13"/>
        <v>0</v>
      </c>
      <c r="BE41" s="220">
        <f t="shared" si="14"/>
        <v>0</v>
      </c>
      <c r="BF41" s="149" t="s">
        <v>403</v>
      </c>
      <c r="BG41" s="112"/>
      <c r="BH41" s="115"/>
      <c r="BI41" s="221">
        <f t="shared" si="15"/>
        <v>0</v>
      </c>
      <c r="BJ41" s="222">
        <f t="shared" si="16"/>
        <v>0</v>
      </c>
      <c r="DE41" s="117">
        <f t="shared" si="78"/>
        <v>2086.7259230809227</v>
      </c>
      <c r="DF41" s="118">
        <f t="shared" si="79"/>
        <v>0</v>
      </c>
      <c r="DG41" s="118">
        <f t="shared" si="80"/>
        <v>0</v>
      </c>
      <c r="DH41" s="118">
        <f t="shared" si="81"/>
        <v>0</v>
      </c>
      <c r="DI41" s="118">
        <f t="shared" si="82"/>
        <v>0</v>
      </c>
      <c r="DJ41" s="118">
        <f t="shared" si="83"/>
        <v>0</v>
      </c>
      <c r="DK41" s="118">
        <f t="shared" si="84"/>
        <v>0</v>
      </c>
      <c r="DL41" s="118">
        <f t="shared" si="85"/>
        <v>0</v>
      </c>
      <c r="DM41" s="118">
        <f t="shared" si="86"/>
        <v>0</v>
      </c>
      <c r="DN41" s="118">
        <f t="shared" si="87"/>
        <v>0</v>
      </c>
      <c r="DO41" s="118">
        <f t="shared" si="88"/>
        <v>0</v>
      </c>
      <c r="DP41" s="118">
        <f t="shared" si="89"/>
        <v>0</v>
      </c>
      <c r="DQ41" s="118">
        <f t="shared" si="90"/>
        <v>0</v>
      </c>
      <c r="DR41" s="118">
        <f t="shared" si="91"/>
        <v>0</v>
      </c>
      <c r="DS41" s="118">
        <f t="shared" si="92"/>
        <v>0</v>
      </c>
      <c r="DT41" s="118">
        <f t="shared" si="93"/>
        <v>0</v>
      </c>
      <c r="DU41" s="118">
        <f t="shared" si="94"/>
        <v>0</v>
      </c>
      <c r="DV41" s="118">
        <f t="shared" si="95"/>
        <v>0</v>
      </c>
      <c r="DW41" s="118">
        <f t="shared" si="96"/>
        <v>0</v>
      </c>
      <c r="DX41" s="118">
        <f t="shared" si="97"/>
        <v>0</v>
      </c>
      <c r="DY41" s="118">
        <f t="shared" si="98"/>
        <v>0</v>
      </c>
      <c r="DZ41" s="118">
        <f t="shared" si="99"/>
        <v>0</v>
      </c>
      <c r="EA41" s="118">
        <f t="shared" si="100"/>
        <v>0</v>
      </c>
      <c r="EB41" s="118">
        <f t="shared" si="101"/>
        <v>0</v>
      </c>
      <c r="EC41" s="118">
        <f t="shared" si="102"/>
        <v>0</v>
      </c>
      <c r="ED41" s="118">
        <f t="shared" si="103"/>
        <v>0</v>
      </c>
      <c r="EE41" s="118">
        <f t="shared" si="104"/>
        <v>0</v>
      </c>
      <c r="EF41" s="118">
        <f t="shared" si="105"/>
        <v>0</v>
      </c>
      <c r="EG41" s="118">
        <f t="shared" si="106"/>
        <v>0</v>
      </c>
      <c r="EH41" s="118">
        <f t="shared" si="107"/>
        <v>0</v>
      </c>
      <c r="EI41" s="118">
        <f t="shared" si="108"/>
        <v>0</v>
      </c>
      <c r="EJ41" s="118">
        <f t="shared" si="109"/>
        <v>0</v>
      </c>
      <c r="EK41" s="118">
        <f t="shared" si="110"/>
        <v>0</v>
      </c>
      <c r="EL41" s="118">
        <f t="shared" si="111"/>
        <v>0</v>
      </c>
      <c r="EM41" s="118">
        <f t="shared" si="112"/>
        <v>0</v>
      </c>
      <c r="EN41" s="118">
        <f t="shared" si="113"/>
        <v>0</v>
      </c>
      <c r="EO41" s="118">
        <f t="shared" si="114"/>
        <v>0</v>
      </c>
      <c r="EP41" s="118">
        <f t="shared" si="115"/>
        <v>0</v>
      </c>
      <c r="EQ41" s="118">
        <f t="shared" si="116"/>
        <v>0</v>
      </c>
      <c r="ER41" s="118">
        <f t="shared" si="117"/>
        <v>0</v>
      </c>
      <c r="ES41" s="119"/>
      <c r="ET41" s="143">
        <f t="shared" si="118"/>
        <v>0</v>
      </c>
      <c r="EU41" s="72"/>
      <c r="EV41" s="117">
        <f t="shared" si="119"/>
        <v>2086.7259230809227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0"/>
        <v>0</v>
      </c>
      <c r="GG41" s="118">
        <f t="shared" si="121"/>
        <v>0</v>
      </c>
      <c r="GH41" s="118">
        <f t="shared" si="122"/>
        <v>0</v>
      </c>
      <c r="GI41" s="118">
        <f t="shared" si="123"/>
        <v>0</v>
      </c>
      <c r="GJ41" s="119"/>
      <c r="GK41" s="143">
        <f t="shared" ca="1" si="124"/>
        <v>0</v>
      </c>
    </row>
    <row r="42" spans="1:193">
      <c r="A42" s="515" t="s">
        <v>401</v>
      </c>
      <c r="B42" s="144"/>
      <c r="C42" s="200"/>
      <c r="D42" s="201"/>
      <c r="E42" s="534">
        <f t="shared" si="0"/>
        <v>0</v>
      </c>
      <c r="F42" s="535">
        <f t="shared" si="77"/>
        <v>0</v>
      </c>
      <c r="G42" s="202" t="str">
        <f t="shared" si="125"/>
        <v/>
      </c>
      <c r="H42" s="544">
        <f t="shared" si="58"/>
        <v>0</v>
      </c>
      <c r="I42" s="545">
        <f t="shared" si="3"/>
        <v>0</v>
      </c>
      <c r="J42" s="62"/>
      <c r="K42" s="745" t="s">
        <v>446</v>
      </c>
      <c r="L42" s="743"/>
      <c r="M42" s="744"/>
      <c r="N42" s="153">
        <v>0.03</v>
      </c>
      <c r="O42" s="62"/>
      <c r="P42" s="198" t="str">
        <f t="shared" si="59"/>
        <v>-</v>
      </c>
      <c r="Q42" s="474">
        <f t="shared" si="69"/>
        <v>0</v>
      </c>
      <c r="R42" s="194"/>
      <c r="S42" s="516">
        <f t="shared" ca="1" si="60"/>
        <v>0</v>
      </c>
      <c r="T42" s="379" t="str">
        <f t="shared" si="73"/>
        <v/>
      </c>
      <c r="U42" s="379" t="str">
        <f t="shared" si="74"/>
        <v/>
      </c>
      <c r="V42" s="377">
        <f>IFERROR(VLOOKUP($U42,HomeBroker!$A$30:$F$60,2,0),0)</f>
        <v>0</v>
      </c>
      <c r="W42" s="519">
        <f>IFERROR(VLOOKUP($U42,HomeBroker!$A$30:$F$60,3,0),0)</f>
        <v>0</v>
      </c>
      <c r="X42" s="803">
        <f>IFERROR(VLOOKUP($U42,HomeBroker!$A$30:$F$60,6,0),0)</f>
        <v>0</v>
      </c>
      <c r="Y42" s="518">
        <f>IFERROR(VLOOKUP($U42,HomeBroker!$A$30:$F$60,4,0),0)</f>
        <v>0</v>
      </c>
      <c r="Z42" s="377">
        <f>IFERROR(VLOOKUP($U42,HomeBroker!$A$30:$F$60,5,0),0)</f>
        <v>0</v>
      </c>
      <c r="AA42" s="380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78">
        <f t="shared" ca="1" si="64"/>
        <v>0</v>
      </c>
      <c r="AF42" s="379" t="str">
        <f t="shared" si="75"/>
        <v/>
      </c>
      <c r="AG42" s="379" t="str">
        <f t="shared" si="76"/>
        <v/>
      </c>
      <c r="AH42" s="475">
        <f>IFERROR(VLOOKUP($AG42,HomeBroker!$A$30:$F$60,2,0),0)</f>
        <v>0</v>
      </c>
      <c r="AI42" s="519">
        <f>IFERROR(VLOOKUP($AG42,HomeBroker!$A$30:$F$60,3,0),0)</f>
        <v>0</v>
      </c>
      <c r="AJ42" s="803">
        <f>IFERROR(VLOOKUP($AG42,HomeBroker!$A$30:$F$60,6,0),0)</f>
        <v>0</v>
      </c>
      <c r="AK42" s="519">
        <f>IFERROR(VLOOKUP($AG42,HomeBroker!$A$30:$F$60,4,0),0)</f>
        <v>0</v>
      </c>
      <c r="AL42" s="475">
        <f>IFERROR(VLOOKUP($AG42,HomeBroker!$A$30:$F$60,5,0),0)</f>
        <v>0</v>
      </c>
      <c r="AM42" s="521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6">
        <f t="shared" si="11"/>
        <v>0</v>
      </c>
      <c r="AY42" s="217">
        <f t="shared" si="12"/>
        <v>0</v>
      </c>
      <c r="AZ42" s="148" t="s">
        <v>402</v>
      </c>
      <c r="BA42" s="112"/>
      <c r="BB42" s="129"/>
      <c r="BC42" s="115"/>
      <c r="BD42" s="218">
        <f t="shared" si="13"/>
        <v>0</v>
      </c>
      <c r="BE42" s="220">
        <f t="shared" si="14"/>
        <v>0</v>
      </c>
      <c r="BF42" s="149" t="s">
        <v>403</v>
      </c>
      <c r="BG42" s="112"/>
      <c r="BH42" s="115"/>
      <c r="BI42" s="221">
        <f t="shared" si="15"/>
        <v>0</v>
      </c>
      <c r="BJ42" s="222">
        <f t="shared" si="16"/>
        <v>0</v>
      </c>
      <c r="DE42" s="117">
        <f t="shared" si="78"/>
        <v>2151.2638382277555</v>
      </c>
      <c r="DF42" s="118">
        <f t="shared" si="79"/>
        <v>0</v>
      </c>
      <c r="DG42" s="118">
        <f t="shared" si="80"/>
        <v>0</v>
      </c>
      <c r="DH42" s="118">
        <f t="shared" si="81"/>
        <v>0</v>
      </c>
      <c r="DI42" s="118">
        <f t="shared" si="82"/>
        <v>0</v>
      </c>
      <c r="DJ42" s="118">
        <f t="shared" si="83"/>
        <v>0</v>
      </c>
      <c r="DK42" s="118">
        <f t="shared" si="84"/>
        <v>0</v>
      </c>
      <c r="DL42" s="118">
        <f t="shared" si="85"/>
        <v>0</v>
      </c>
      <c r="DM42" s="118">
        <f t="shared" si="86"/>
        <v>0</v>
      </c>
      <c r="DN42" s="118">
        <f t="shared" si="87"/>
        <v>0</v>
      </c>
      <c r="DO42" s="118">
        <f t="shared" si="88"/>
        <v>0</v>
      </c>
      <c r="DP42" s="118">
        <f t="shared" si="89"/>
        <v>0</v>
      </c>
      <c r="DQ42" s="118">
        <f t="shared" si="90"/>
        <v>0</v>
      </c>
      <c r="DR42" s="118">
        <f t="shared" si="91"/>
        <v>0</v>
      </c>
      <c r="DS42" s="118">
        <f t="shared" si="92"/>
        <v>0</v>
      </c>
      <c r="DT42" s="118">
        <f t="shared" si="93"/>
        <v>0</v>
      </c>
      <c r="DU42" s="118">
        <f t="shared" si="94"/>
        <v>0</v>
      </c>
      <c r="DV42" s="118">
        <f t="shared" si="95"/>
        <v>0</v>
      </c>
      <c r="DW42" s="118">
        <f t="shared" si="96"/>
        <v>0</v>
      </c>
      <c r="DX42" s="118">
        <f t="shared" si="97"/>
        <v>0</v>
      </c>
      <c r="DY42" s="118">
        <f t="shared" si="98"/>
        <v>0</v>
      </c>
      <c r="DZ42" s="118">
        <f t="shared" si="99"/>
        <v>0</v>
      </c>
      <c r="EA42" s="118">
        <f t="shared" si="100"/>
        <v>0</v>
      </c>
      <c r="EB42" s="118">
        <f t="shared" si="101"/>
        <v>0</v>
      </c>
      <c r="EC42" s="118">
        <f t="shared" si="102"/>
        <v>0</v>
      </c>
      <c r="ED42" s="118">
        <f t="shared" si="103"/>
        <v>0</v>
      </c>
      <c r="EE42" s="118">
        <f t="shared" si="104"/>
        <v>0</v>
      </c>
      <c r="EF42" s="118">
        <f t="shared" si="105"/>
        <v>0</v>
      </c>
      <c r="EG42" s="118">
        <f t="shared" si="106"/>
        <v>0</v>
      </c>
      <c r="EH42" s="118">
        <f t="shared" si="107"/>
        <v>0</v>
      </c>
      <c r="EI42" s="118">
        <f t="shared" si="108"/>
        <v>0</v>
      </c>
      <c r="EJ42" s="118">
        <f t="shared" si="109"/>
        <v>0</v>
      </c>
      <c r="EK42" s="118">
        <f t="shared" si="110"/>
        <v>0</v>
      </c>
      <c r="EL42" s="118">
        <f t="shared" si="111"/>
        <v>0</v>
      </c>
      <c r="EM42" s="118">
        <f t="shared" si="112"/>
        <v>0</v>
      </c>
      <c r="EN42" s="118">
        <f t="shared" si="113"/>
        <v>0</v>
      </c>
      <c r="EO42" s="118">
        <f t="shared" si="114"/>
        <v>0</v>
      </c>
      <c r="EP42" s="118">
        <f t="shared" si="115"/>
        <v>0</v>
      </c>
      <c r="EQ42" s="118">
        <f t="shared" si="116"/>
        <v>0</v>
      </c>
      <c r="ER42" s="118">
        <f t="shared" si="117"/>
        <v>0</v>
      </c>
      <c r="ES42" s="119"/>
      <c r="ET42" s="143">
        <f t="shared" si="118"/>
        <v>0</v>
      </c>
      <c r="EU42" s="72"/>
      <c r="EV42" s="117">
        <f t="shared" si="119"/>
        <v>2151.2638382277555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0"/>
        <v>0</v>
      </c>
      <c r="GG42" s="118">
        <f t="shared" si="121"/>
        <v>0</v>
      </c>
      <c r="GH42" s="118">
        <f t="shared" si="122"/>
        <v>0</v>
      </c>
      <c r="GI42" s="118">
        <f t="shared" si="123"/>
        <v>0</v>
      </c>
      <c r="GJ42" s="119"/>
      <c r="GK42" s="143">
        <f t="shared" ca="1" si="124"/>
        <v>0</v>
      </c>
    </row>
    <row r="43" spans="1:193">
      <c r="A43" s="515" t="s">
        <v>401</v>
      </c>
      <c r="B43" s="144"/>
      <c r="C43" s="200"/>
      <c r="D43" s="201"/>
      <c r="E43" s="534">
        <f t="shared" si="0"/>
        <v>0</v>
      </c>
      <c r="F43" s="535">
        <f t="shared" si="77"/>
        <v>0</v>
      </c>
      <c r="G43" s="202" t="str">
        <f t="shared" si="125"/>
        <v/>
      </c>
      <c r="H43" s="544">
        <f t="shared" si="58"/>
        <v>0</v>
      </c>
      <c r="I43" s="545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589</v>
      </c>
      <c r="O43" s="62"/>
      <c r="P43" s="749"/>
      <c r="Q43" s="750"/>
      <c r="R43" s="750"/>
      <c r="S43" s="750"/>
      <c r="T43" s="750"/>
      <c r="U43" s="750"/>
      <c r="V43" s="750"/>
      <c r="W43" s="750"/>
      <c r="X43" s="750"/>
      <c r="Y43" s="750"/>
      <c r="Z43" s="750"/>
      <c r="AA43" s="751"/>
      <c r="AB43" s="755"/>
      <c r="AC43" s="755"/>
      <c r="AD43" s="755"/>
      <c r="AE43" s="755"/>
      <c r="AF43" s="755"/>
      <c r="AG43" s="755"/>
      <c r="AH43" s="755"/>
      <c r="AI43" s="755"/>
      <c r="AJ43" s="755"/>
      <c r="AK43" s="755"/>
      <c r="AL43" s="755"/>
      <c r="AM43" s="756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6">
        <f t="shared" si="11"/>
        <v>0</v>
      </c>
      <c r="AY43" s="217">
        <f t="shared" si="12"/>
        <v>0</v>
      </c>
      <c r="AZ43" s="148" t="s">
        <v>402</v>
      </c>
      <c r="BA43" s="112"/>
      <c r="BB43" s="129"/>
      <c r="BC43" s="115"/>
      <c r="BD43" s="218">
        <f t="shared" si="13"/>
        <v>0</v>
      </c>
      <c r="BE43" s="220">
        <f t="shared" si="14"/>
        <v>0</v>
      </c>
      <c r="BF43" s="149" t="s">
        <v>403</v>
      </c>
      <c r="BG43" s="112"/>
      <c r="BH43" s="115"/>
      <c r="BI43" s="221">
        <f t="shared" si="15"/>
        <v>0</v>
      </c>
      <c r="BJ43" s="222">
        <f t="shared" si="16"/>
        <v>0</v>
      </c>
      <c r="DE43" s="117">
        <f t="shared" si="78"/>
        <v>2217.7977713688201</v>
      </c>
      <c r="DF43" s="118">
        <f t="shared" si="79"/>
        <v>0</v>
      </c>
      <c r="DG43" s="118">
        <f t="shared" si="80"/>
        <v>0</v>
      </c>
      <c r="DH43" s="118">
        <f t="shared" si="81"/>
        <v>0</v>
      </c>
      <c r="DI43" s="118">
        <f t="shared" si="82"/>
        <v>0</v>
      </c>
      <c r="DJ43" s="118">
        <f t="shared" si="83"/>
        <v>0</v>
      </c>
      <c r="DK43" s="118">
        <f t="shared" si="84"/>
        <v>0</v>
      </c>
      <c r="DL43" s="118">
        <f t="shared" si="85"/>
        <v>0</v>
      </c>
      <c r="DM43" s="118">
        <f t="shared" si="86"/>
        <v>0</v>
      </c>
      <c r="DN43" s="118">
        <f t="shared" si="87"/>
        <v>0</v>
      </c>
      <c r="DO43" s="118">
        <f t="shared" si="88"/>
        <v>0</v>
      </c>
      <c r="DP43" s="118">
        <f t="shared" si="89"/>
        <v>0</v>
      </c>
      <c r="DQ43" s="118">
        <f t="shared" si="90"/>
        <v>0</v>
      </c>
      <c r="DR43" s="118">
        <f t="shared" si="91"/>
        <v>0</v>
      </c>
      <c r="DS43" s="118">
        <f t="shared" si="92"/>
        <v>0</v>
      </c>
      <c r="DT43" s="118">
        <f t="shared" si="93"/>
        <v>0</v>
      </c>
      <c r="DU43" s="118">
        <f t="shared" si="94"/>
        <v>0</v>
      </c>
      <c r="DV43" s="118">
        <f t="shared" si="95"/>
        <v>0</v>
      </c>
      <c r="DW43" s="118">
        <f t="shared" si="96"/>
        <v>0</v>
      </c>
      <c r="DX43" s="118">
        <f t="shared" si="97"/>
        <v>0</v>
      </c>
      <c r="DY43" s="118">
        <f t="shared" si="98"/>
        <v>0</v>
      </c>
      <c r="DZ43" s="118">
        <f t="shared" si="99"/>
        <v>0</v>
      </c>
      <c r="EA43" s="118">
        <f t="shared" si="100"/>
        <v>0</v>
      </c>
      <c r="EB43" s="118">
        <f t="shared" si="101"/>
        <v>0</v>
      </c>
      <c r="EC43" s="118">
        <f t="shared" si="102"/>
        <v>0</v>
      </c>
      <c r="ED43" s="118">
        <f t="shared" si="103"/>
        <v>0</v>
      </c>
      <c r="EE43" s="118">
        <f t="shared" si="104"/>
        <v>0</v>
      </c>
      <c r="EF43" s="118">
        <f t="shared" si="105"/>
        <v>0</v>
      </c>
      <c r="EG43" s="118">
        <f t="shared" si="106"/>
        <v>0</v>
      </c>
      <c r="EH43" s="118">
        <f t="shared" si="107"/>
        <v>0</v>
      </c>
      <c r="EI43" s="118">
        <f t="shared" si="108"/>
        <v>0</v>
      </c>
      <c r="EJ43" s="118">
        <f t="shared" si="109"/>
        <v>0</v>
      </c>
      <c r="EK43" s="118">
        <f t="shared" si="110"/>
        <v>0</v>
      </c>
      <c r="EL43" s="118">
        <f t="shared" si="111"/>
        <v>0</v>
      </c>
      <c r="EM43" s="118">
        <f t="shared" si="112"/>
        <v>0</v>
      </c>
      <c r="EN43" s="118">
        <f t="shared" si="113"/>
        <v>0</v>
      </c>
      <c r="EO43" s="118">
        <f t="shared" si="114"/>
        <v>0</v>
      </c>
      <c r="EP43" s="118">
        <f t="shared" si="115"/>
        <v>0</v>
      </c>
      <c r="EQ43" s="118">
        <f t="shared" si="116"/>
        <v>0</v>
      </c>
      <c r="ER43" s="118">
        <f t="shared" si="117"/>
        <v>0</v>
      </c>
      <c r="ES43" s="119"/>
      <c r="ET43" s="143">
        <f t="shared" si="118"/>
        <v>0</v>
      </c>
      <c r="EU43" s="72"/>
      <c r="EV43" s="117">
        <f t="shared" si="119"/>
        <v>2217.7977713688201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0"/>
        <v>0</v>
      </c>
      <c r="GG43" s="118">
        <f t="shared" si="121"/>
        <v>0</v>
      </c>
      <c r="GH43" s="118">
        <f t="shared" si="122"/>
        <v>0</v>
      </c>
      <c r="GI43" s="118">
        <f t="shared" si="123"/>
        <v>0</v>
      </c>
      <c r="GJ43" s="119"/>
      <c r="GK43" s="143">
        <f t="shared" ca="1" si="124"/>
        <v>0</v>
      </c>
    </row>
    <row r="44" spans="1:193">
      <c r="A44" s="515" t="s">
        <v>401</v>
      </c>
      <c r="B44" s="144"/>
      <c r="C44" s="200"/>
      <c r="D44" s="201"/>
      <c r="E44" s="534">
        <f t="shared" si="0"/>
        <v>0</v>
      </c>
      <c r="F44" s="535">
        <f t="shared" si="77"/>
        <v>0</v>
      </c>
      <c r="G44" s="202" t="str">
        <f t="shared" si="125"/>
        <v/>
      </c>
      <c r="H44" s="544">
        <f t="shared" si="58"/>
        <v>0</v>
      </c>
      <c r="I44" s="545">
        <f t="shared" si="3"/>
        <v>0</v>
      </c>
      <c r="J44" s="62"/>
      <c r="K44" s="759" t="s">
        <v>450</v>
      </c>
      <c r="L44" s="743"/>
      <c r="M44" s="744"/>
      <c r="N44" s="157"/>
      <c r="O44" s="62"/>
      <c r="P44" s="752"/>
      <c r="Q44" s="753"/>
      <c r="R44" s="753"/>
      <c r="S44" s="753"/>
      <c r="T44" s="753"/>
      <c r="U44" s="753"/>
      <c r="V44" s="753"/>
      <c r="W44" s="753"/>
      <c r="X44" s="753"/>
      <c r="Y44" s="753"/>
      <c r="Z44" s="753"/>
      <c r="AA44" s="754"/>
      <c r="AB44" s="757"/>
      <c r="AC44" s="757"/>
      <c r="AD44" s="757"/>
      <c r="AE44" s="757"/>
      <c r="AF44" s="757"/>
      <c r="AG44" s="757"/>
      <c r="AH44" s="757"/>
      <c r="AI44" s="757"/>
      <c r="AJ44" s="757"/>
      <c r="AK44" s="757"/>
      <c r="AL44" s="757"/>
      <c r="AM44" s="758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6">
        <f t="shared" si="11"/>
        <v>0</v>
      </c>
      <c r="AY44" s="217">
        <f t="shared" si="12"/>
        <v>0</v>
      </c>
      <c r="AZ44" s="148" t="s">
        <v>402</v>
      </c>
      <c r="BA44" s="112"/>
      <c r="BB44" s="129"/>
      <c r="BC44" s="115"/>
      <c r="BD44" s="218">
        <f t="shared" si="13"/>
        <v>0</v>
      </c>
      <c r="BE44" s="220">
        <f t="shared" si="14"/>
        <v>0</v>
      </c>
      <c r="BF44" s="149" t="s">
        <v>403</v>
      </c>
      <c r="BG44" s="112"/>
      <c r="BH44" s="115"/>
      <c r="BI44" s="221">
        <f t="shared" si="15"/>
        <v>0</v>
      </c>
      <c r="BJ44" s="222">
        <f t="shared" si="16"/>
        <v>0</v>
      </c>
      <c r="DE44" s="117">
        <f t="shared" si="78"/>
        <v>2286.3894550194022</v>
      </c>
      <c r="DF44" s="118">
        <f t="shared" si="79"/>
        <v>0</v>
      </c>
      <c r="DG44" s="118">
        <f t="shared" si="80"/>
        <v>0</v>
      </c>
      <c r="DH44" s="118">
        <f t="shared" si="81"/>
        <v>0</v>
      </c>
      <c r="DI44" s="118">
        <f t="shared" si="82"/>
        <v>0</v>
      </c>
      <c r="DJ44" s="118">
        <f t="shared" si="83"/>
        <v>0</v>
      </c>
      <c r="DK44" s="118">
        <f t="shared" si="84"/>
        <v>0</v>
      </c>
      <c r="DL44" s="118">
        <f t="shared" si="85"/>
        <v>0</v>
      </c>
      <c r="DM44" s="118">
        <f t="shared" si="86"/>
        <v>0</v>
      </c>
      <c r="DN44" s="118">
        <f t="shared" si="87"/>
        <v>0</v>
      </c>
      <c r="DO44" s="118">
        <f t="shared" si="88"/>
        <v>0</v>
      </c>
      <c r="DP44" s="118">
        <f t="shared" si="89"/>
        <v>0</v>
      </c>
      <c r="DQ44" s="118">
        <f t="shared" si="90"/>
        <v>0</v>
      </c>
      <c r="DR44" s="118">
        <f t="shared" si="91"/>
        <v>0</v>
      </c>
      <c r="DS44" s="118">
        <f t="shared" si="92"/>
        <v>0</v>
      </c>
      <c r="DT44" s="118">
        <f t="shared" si="93"/>
        <v>0</v>
      </c>
      <c r="DU44" s="118">
        <f t="shared" si="94"/>
        <v>0</v>
      </c>
      <c r="DV44" s="118">
        <f t="shared" si="95"/>
        <v>0</v>
      </c>
      <c r="DW44" s="118">
        <f t="shared" si="96"/>
        <v>0</v>
      </c>
      <c r="DX44" s="118">
        <f t="shared" si="97"/>
        <v>0</v>
      </c>
      <c r="DY44" s="118">
        <f t="shared" si="98"/>
        <v>0</v>
      </c>
      <c r="DZ44" s="118">
        <f t="shared" si="99"/>
        <v>0</v>
      </c>
      <c r="EA44" s="118">
        <f t="shared" si="100"/>
        <v>0</v>
      </c>
      <c r="EB44" s="118">
        <f t="shared" si="101"/>
        <v>0</v>
      </c>
      <c r="EC44" s="118">
        <f t="shared" si="102"/>
        <v>0</v>
      </c>
      <c r="ED44" s="118">
        <f t="shared" si="103"/>
        <v>0</v>
      </c>
      <c r="EE44" s="118">
        <f t="shared" si="104"/>
        <v>0</v>
      </c>
      <c r="EF44" s="118">
        <f t="shared" si="105"/>
        <v>0</v>
      </c>
      <c r="EG44" s="118">
        <f t="shared" si="106"/>
        <v>0</v>
      </c>
      <c r="EH44" s="118">
        <f t="shared" si="107"/>
        <v>0</v>
      </c>
      <c r="EI44" s="118">
        <f t="shared" si="108"/>
        <v>0</v>
      </c>
      <c r="EJ44" s="118">
        <f t="shared" si="109"/>
        <v>0</v>
      </c>
      <c r="EK44" s="118">
        <f t="shared" si="110"/>
        <v>0</v>
      </c>
      <c r="EL44" s="118">
        <f t="shared" si="111"/>
        <v>0</v>
      </c>
      <c r="EM44" s="118">
        <f t="shared" si="112"/>
        <v>0</v>
      </c>
      <c r="EN44" s="118">
        <f t="shared" si="113"/>
        <v>0</v>
      </c>
      <c r="EO44" s="118">
        <f t="shared" si="114"/>
        <v>0</v>
      </c>
      <c r="EP44" s="118">
        <f t="shared" si="115"/>
        <v>0</v>
      </c>
      <c r="EQ44" s="118">
        <f t="shared" si="116"/>
        <v>0</v>
      </c>
      <c r="ER44" s="118">
        <f t="shared" si="117"/>
        <v>0</v>
      </c>
      <c r="ES44" s="119"/>
      <c r="ET44" s="143">
        <f t="shared" si="118"/>
        <v>0</v>
      </c>
      <c r="EU44" s="72"/>
      <c r="EV44" s="117">
        <f t="shared" si="119"/>
        <v>2286.3894550194022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0"/>
        <v>0</v>
      </c>
      <c r="GG44" s="118">
        <f t="shared" si="121"/>
        <v>0</v>
      </c>
      <c r="GH44" s="118">
        <f t="shared" si="122"/>
        <v>0</v>
      </c>
      <c r="GI44" s="118">
        <f t="shared" si="123"/>
        <v>0</v>
      </c>
      <c r="GJ44" s="119"/>
      <c r="GK44" s="143">
        <f t="shared" ca="1" si="124"/>
        <v>0</v>
      </c>
    </row>
    <row r="45" spans="1:193">
      <c r="A45" s="515" t="s">
        <v>401</v>
      </c>
      <c r="B45" s="144"/>
      <c r="C45" s="200"/>
      <c r="D45" s="201"/>
      <c r="E45" s="534">
        <f t="shared" si="0"/>
        <v>0</v>
      </c>
      <c r="F45" s="535">
        <f t="shared" si="77"/>
        <v>0</v>
      </c>
      <c r="G45" s="202" t="str">
        <f t="shared" si="125"/>
        <v/>
      </c>
      <c r="H45" s="544">
        <f t="shared" si="58"/>
        <v>0</v>
      </c>
      <c r="I45" s="545">
        <f t="shared" si="3"/>
        <v>0</v>
      </c>
      <c r="J45" s="62"/>
      <c r="K45" s="760" t="s">
        <v>451</v>
      </c>
      <c r="L45" s="743"/>
      <c r="M45" s="744"/>
      <c r="N45" s="508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6">
        <f t="shared" si="11"/>
        <v>0</v>
      </c>
      <c r="AY45" s="217">
        <f t="shared" si="12"/>
        <v>0</v>
      </c>
      <c r="AZ45" s="148" t="s">
        <v>402</v>
      </c>
      <c r="BA45" s="112"/>
      <c r="BB45" s="129"/>
      <c r="BC45" s="115"/>
      <c r="BD45" s="218">
        <f t="shared" si="13"/>
        <v>0</v>
      </c>
      <c r="BE45" s="220">
        <f t="shared" si="14"/>
        <v>0</v>
      </c>
      <c r="BF45" s="149" t="s">
        <v>403</v>
      </c>
      <c r="BG45" s="112"/>
      <c r="BH45" s="115"/>
      <c r="BI45" s="221">
        <f t="shared" si="15"/>
        <v>0</v>
      </c>
      <c r="BJ45" s="222">
        <f t="shared" si="16"/>
        <v>0</v>
      </c>
      <c r="DE45" s="117">
        <f t="shared" si="78"/>
        <v>2357.1025309478373</v>
      </c>
      <c r="DF45" s="118">
        <f t="shared" si="79"/>
        <v>0</v>
      </c>
      <c r="DG45" s="118">
        <f t="shared" si="80"/>
        <v>0</v>
      </c>
      <c r="DH45" s="118">
        <f t="shared" si="81"/>
        <v>0</v>
      </c>
      <c r="DI45" s="118">
        <f t="shared" si="82"/>
        <v>0</v>
      </c>
      <c r="DJ45" s="118">
        <f t="shared" si="83"/>
        <v>0</v>
      </c>
      <c r="DK45" s="118">
        <f t="shared" si="84"/>
        <v>0</v>
      </c>
      <c r="DL45" s="118">
        <f t="shared" si="85"/>
        <v>0</v>
      </c>
      <c r="DM45" s="118">
        <f t="shared" si="86"/>
        <v>0</v>
      </c>
      <c r="DN45" s="118">
        <f t="shared" si="87"/>
        <v>0</v>
      </c>
      <c r="DO45" s="118">
        <f t="shared" si="88"/>
        <v>0</v>
      </c>
      <c r="DP45" s="118">
        <f t="shared" si="89"/>
        <v>0</v>
      </c>
      <c r="DQ45" s="118">
        <f t="shared" si="90"/>
        <v>0</v>
      </c>
      <c r="DR45" s="118">
        <f t="shared" si="91"/>
        <v>0</v>
      </c>
      <c r="DS45" s="118">
        <f t="shared" si="92"/>
        <v>0</v>
      </c>
      <c r="DT45" s="118">
        <f t="shared" si="93"/>
        <v>0</v>
      </c>
      <c r="DU45" s="118">
        <f t="shared" si="94"/>
        <v>0</v>
      </c>
      <c r="DV45" s="118">
        <f t="shared" si="95"/>
        <v>0</v>
      </c>
      <c r="DW45" s="118">
        <f t="shared" si="96"/>
        <v>0</v>
      </c>
      <c r="DX45" s="118">
        <f t="shared" si="97"/>
        <v>0</v>
      </c>
      <c r="DY45" s="118">
        <f t="shared" si="98"/>
        <v>0</v>
      </c>
      <c r="DZ45" s="118">
        <f t="shared" si="99"/>
        <v>0</v>
      </c>
      <c r="EA45" s="118">
        <f t="shared" si="100"/>
        <v>0</v>
      </c>
      <c r="EB45" s="118">
        <f t="shared" si="101"/>
        <v>0</v>
      </c>
      <c r="EC45" s="118">
        <f t="shared" si="102"/>
        <v>0</v>
      </c>
      <c r="ED45" s="118">
        <f t="shared" si="103"/>
        <v>0</v>
      </c>
      <c r="EE45" s="118">
        <f t="shared" si="104"/>
        <v>0</v>
      </c>
      <c r="EF45" s="118">
        <f t="shared" si="105"/>
        <v>0</v>
      </c>
      <c r="EG45" s="118">
        <f t="shared" si="106"/>
        <v>0</v>
      </c>
      <c r="EH45" s="118">
        <f t="shared" si="107"/>
        <v>0</v>
      </c>
      <c r="EI45" s="118">
        <f t="shared" si="108"/>
        <v>0</v>
      </c>
      <c r="EJ45" s="118">
        <f t="shared" si="109"/>
        <v>0</v>
      </c>
      <c r="EK45" s="118">
        <f t="shared" si="110"/>
        <v>0</v>
      </c>
      <c r="EL45" s="118">
        <f t="shared" si="111"/>
        <v>0</v>
      </c>
      <c r="EM45" s="118">
        <f t="shared" si="112"/>
        <v>0</v>
      </c>
      <c r="EN45" s="118">
        <f t="shared" si="113"/>
        <v>0</v>
      </c>
      <c r="EO45" s="118">
        <f t="shared" si="114"/>
        <v>0</v>
      </c>
      <c r="EP45" s="118">
        <f t="shared" si="115"/>
        <v>0</v>
      </c>
      <c r="EQ45" s="118">
        <f t="shared" si="116"/>
        <v>0</v>
      </c>
      <c r="ER45" s="118">
        <f t="shared" si="117"/>
        <v>0</v>
      </c>
      <c r="ES45" s="119"/>
      <c r="ET45" s="143">
        <f t="shared" si="118"/>
        <v>0</v>
      </c>
      <c r="EU45" s="72"/>
      <c r="EV45" s="117">
        <f t="shared" si="119"/>
        <v>2357.1025309478373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0"/>
        <v>0</v>
      </c>
      <c r="GG45" s="118">
        <f t="shared" si="121"/>
        <v>0</v>
      </c>
      <c r="GH45" s="118">
        <f t="shared" si="122"/>
        <v>0</v>
      </c>
      <c r="GI45" s="118">
        <f t="shared" si="123"/>
        <v>0</v>
      </c>
      <c r="GJ45" s="119"/>
      <c r="GK45" s="143">
        <f t="shared" ca="1" si="124"/>
        <v>0</v>
      </c>
    </row>
    <row r="46" spans="1:193">
      <c r="A46" s="515" t="s">
        <v>401</v>
      </c>
      <c r="B46" s="144"/>
      <c r="C46" s="200"/>
      <c r="D46" s="201"/>
      <c r="E46" s="534">
        <f t="shared" si="0"/>
        <v>0</v>
      </c>
      <c r="F46" s="535">
        <f t="shared" si="77"/>
        <v>0</v>
      </c>
      <c r="G46" s="202" t="str">
        <f t="shared" si="125"/>
        <v/>
      </c>
      <c r="H46" s="544">
        <f t="shared" si="58"/>
        <v>0</v>
      </c>
      <c r="I46" s="545">
        <f t="shared" si="3"/>
        <v>0</v>
      </c>
      <c r="J46" s="62"/>
      <c r="K46" s="764" t="s">
        <v>452</v>
      </c>
      <c r="L46" s="743"/>
      <c r="M46" s="744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6">
        <f t="shared" si="11"/>
        <v>0</v>
      </c>
      <c r="AY46" s="217">
        <f t="shared" si="12"/>
        <v>0</v>
      </c>
      <c r="AZ46" s="148" t="s">
        <v>402</v>
      </c>
      <c r="BA46" s="112"/>
      <c r="BB46" s="129"/>
      <c r="BC46" s="115"/>
      <c r="BD46" s="218">
        <f t="shared" si="13"/>
        <v>0</v>
      </c>
      <c r="BE46" s="220">
        <f t="shared" si="14"/>
        <v>0</v>
      </c>
      <c r="BF46" s="149" t="s">
        <v>403</v>
      </c>
      <c r="BG46" s="112"/>
      <c r="BH46" s="115"/>
      <c r="BI46" s="221">
        <f t="shared" si="15"/>
        <v>0</v>
      </c>
      <c r="BJ46" s="222">
        <f t="shared" si="16"/>
        <v>0</v>
      </c>
      <c r="DE46" s="117">
        <f t="shared" si="78"/>
        <v>2430.0026092245748</v>
      </c>
      <c r="DF46" s="118">
        <f t="shared" si="79"/>
        <v>0</v>
      </c>
      <c r="DG46" s="118">
        <f t="shared" si="80"/>
        <v>0</v>
      </c>
      <c r="DH46" s="118">
        <f t="shared" si="81"/>
        <v>0</v>
      </c>
      <c r="DI46" s="118">
        <f t="shared" si="82"/>
        <v>0</v>
      </c>
      <c r="DJ46" s="118">
        <f t="shared" si="83"/>
        <v>0</v>
      </c>
      <c r="DK46" s="118">
        <f t="shared" si="84"/>
        <v>0</v>
      </c>
      <c r="DL46" s="118">
        <f t="shared" si="85"/>
        <v>0</v>
      </c>
      <c r="DM46" s="118">
        <f t="shared" si="86"/>
        <v>0</v>
      </c>
      <c r="DN46" s="118">
        <f t="shared" si="87"/>
        <v>0</v>
      </c>
      <c r="DO46" s="118">
        <f t="shared" si="88"/>
        <v>0</v>
      </c>
      <c r="DP46" s="118">
        <f t="shared" si="89"/>
        <v>0</v>
      </c>
      <c r="DQ46" s="118">
        <f t="shared" si="90"/>
        <v>0</v>
      </c>
      <c r="DR46" s="118">
        <f t="shared" si="91"/>
        <v>0</v>
      </c>
      <c r="DS46" s="118">
        <f t="shared" si="92"/>
        <v>0</v>
      </c>
      <c r="DT46" s="118">
        <f t="shared" si="93"/>
        <v>0</v>
      </c>
      <c r="DU46" s="118">
        <f t="shared" si="94"/>
        <v>0</v>
      </c>
      <c r="DV46" s="118">
        <f t="shared" si="95"/>
        <v>0</v>
      </c>
      <c r="DW46" s="118">
        <f t="shared" si="96"/>
        <v>0</v>
      </c>
      <c r="DX46" s="118">
        <f t="shared" si="97"/>
        <v>0</v>
      </c>
      <c r="DY46" s="118">
        <f t="shared" si="98"/>
        <v>0</v>
      </c>
      <c r="DZ46" s="118">
        <f t="shared" si="99"/>
        <v>0</v>
      </c>
      <c r="EA46" s="118">
        <f t="shared" si="100"/>
        <v>0</v>
      </c>
      <c r="EB46" s="118">
        <f t="shared" si="101"/>
        <v>0</v>
      </c>
      <c r="EC46" s="118">
        <f t="shared" si="102"/>
        <v>0</v>
      </c>
      <c r="ED46" s="118">
        <f t="shared" si="103"/>
        <v>0</v>
      </c>
      <c r="EE46" s="118">
        <f t="shared" si="104"/>
        <v>0</v>
      </c>
      <c r="EF46" s="118">
        <f t="shared" si="105"/>
        <v>0</v>
      </c>
      <c r="EG46" s="118">
        <f t="shared" si="106"/>
        <v>0</v>
      </c>
      <c r="EH46" s="118">
        <f t="shared" si="107"/>
        <v>0</v>
      </c>
      <c r="EI46" s="118">
        <f t="shared" si="108"/>
        <v>0</v>
      </c>
      <c r="EJ46" s="118">
        <f t="shared" si="109"/>
        <v>0</v>
      </c>
      <c r="EK46" s="118">
        <f t="shared" si="110"/>
        <v>0</v>
      </c>
      <c r="EL46" s="118">
        <f t="shared" si="111"/>
        <v>0</v>
      </c>
      <c r="EM46" s="118">
        <f t="shared" si="112"/>
        <v>0</v>
      </c>
      <c r="EN46" s="118">
        <f t="shared" si="113"/>
        <v>0</v>
      </c>
      <c r="EO46" s="118">
        <f t="shared" si="114"/>
        <v>0</v>
      </c>
      <c r="EP46" s="118">
        <f t="shared" si="115"/>
        <v>0</v>
      </c>
      <c r="EQ46" s="118">
        <f t="shared" si="116"/>
        <v>0</v>
      </c>
      <c r="ER46" s="118">
        <f t="shared" si="117"/>
        <v>0</v>
      </c>
      <c r="ES46" s="119"/>
      <c r="ET46" s="143">
        <f t="shared" si="118"/>
        <v>0</v>
      </c>
      <c r="EU46" s="72"/>
      <c r="EV46" s="117">
        <f t="shared" si="119"/>
        <v>2430.0026092245748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0"/>
        <v>0</v>
      </c>
      <c r="GG46" s="118">
        <f t="shared" si="121"/>
        <v>0</v>
      </c>
      <c r="GH46" s="118">
        <f t="shared" si="122"/>
        <v>0</v>
      </c>
      <c r="GI46" s="118">
        <f t="shared" si="123"/>
        <v>0</v>
      </c>
      <c r="GJ46" s="119"/>
      <c r="GK46" s="143">
        <f t="shared" ca="1" si="124"/>
        <v>0</v>
      </c>
    </row>
    <row r="47" spans="1:193">
      <c r="A47" s="515" t="s">
        <v>401</v>
      </c>
      <c r="B47" s="144"/>
      <c r="C47" s="200"/>
      <c r="D47" s="201"/>
      <c r="E47" s="534">
        <f t="shared" si="0"/>
        <v>0</v>
      </c>
      <c r="F47" s="535">
        <f t="shared" si="77"/>
        <v>0</v>
      </c>
      <c r="G47" s="202" t="str">
        <f t="shared" si="125"/>
        <v/>
      </c>
      <c r="H47" s="544">
        <f t="shared" si="58"/>
        <v>0</v>
      </c>
      <c r="I47" s="545">
        <f t="shared" si="3"/>
        <v>0</v>
      </c>
      <c r="J47" s="62"/>
      <c r="K47" s="768" t="s">
        <v>453</v>
      </c>
      <c r="L47" s="743"/>
      <c r="M47" s="744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6">
        <f t="shared" si="11"/>
        <v>0</v>
      </c>
      <c r="AY47" s="217">
        <f t="shared" si="12"/>
        <v>0</v>
      </c>
      <c r="AZ47" s="148" t="s">
        <v>402</v>
      </c>
      <c r="BA47" s="112"/>
      <c r="BB47" s="129"/>
      <c r="BC47" s="115"/>
      <c r="BD47" s="218">
        <f t="shared" si="13"/>
        <v>0</v>
      </c>
      <c r="BE47" s="220">
        <f t="shared" si="14"/>
        <v>0</v>
      </c>
      <c r="BF47" s="149" t="s">
        <v>403</v>
      </c>
      <c r="BG47" s="112"/>
      <c r="BH47" s="115"/>
      <c r="BI47" s="221">
        <f t="shared" si="15"/>
        <v>0</v>
      </c>
      <c r="BJ47" s="222">
        <f t="shared" si="16"/>
        <v>0</v>
      </c>
      <c r="DE47" s="117">
        <f t="shared" si="78"/>
        <v>2505.1573290974998</v>
      </c>
      <c r="DF47" s="118">
        <f t="shared" si="79"/>
        <v>0</v>
      </c>
      <c r="DG47" s="118">
        <f t="shared" si="80"/>
        <v>0</v>
      </c>
      <c r="DH47" s="118">
        <f t="shared" si="81"/>
        <v>0</v>
      </c>
      <c r="DI47" s="118">
        <f t="shared" si="82"/>
        <v>0</v>
      </c>
      <c r="DJ47" s="118">
        <f t="shared" si="83"/>
        <v>0</v>
      </c>
      <c r="DK47" s="118">
        <f t="shared" si="84"/>
        <v>0</v>
      </c>
      <c r="DL47" s="118">
        <f t="shared" si="85"/>
        <v>0</v>
      </c>
      <c r="DM47" s="118">
        <f t="shared" si="86"/>
        <v>0</v>
      </c>
      <c r="DN47" s="118">
        <f t="shared" si="87"/>
        <v>0</v>
      </c>
      <c r="DO47" s="118">
        <f t="shared" si="88"/>
        <v>0</v>
      </c>
      <c r="DP47" s="118">
        <f t="shared" si="89"/>
        <v>0</v>
      </c>
      <c r="DQ47" s="118">
        <f t="shared" si="90"/>
        <v>0</v>
      </c>
      <c r="DR47" s="118">
        <f t="shared" si="91"/>
        <v>0</v>
      </c>
      <c r="DS47" s="118">
        <f t="shared" si="92"/>
        <v>0</v>
      </c>
      <c r="DT47" s="118">
        <f t="shared" si="93"/>
        <v>0</v>
      </c>
      <c r="DU47" s="118">
        <f t="shared" si="94"/>
        <v>0</v>
      </c>
      <c r="DV47" s="118">
        <f t="shared" si="95"/>
        <v>0</v>
      </c>
      <c r="DW47" s="118">
        <f t="shared" si="96"/>
        <v>0</v>
      </c>
      <c r="DX47" s="118">
        <f t="shared" si="97"/>
        <v>0</v>
      </c>
      <c r="DY47" s="118">
        <f t="shared" si="98"/>
        <v>0</v>
      </c>
      <c r="DZ47" s="118">
        <f t="shared" si="99"/>
        <v>0</v>
      </c>
      <c r="EA47" s="118">
        <f t="shared" si="100"/>
        <v>0</v>
      </c>
      <c r="EB47" s="118">
        <f t="shared" si="101"/>
        <v>0</v>
      </c>
      <c r="EC47" s="118">
        <f t="shared" si="102"/>
        <v>0</v>
      </c>
      <c r="ED47" s="118">
        <f t="shared" si="103"/>
        <v>0</v>
      </c>
      <c r="EE47" s="118">
        <f t="shared" si="104"/>
        <v>0</v>
      </c>
      <c r="EF47" s="118">
        <f t="shared" si="105"/>
        <v>0</v>
      </c>
      <c r="EG47" s="118">
        <f t="shared" si="106"/>
        <v>0</v>
      </c>
      <c r="EH47" s="118">
        <f t="shared" si="107"/>
        <v>0</v>
      </c>
      <c r="EI47" s="118">
        <f t="shared" si="108"/>
        <v>0</v>
      </c>
      <c r="EJ47" s="118">
        <f t="shared" si="109"/>
        <v>0</v>
      </c>
      <c r="EK47" s="118">
        <f t="shared" si="110"/>
        <v>0</v>
      </c>
      <c r="EL47" s="118">
        <f t="shared" si="111"/>
        <v>0</v>
      </c>
      <c r="EM47" s="118">
        <f t="shared" si="112"/>
        <v>0</v>
      </c>
      <c r="EN47" s="118">
        <f t="shared" si="113"/>
        <v>0</v>
      </c>
      <c r="EO47" s="118">
        <f t="shared" si="114"/>
        <v>0</v>
      </c>
      <c r="EP47" s="118">
        <f t="shared" si="115"/>
        <v>0</v>
      </c>
      <c r="EQ47" s="118">
        <f t="shared" si="116"/>
        <v>0</v>
      </c>
      <c r="ER47" s="118">
        <f t="shared" si="117"/>
        <v>0</v>
      </c>
      <c r="ES47" s="119"/>
      <c r="ET47" s="143">
        <f t="shared" si="118"/>
        <v>0</v>
      </c>
      <c r="EU47" s="72"/>
      <c r="EV47" s="117">
        <f t="shared" si="119"/>
        <v>2505.1573290974998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0"/>
        <v>0</v>
      </c>
      <c r="GG47" s="118">
        <f t="shared" si="121"/>
        <v>0</v>
      </c>
      <c r="GH47" s="118">
        <f t="shared" si="122"/>
        <v>0</v>
      </c>
      <c r="GI47" s="118">
        <f t="shared" si="123"/>
        <v>0</v>
      </c>
      <c r="GJ47" s="119"/>
      <c r="GK47" s="143">
        <f t="shared" ca="1" si="124"/>
        <v>0</v>
      </c>
    </row>
    <row r="48" spans="1:193">
      <c r="A48" s="515" t="s">
        <v>401</v>
      </c>
      <c r="B48" s="144"/>
      <c r="C48" s="200"/>
      <c r="D48" s="201"/>
      <c r="E48" s="534">
        <f t="shared" si="0"/>
        <v>0</v>
      </c>
      <c r="F48" s="535">
        <f t="shared" si="77"/>
        <v>0</v>
      </c>
      <c r="G48" s="202" t="str">
        <f t="shared" si="125"/>
        <v/>
      </c>
      <c r="H48" s="544">
        <f t="shared" si="58"/>
        <v>0</v>
      </c>
      <c r="I48" s="545">
        <f t="shared" si="3"/>
        <v>0</v>
      </c>
      <c r="J48" s="62"/>
      <c r="K48" s="759" t="s">
        <v>454</v>
      </c>
      <c r="L48" s="743"/>
      <c r="M48" s="744"/>
      <c r="N48" s="161">
        <f>HomeBroker!AE1*365</f>
        <v>0.71700000000000008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6">
        <f t="shared" si="11"/>
        <v>0</v>
      </c>
      <c r="AY48" s="217">
        <f t="shared" si="12"/>
        <v>0</v>
      </c>
      <c r="AZ48" s="148" t="s">
        <v>402</v>
      </c>
      <c r="BA48" s="112"/>
      <c r="BB48" s="129"/>
      <c r="BC48" s="115"/>
      <c r="BD48" s="218">
        <f t="shared" si="13"/>
        <v>0</v>
      </c>
      <c r="BE48" s="220">
        <f t="shared" si="14"/>
        <v>0</v>
      </c>
      <c r="BF48" s="149" t="s">
        <v>403</v>
      </c>
      <c r="BG48" s="112"/>
      <c r="BH48" s="115"/>
      <c r="BI48" s="221">
        <f t="shared" si="15"/>
        <v>0</v>
      </c>
      <c r="BJ48" s="222">
        <f t="shared" si="16"/>
        <v>0</v>
      </c>
      <c r="DE48" s="117">
        <f t="shared" si="78"/>
        <v>2582.63642175</v>
      </c>
      <c r="DF48" s="118">
        <f t="shared" si="79"/>
        <v>0</v>
      </c>
      <c r="DG48" s="118">
        <f t="shared" si="80"/>
        <v>0</v>
      </c>
      <c r="DH48" s="118">
        <f t="shared" si="81"/>
        <v>0</v>
      </c>
      <c r="DI48" s="118">
        <f t="shared" si="82"/>
        <v>0</v>
      </c>
      <c r="DJ48" s="118">
        <f t="shared" si="83"/>
        <v>0</v>
      </c>
      <c r="DK48" s="118">
        <f t="shared" si="84"/>
        <v>0</v>
      </c>
      <c r="DL48" s="118">
        <f t="shared" si="85"/>
        <v>0</v>
      </c>
      <c r="DM48" s="118">
        <f t="shared" si="86"/>
        <v>0</v>
      </c>
      <c r="DN48" s="118">
        <f t="shared" si="87"/>
        <v>0</v>
      </c>
      <c r="DO48" s="118">
        <f t="shared" si="88"/>
        <v>0</v>
      </c>
      <c r="DP48" s="118">
        <f t="shared" si="89"/>
        <v>0</v>
      </c>
      <c r="DQ48" s="118">
        <f t="shared" si="90"/>
        <v>0</v>
      </c>
      <c r="DR48" s="118">
        <f t="shared" si="91"/>
        <v>0</v>
      </c>
      <c r="DS48" s="118">
        <f t="shared" si="92"/>
        <v>0</v>
      </c>
      <c r="DT48" s="118">
        <f t="shared" si="93"/>
        <v>0</v>
      </c>
      <c r="DU48" s="118">
        <f t="shared" si="94"/>
        <v>0</v>
      </c>
      <c r="DV48" s="118">
        <f t="shared" si="95"/>
        <v>0</v>
      </c>
      <c r="DW48" s="118">
        <f t="shared" si="96"/>
        <v>0</v>
      </c>
      <c r="DX48" s="118">
        <f t="shared" si="97"/>
        <v>0</v>
      </c>
      <c r="DY48" s="118">
        <f t="shared" si="98"/>
        <v>0</v>
      </c>
      <c r="DZ48" s="118">
        <f t="shared" si="99"/>
        <v>0</v>
      </c>
      <c r="EA48" s="118">
        <f t="shared" si="100"/>
        <v>0</v>
      </c>
      <c r="EB48" s="118">
        <f t="shared" si="101"/>
        <v>0</v>
      </c>
      <c r="EC48" s="118">
        <f t="shared" si="102"/>
        <v>0</v>
      </c>
      <c r="ED48" s="118">
        <f t="shared" si="103"/>
        <v>0</v>
      </c>
      <c r="EE48" s="118">
        <f t="shared" si="104"/>
        <v>0</v>
      </c>
      <c r="EF48" s="118">
        <f t="shared" si="105"/>
        <v>0</v>
      </c>
      <c r="EG48" s="118">
        <f t="shared" si="106"/>
        <v>0</v>
      </c>
      <c r="EH48" s="118">
        <f t="shared" si="107"/>
        <v>0</v>
      </c>
      <c r="EI48" s="118">
        <f t="shared" si="108"/>
        <v>0</v>
      </c>
      <c r="EJ48" s="118">
        <f t="shared" si="109"/>
        <v>0</v>
      </c>
      <c r="EK48" s="118">
        <f t="shared" si="110"/>
        <v>0</v>
      </c>
      <c r="EL48" s="118">
        <f t="shared" si="111"/>
        <v>0</v>
      </c>
      <c r="EM48" s="118">
        <f t="shared" si="112"/>
        <v>0</v>
      </c>
      <c r="EN48" s="118">
        <f t="shared" si="113"/>
        <v>0</v>
      </c>
      <c r="EO48" s="118">
        <f t="shared" si="114"/>
        <v>0</v>
      </c>
      <c r="EP48" s="118">
        <f t="shared" si="115"/>
        <v>0</v>
      </c>
      <c r="EQ48" s="118">
        <f t="shared" si="116"/>
        <v>0</v>
      </c>
      <c r="ER48" s="118">
        <f t="shared" si="117"/>
        <v>0</v>
      </c>
      <c r="ES48" s="119"/>
      <c r="ET48" s="143">
        <f t="shared" si="118"/>
        <v>0</v>
      </c>
      <c r="EU48" s="72"/>
      <c r="EV48" s="117">
        <f t="shared" si="119"/>
        <v>2582.63642175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0"/>
        <v>0</v>
      </c>
      <c r="GG48" s="118">
        <f t="shared" si="121"/>
        <v>0</v>
      </c>
      <c r="GH48" s="118">
        <f t="shared" si="122"/>
        <v>0</v>
      </c>
      <c r="GI48" s="118">
        <f t="shared" si="123"/>
        <v>0</v>
      </c>
      <c r="GJ48" s="119"/>
      <c r="GK48" s="143">
        <f t="shared" ca="1" si="124"/>
        <v>0</v>
      </c>
    </row>
    <row r="49" spans="1:193">
      <c r="A49" s="515" t="s">
        <v>401</v>
      </c>
      <c r="B49" s="144"/>
      <c r="C49" s="200"/>
      <c r="D49" s="201"/>
      <c r="E49" s="534">
        <f t="shared" si="0"/>
        <v>0</v>
      </c>
      <c r="F49" s="535">
        <f t="shared" si="77"/>
        <v>0</v>
      </c>
      <c r="G49" s="202" t="str">
        <f t="shared" si="125"/>
        <v/>
      </c>
      <c r="H49" s="544">
        <f t="shared" si="58"/>
        <v>0</v>
      </c>
      <c r="I49" s="545">
        <f t="shared" si="3"/>
        <v>0</v>
      </c>
      <c r="J49" s="62"/>
      <c r="K49" s="769" t="s">
        <v>455</v>
      </c>
      <c r="L49" s="743"/>
      <c r="M49" s="744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6">
        <f t="shared" si="11"/>
        <v>0</v>
      </c>
      <c r="AY49" s="217">
        <f t="shared" si="12"/>
        <v>0</v>
      </c>
      <c r="AZ49" s="148" t="s">
        <v>402</v>
      </c>
      <c r="BA49" s="112"/>
      <c r="BB49" s="129"/>
      <c r="BC49" s="115"/>
      <c r="BD49" s="218">
        <f t="shared" si="13"/>
        <v>0</v>
      </c>
      <c r="BE49" s="220">
        <f t="shared" si="14"/>
        <v>0</v>
      </c>
      <c r="BF49" s="149" t="s">
        <v>403</v>
      </c>
      <c r="BG49" s="112"/>
      <c r="BH49" s="115"/>
      <c r="BI49" s="221">
        <f t="shared" si="15"/>
        <v>0</v>
      </c>
      <c r="BJ49" s="222">
        <f t="shared" si="16"/>
        <v>0</v>
      </c>
      <c r="DE49" s="117">
        <f t="shared" si="78"/>
        <v>2662.5117749999999</v>
      </c>
      <c r="DF49" s="118">
        <f t="shared" si="79"/>
        <v>0</v>
      </c>
      <c r="DG49" s="118">
        <f t="shared" si="80"/>
        <v>0</v>
      </c>
      <c r="DH49" s="118">
        <f t="shared" si="81"/>
        <v>0</v>
      </c>
      <c r="DI49" s="118">
        <f t="shared" si="82"/>
        <v>0</v>
      </c>
      <c r="DJ49" s="118">
        <f t="shared" si="83"/>
        <v>0</v>
      </c>
      <c r="DK49" s="118">
        <f t="shared" si="84"/>
        <v>0</v>
      </c>
      <c r="DL49" s="118">
        <f t="shared" si="85"/>
        <v>0</v>
      </c>
      <c r="DM49" s="118">
        <f t="shared" si="86"/>
        <v>0</v>
      </c>
      <c r="DN49" s="118">
        <f t="shared" si="87"/>
        <v>0</v>
      </c>
      <c r="DO49" s="118">
        <f t="shared" si="88"/>
        <v>0</v>
      </c>
      <c r="DP49" s="118">
        <f t="shared" si="89"/>
        <v>0</v>
      </c>
      <c r="DQ49" s="118">
        <f t="shared" si="90"/>
        <v>0</v>
      </c>
      <c r="DR49" s="118">
        <f t="shared" si="91"/>
        <v>0</v>
      </c>
      <c r="DS49" s="118">
        <f t="shared" si="92"/>
        <v>0</v>
      </c>
      <c r="DT49" s="118">
        <f t="shared" si="93"/>
        <v>0</v>
      </c>
      <c r="DU49" s="118">
        <f t="shared" si="94"/>
        <v>0</v>
      </c>
      <c r="DV49" s="118">
        <f t="shared" si="95"/>
        <v>0</v>
      </c>
      <c r="DW49" s="118">
        <f t="shared" si="96"/>
        <v>0</v>
      </c>
      <c r="DX49" s="118">
        <f t="shared" si="97"/>
        <v>0</v>
      </c>
      <c r="DY49" s="118">
        <f t="shared" si="98"/>
        <v>0</v>
      </c>
      <c r="DZ49" s="118">
        <f t="shared" si="99"/>
        <v>0</v>
      </c>
      <c r="EA49" s="118">
        <f t="shared" si="100"/>
        <v>0</v>
      </c>
      <c r="EB49" s="118">
        <f t="shared" si="101"/>
        <v>0</v>
      </c>
      <c r="EC49" s="118">
        <f t="shared" si="102"/>
        <v>0</v>
      </c>
      <c r="ED49" s="118">
        <f t="shared" si="103"/>
        <v>0</v>
      </c>
      <c r="EE49" s="118">
        <f t="shared" si="104"/>
        <v>0</v>
      </c>
      <c r="EF49" s="118">
        <f t="shared" si="105"/>
        <v>0</v>
      </c>
      <c r="EG49" s="118">
        <f t="shared" si="106"/>
        <v>0</v>
      </c>
      <c r="EH49" s="118">
        <f t="shared" si="107"/>
        <v>0</v>
      </c>
      <c r="EI49" s="118">
        <f t="shared" si="108"/>
        <v>0</v>
      </c>
      <c r="EJ49" s="118">
        <f t="shared" si="109"/>
        <v>0</v>
      </c>
      <c r="EK49" s="118">
        <f t="shared" si="110"/>
        <v>0</v>
      </c>
      <c r="EL49" s="118">
        <f t="shared" si="111"/>
        <v>0</v>
      </c>
      <c r="EM49" s="118">
        <f t="shared" si="112"/>
        <v>0</v>
      </c>
      <c r="EN49" s="118">
        <f t="shared" si="113"/>
        <v>0</v>
      </c>
      <c r="EO49" s="118">
        <f t="shared" si="114"/>
        <v>0</v>
      </c>
      <c r="EP49" s="118">
        <f t="shared" si="115"/>
        <v>0</v>
      </c>
      <c r="EQ49" s="118">
        <f t="shared" si="116"/>
        <v>0</v>
      </c>
      <c r="ER49" s="118">
        <f t="shared" si="117"/>
        <v>0</v>
      </c>
      <c r="ES49" s="119"/>
      <c r="ET49" s="143">
        <f t="shared" si="118"/>
        <v>0</v>
      </c>
      <c r="EU49" s="72"/>
      <c r="EV49" s="117">
        <f t="shared" si="119"/>
        <v>2662.5117749999999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0"/>
        <v>0</v>
      </c>
      <c r="GG49" s="118">
        <f t="shared" si="121"/>
        <v>0</v>
      </c>
      <c r="GH49" s="118">
        <f t="shared" si="122"/>
        <v>0</v>
      </c>
      <c r="GI49" s="118">
        <f t="shared" si="123"/>
        <v>0</v>
      </c>
      <c r="GJ49" s="119"/>
      <c r="GK49" s="143">
        <f t="shared" ca="1" si="124"/>
        <v>0</v>
      </c>
    </row>
    <row r="50" spans="1:193">
      <c r="A50" s="515" t="s">
        <v>401</v>
      </c>
      <c r="B50" s="144"/>
      <c r="C50" s="200"/>
      <c r="D50" s="201"/>
      <c r="E50" s="534">
        <f t="shared" si="0"/>
        <v>0</v>
      </c>
      <c r="F50" s="535">
        <f t="shared" si="77"/>
        <v>0</v>
      </c>
      <c r="G50" s="202" t="str">
        <f t="shared" si="125"/>
        <v/>
      </c>
      <c r="H50" s="544">
        <f t="shared" si="58"/>
        <v>0</v>
      </c>
      <c r="I50" s="545">
        <f t="shared" si="3"/>
        <v>0</v>
      </c>
      <c r="J50" s="62"/>
      <c r="K50" s="769" t="s">
        <v>456</v>
      </c>
      <c r="L50" s="743"/>
      <c r="M50" s="744"/>
      <c r="N50" s="163">
        <f ca="1">N49-TODAY()-N44</f>
        <v>22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6">
        <f t="shared" si="11"/>
        <v>0</v>
      </c>
      <c r="AY50" s="217">
        <f t="shared" si="12"/>
        <v>0</v>
      </c>
      <c r="AZ50" s="148" t="s">
        <v>402</v>
      </c>
      <c r="BA50" s="112"/>
      <c r="BB50" s="129"/>
      <c r="BC50" s="115"/>
      <c r="BD50" s="218">
        <f t="shared" si="13"/>
        <v>0</v>
      </c>
      <c r="BE50" s="220">
        <f t="shared" si="14"/>
        <v>0</v>
      </c>
      <c r="BF50" s="149" t="s">
        <v>403</v>
      </c>
      <c r="BG50" s="112"/>
      <c r="BH50" s="115"/>
      <c r="BI50" s="221">
        <f t="shared" si="15"/>
        <v>0</v>
      </c>
      <c r="BJ50" s="222">
        <f t="shared" si="16"/>
        <v>0</v>
      </c>
      <c r="DE50" s="117">
        <f t="shared" si="78"/>
        <v>2744.8575000000001</v>
      </c>
      <c r="DF50" s="118">
        <f t="shared" si="79"/>
        <v>0</v>
      </c>
      <c r="DG50" s="118">
        <f t="shared" si="80"/>
        <v>0</v>
      </c>
      <c r="DH50" s="118">
        <f t="shared" si="81"/>
        <v>0</v>
      </c>
      <c r="DI50" s="118">
        <f t="shared" si="82"/>
        <v>0</v>
      </c>
      <c r="DJ50" s="118">
        <f t="shared" si="83"/>
        <v>0</v>
      </c>
      <c r="DK50" s="118">
        <f t="shared" si="84"/>
        <v>0</v>
      </c>
      <c r="DL50" s="118">
        <f t="shared" si="85"/>
        <v>0</v>
      </c>
      <c r="DM50" s="118">
        <f t="shared" si="86"/>
        <v>0</v>
      </c>
      <c r="DN50" s="118">
        <f t="shared" si="87"/>
        <v>0</v>
      </c>
      <c r="DO50" s="118">
        <f t="shared" si="88"/>
        <v>0</v>
      </c>
      <c r="DP50" s="118">
        <f t="shared" si="89"/>
        <v>0</v>
      </c>
      <c r="DQ50" s="118">
        <f t="shared" si="90"/>
        <v>0</v>
      </c>
      <c r="DR50" s="118">
        <f t="shared" si="91"/>
        <v>0</v>
      </c>
      <c r="DS50" s="118">
        <f t="shared" si="92"/>
        <v>0</v>
      </c>
      <c r="DT50" s="118">
        <f t="shared" si="93"/>
        <v>0</v>
      </c>
      <c r="DU50" s="118">
        <f t="shared" si="94"/>
        <v>0</v>
      </c>
      <c r="DV50" s="118">
        <f t="shared" si="95"/>
        <v>0</v>
      </c>
      <c r="DW50" s="118">
        <f t="shared" si="96"/>
        <v>0</v>
      </c>
      <c r="DX50" s="118">
        <f t="shared" si="97"/>
        <v>0</v>
      </c>
      <c r="DY50" s="118">
        <f t="shared" si="98"/>
        <v>0</v>
      </c>
      <c r="DZ50" s="118">
        <f t="shared" si="99"/>
        <v>0</v>
      </c>
      <c r="EA50" s="118">
        <f t="shared" si="100"/>
        <v>0</v>
      </c>
      <c r="EB50" s="118">
        <f t="shared" si="101"/>
        <v>0</v>
      </c>
      <c r="EC50" s="118">
        <f t="shared" si="102"/>
        <v>0</v>
      </c>
      <c r="ED50" s="118">
        <f t="shared" si="103"/>
        <v>0</v>
      </c>
      <c r="EE50" s="118">
        <f t="shared" si="104"/>
        <v>0</v>
      </c>
      <c r="EF50" s="118">
        <f t="shared" si="105"/>
        <v>0</v>
      </c>
      <c r="EG50" s="118">
        <f t="shared" si="106"/>
        <v>0</v>
      </c>
      <c r="EH50" s="118">
        <f t="shared" si="107"/>
        <v>0</v>
      </c>
      <c r="EI50" s="118">
        <f t="shared" si="108"/>
        <v>0</v>
      </c>
      <c r="EJ50" s="118">
        <f t="shared" si="109"/>
        <v>0</v>
      </c>
      <c r="EK50" s="118">
        <f t="shared" si="110"/>
        <v>0</v>
      </c>
      <c r="EL50" s="118">
        <f t="shared" si="111"/>
        <v>0</v>
      </c>
      <c r="EM50" s="118">
        <f t="shared" si="112"/>
        <v>0</v>
      </c>
      <c r="EN50" s="118">
        <f t="shared" si="113"/>
        <v>0</v>
      </c>
      <c r="EO50" s="118">
        <f t="shared" si="114"/>
        <v>0</v>
      </c>
      <c r="EP50" s="118">
        <f t="shared" si="115"/>
        <v>0</v>
      </c>
      <c r="EQ50" s="118">
        <f t="shared" si="116"/>
        <v>0</v>
      </c>
      <c r="ER50" s="118">
        <f t="shared" si="117"/>
        <v>0</v>
      </c>
      <c r="ES50" s="119"/>
      <c r="ET50" s="143">
        <f t="shared" si="118"/>
        <v>0</v>
      </c>
      <c r="EU50" s="72"/>
      <c r="EV50" s="117">
        <f t="shared" si="119"/>
        <v>2744.8575000000001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0"/>
        <v>0</v>
      </c>
      <c r="GG50" s="118">
        <f t="shared" si="121"/>
        <v>0</v>
      </c>
      <c r="GH50" s="118">
        <f t="shared" si="122"/>
        <v>0</v>
      </c>
      <c r="GI50" s="118">
        <f t="shared" si="123"/>
        <v>0</v>
      </c>
      <c r="GJ50" s="119"/>
      <c r="GK50" s="143">
        <f t="shared" ca="1" si="124"/>
        <v>0</v>
      </c>
    </row>
    <row r="51" spans="1:193">
      <c r="A51" s="515" t="s">
        <v>401</v>
      </c>
      <c r="B51" s="144"/>
      <c r="C51" s="200"/>
      <c r="D51" s="201"/>
      <c r="E51" s="534">
        <f t="shared" si="0"/>
        <v>0</v>
      </c>
      <c r="F51" s="535">
        <f t="shared" si="77"/>
        <v>0</v>
      </c>
      <c r="G51" s="202" t="str">
        <f t="shared" si="125"/>
        <v/>
      </c>
      <c r="H51" s="544">
        <f t="shared" si="58"/>
        <v>0</v>
      </c>
      <c r="I51" s="545">
        <f t="shared" si="3"/>
        <v>0</v>
      </c>
      <c r="J51" s="62"/>
      <c r="K51" s="769" t="s">
        <v>457</v>
      </c>
      <c r="L51" s="743"/>
      <c r="M51" s="744"/>
      <c r="N51" s="164">
        <f ca="1">N50/365</f>
        <v>6.0273972602739728E-2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6">
        <f t="shared" si="11"/>
        <v>0</v>
      </c>
      <c r="AY51" s="217">
        <f t="shared" si="12"/>
        <v>0</v>
      </c>
      <c r="AZ51" s="148" t="s">
        <v>402</v>
      </c>
      <c r="BA51" s="112"/>
      <c r="BB51" s="129"/>
      <c r="BC51" s="115"/>
      <c r="BD51" s="218">
        <f t="shared" si="13"/>
        <v>0</v>
      </c>
      <c r="BE51" s="220">
        <f t="shared" si="14"/>
        <v>0</v>
      </c>
      <c r="BF51" s="149" t="s">
        <v>403</v>
      </c>
      <c r="BG51" s="112"/>
      <c r="BH51" s="115"/>
      <c r="BI51" s="221">
        <f t="shared" si="15"/>
        <v>0</v>
      </c>
      <c r="BJ51" s="222">
        <f t="shared" si="16"/>
        <v>0</v>
      </c>
      <c r="DE51" s="117">
        <f t="shared" si="78"/>
        <v>2829.75</v>
      </c>
      <c r="DF51" s="118">
        <f t="shared" si="79"/>
        <v>0</v>
      </c>
      <c r="DG51" s="118">
        <f t="shared" si="80"/>
        <v>0</v>
      </c>
      <c r="DH51" s="118">
        <f t="shared" si="81"/>
        <v>0</v>
      </c>
      <c r="DI51" s="118">
        <f t="shared" si="82"/>
        <v>0</v>
      </c>
      <c r="DJ51" s="118">
        <f t="shared" si="83"/>
        <v>0</v>
      </c>
      <c r="DK51" s="118">
        <f t="shared" si="84"/>
        <v>0</v>
      </c>
      <c r="DL51" s="118">
        <f t="shared" si="85"/>
        <v>0</v>
      </c>
      <c r="DM51" s="118">
        <f t="shared" si="86"/>
        <v>0</v>
      </c>
      <c r="DN51" s="118">
        <f t="shared" si="87"/>
        <v>0</v>
      </c>
      <c r="DO51" s="118">
        <f t="shared" si="88"/>
        <v>0</v>
      </c>
      <c r="DP51" s="118">
        <f t="shared" si="89"/>
        <v>0</v>
      </c>
      <c r="DQ51" s="118">
        <f t="shared" si="90"/>
        <v>0</v>
      </c>
      <c r="DR51" s="118">
        <f t="shared" si="91"/>
        <v>0</v>
      </c>
      <c r="DS51" s="118">
        <f t="shared" si="92"/>
        <v>0</v>
      </c>
      <c r="DT51" s="118">
        <f t="shared" si="93"/>
        <v>0</v>
      </c>
      <c r="DU51" s="118">
        <f t="shared" si="94"/>
        <v>0</v>
      </c>
      <c r="DV51" s="118">
        <f t="shared" si="95"/>
        <v>0</v>
      </c>
      <c r="DW51" s="118">
        <f t="shared" si="96"/>
        <v>0</v>
      </c>
      <c r="DX51" s="118">
        <f t="shared" si="97"/>
        <v>0</v>
      </c>
      <c r="DY51" s="118">
        <f t="shared" si="98"/>
        <v>0</v>
      </c>
      <c r="DZ51" s="118">
        <f t="shared" si="99"/>
        <v>0</v>
      </c>
      <c r="EA51" s="118">
        <f t="shared" si="100"/>
        <v>0</v>
      </c>
      <c r="EB51" s="118">
        <f t="shared" si="101"/>
        <v>0</v>
      </c>
      <c r="EC51" s="118">
        <f t="shared" si="102"/>
        <v>0</v>
      </c>
      <c r="ED51" s="118">
        <f t="shared" si="103"/>
        <v>0</v>
      </c>
      <c r="EE51" s="118">
        <f t="shared" si="104"/>
        <v>0</v>
      </c>
      <c r="EF51" s="118">
        <f t="shared" si="105"/>
        <v>0</v>
      </c>
      <c r="EG51" s="118">
        <f t="shared" si="106"/>
        <v>0</v>
      </c>
      <c r="EH51" s="118">
        <f t="shared" si="107"/>
        <v>0</v>
      </c>
      <c r="EI51" s="118">
        <f t="shared" si="108"/>
        <v>0</v>
      </c>
      <c r="EJ51" s="118">
        <f t="shared" si="109"/>
        <v>0</v>
      </c>
      <c r="EK51" s="118">
        <f t="shared" si="110"/>
        <v>0</v>
      </c>
      <c r="EL51" s="118">
        <f t="shared" si="111"/>
        <v>0</v>
      </c>
      <c r="EM51" s="118">
        <f t="shared" si="112"/>
        <v>0</v>
      </c>
      <c r="EN51" s="118">
        <f t="shared" si="113"/>
        <v>0</v>
      </c>
      <c r="EO51" s="118">
        <f t="shared" si="114"/>
        <v>0</v>
      </c>
      <c r="EP51" s="118">
        <f t="shared" si="115"/>
        <v>0</v>
      </c>
      <c r="EQ51" s="118">
        <f t="shared" si="116"/>
        <v>0</v>
      </c>
      <c r="ER51" s="118">
        <f t="shared" si="117"/>
        <v>0</v>
      </c>
      <c r="ES51" s="119"/>
      <c r="ET51" s="143">
        <f t="shared" si="118"/>
        <v>0</v>
      </c>
      <c r="EU51" s="72"/>
      <c r="EV51" s="117">
        <f t="shared" si="119"/>
        <v>2829.75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0"/>
        <v>0</v>
      </c>
      <c r="GG51" s="118">
        <f t="shared" si="121"/>
        <v>0</v>
      </c>
      <c r="GH51" s="118">
        <f t="shared" si="122"/>
        <v>0</v>
      </c>
      <c r="GI51" s="118">
        <f t="shared" si="123"/>
        <v>0</v>
      </c>
      <c r="GJ51" s="119"/>
      <c r="GK51" s="143">
        <f t="shared" ca="1" si="124"/>
        <v>0</v>
      </c>
    </row>
    <row r="52" spans="1:193">
      <c r="A52" s="515" t="s">
        <v>401</v>
      </c>
      <c r="B52" s="144"/>
      <c r="C52" s="200"/>
      <c r="D52" s="201"/>
      <c r="E52" s="534">
        <f t="shared" si="0"/>
        <v>0</v>
      </c>
      <c r="F52" s="535">
        <f t="shared" si="77"/>
        <v>0</v>
      </c>
      <c r="G52" s="202" t="str">
        <f t="shared" si="125"/>
        <v/>
      </c>
      <c r="H52" s="544">
        <f t="shared" si="58"/>
        <v>0</v>
      </c>
      <c r="I52" s="545">
        <f t="shared" si="3"/>
        <v>0</v>
      </c>
      <c r="J52" s="62"/>
      <c r="K52" s="745" t="s">
        <v>0</v>
      </c>
      <c r="L52" s="743"/>
      <c r="M52" s="744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6">
        <f t="shared" si="11"/>
        <v>0</v>
      </c>
      <c r="AY52" s="217">
        <f t="shared" si="12"/>
        <v>0</v>
      </c>
      <c r="AZ52" s="148" t="s">
        <v>402</v>
      </c>
      <c r="BA52" s="112"/>
      <c r="BB52" s="129"/>
      <c r="BC52" s="115"/>
      <c r="BD52" s="218">
        <f t="shared" si="13"/>
        <v>0</v>
      </c>
      <c r="BE52" s="220">
        <f t="shared" si="14"/>
        <v>0</v>
      </c>
      <c r="BF52" s="149" t="s">
        <v>403</v>
      </c>
      <c r="BG52" s="112"/>
      <c r="BH52" s="115"/>
      <c r="BI52" s="221">
        <f t="shared" si="15"/>
        <v>0</v>
      </c>
      <c r="BJ52" s="222">
        <f t="shared" si="16"/>
        <v>0</v>
      </c>
      <c r="DE52" s="117">
        <f t="shared" si="78"/>
        <v>2914.6424999999999</v>
      </c>
      <c r="DF52" s="118">
        <f t="shared" si="79"/>
        <v>0</v>
      </c>
      <c r="DG52" s="118">
        <f t="shared" si="80"/>
        <v>0</v>
      </c>
      <c r="DH52" s="118">
        <f t="shared" si="81"/>
        <v>0</v>
      </c>
      <c r="DI52" s="118">
        <f t="shared" si="82"/>
        <v>0</v>
      </c>
      <c r="DJ52" s="118">
        <f t="shared" si="83"/>
        <v>0</v>
      </c>
      <c r="DK52" s="118">
        <f t="shared" si="84"/>
        <v>0</v>
      </c>
      <c r="DL52" s="118">
        <f t="shared" si="85"/>
        <v>0</v>
      </c>
      <c r="DM52" s="118">
        <f t="shared" si="86"/>
        <v>0</v>
      </c>
      <c r="DN52" s="118">
        <f t="shared" si="87"/>
        <v>0</v>
      </c>
      <c r="DO52" s="118">
        <f t="shared" si="88"/>
        <v>0</v>
      </c>
      <c r="DP52" s="118">
        <f t="shared" si="89"/>
        <v>0</v>
      </c>
      <c r="DQ52" s="118">
        <f t="shared" si="90"/>
        <v>0</v>
      </c>
      <c r="DR52" s="118">
        <f t="shared" si="91"/>
        <v>0</v>
      </c>
      <c r="DS52" s="118">
        <f t="shared" si="92"/>
        <v>0</v>
      </c>
      <c r="DT52" s="118">
        <f t="shared" si="93"/>
        <v>0</v>
      </c>
      <c r="DU52" s="118">
        <f t="shared" si="94"/>
        <v>0</v>
      </c>
      <c r="DV52" s="118">
        <f t="shared" si="95"/>
        <v>0</v>
      </c>
      <c r="DW52" s="118">
        <f t="shared" si="96"/>
        <v>0</v>
      </c>
      <c r="DX52" s="118">
        <f t="shared" si="97"/>
        <v>0</v>
      </c>
      <c r="DY52" s="118">
        <f t="shared" si="98"/>
        <v>0</v>
      </c>
      <c r="DZ52" s="118">
        <f t="shared" si="99"/>
        <v>0</v>
      </c>
      <c r="EA52" s="118">
        <f t="shared" si="100"/>
        <v>0</v>
      </c>
      <c r="EB52" s="118">
        <f t="shared" si="101"/>
        <v>0</v>
      </c>
      <c r="EC52" s="118">
        <f t="shared" si="102"/>
        <v>0</v>
      </c>
      <c r="ED52" s="118">
        <f t="shared" si="103"/>
        <v>0</v>
      </c>
      <c r="EE52" s="118">
        <f t="shared" si="104"/>
        <v>0</v>
      </c>
      <c r="EF52" s="118">
        <f t="shared" si="105"/>
        <v>0</v>
      </c>
      <c r="EG52" s="118">
        <f t="shared" si="106"/>
        <v>0</v>
      </c>
      <c r="EH52" s="118">
        <f t="shared" si="107"/>
        <v>0</v>
      </c>
      <c r="EI52" s="118">
        <f t="shared" si="108"/>
        <v>0</v>
      </c>
      <c r="EJ52" s="118">
        <f t="shared" si="109"/>
        <v>0</v>
      </c>
      <c r="EK52" s="118">
        <f t="shared" si="110"/>
        <v>0</v>
      </c>
      <c r="EL52" s="118">
        <f t="shared" si="111"/>
        <v>0</v>
      </c>
      <c r="EM52" s="118">
        <f t="shared" si="112"/>
        <v>0</v>
      </c>
      <c r="EN52" s="118">
        <f t="shared" si="113"/>
        <v>0</v>
      </c>
      <c r="EO52" s="118">
        <f t="shared" si="114"/>
        <v>0</v>
      </c>
      <c r="EP52" s="118">
        <f t="shared" si="115"/>
        <v>0</v>
      </c>
      <c r="EQ52" s="118">
        <f t="shared" si="116"/>
        <v>0</v>
      </c>
      <c r="ER52" s="118">
        <f t="shared" si="117"/>
        <v>0</v>
      </c>
      <c r="ES52" s="119"/>
      <c r="ET52" s="143">
        <f t="shared" si="118"/>
        <v>0</v>
      </c>
      <c r="EU52" s="72"/>
      <c r="EV52" s="117">
        <f t="shared" si="119"/>
        <v>2914.6424999999999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0"/>
        <v>0</v>
      </c>
      <c r="GG52" s="118">
        <f t="shared" si="121"/>
        <v>0</v>
      </c>
      <c r="GH52" s="118">
        <f t="shared" si="122"/>
        <v>0</v>
      </c>
      <c r="GI52" s="118">
        <f t="shared" si="123"/>
        <v>0</v>
      </c>
      <c r="GJ52" s="119"/>
      <c r="GK52" s="143">
        <f t="shared" ca="1" si="124"/>
        <v>0</v>
      </c>
    </row>
    <row r="53" spans="1:193">
      <c r="A53" s="515" t="s">
        <v>401</v>
      </c>
      <c r="B53" s="144"/>
      <c r="C53" s="200"/>
      <c r="D53" s="201"/>
      <c r="E53" s="534">
        <f t="shared" si="0"/>
        <v>0</v>
      </c>
      <c r="F53" s="535">
        <f t="shared" si="77"/>
        <v>0</v>
      </c>
      <c r="G53" s="202" t="str">
        <f t="shared" si="125"/>
        <v/>
      </c>
      <c r="H53" s="544">
        <f t="shared" si="58"/>
        <v>0</v>
      </c>
      <c r="I53" s="545">
        <f t="shared" si="3"/>
        <v>0</v>
      </c>
      <c r="J53" s="62"/>
      <c r="K53" s="761" t="s">
        <v>1</v>
      </c>
      <c r="L53" s="762"/>
      <c r="M53" s="763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6">
        <f t="shared" si="11"/>
        <v>0</v>
      </c>
      <c r="AY53" s="217">
        <f t="shared" si="12"/>
        <v>0</v>
      </c>
      <c r="AZ53" s="148" t="s">
        <v>402</v>
      </c>
      <c r="BA53" s="112"/>
      <c r="BB53" s="129"/>
      <c r="BC53" s="115"/>
      <c r="BD53" s="218">
        <f t="shared" si="13"/>
        <v>0</v>
      </c>
      <c r="BE53" s="220">
        <f t="shared" si="14"/>
        <v>0</v>
      </c>
      <c r="BF53" s="149" t="s">
        <v>403</v>
      </c>
      <c r="BG53" s="112"/>
      <c r="BH53" s="115"/>
      <c r="BI53" s="221">
        <f t="shared" si="15"/>
        <v>0</v>
      </c>
      <c r="BJ53" s="222">
        <f t="shared" si="16"/>
        <v>0</v>
      </c>
      <c r="DE53" s="117">
        <f t="shared" si="78"/>
        <v>3002.0817750000001</v>
      </c>
      <c r="DF53" s="118">
        <f t="shared" si="79"/>
        <v>0</v>
      </c>
      <c r="DG53" s="118">
        <f t="shared" si="80"/>
        <v>0</v>
      </c>
      <c r="DH53" s="118">
        <f t="shared" si="81"/>
        <v>0</v>
      </c>
      <c r="DI53" s="118">
        <f t="shared" si="82"/>
        <v>0</v>
      </c>
      <c r="DJ53" s="118">
        <f t="shared" si="83"/>
        <v>0</v>
      </c>
      <c r="DK53" s="118">
        <f t="shared" si="84"/>
        <v>0</v>
      </c>
      <c r="DL53" s="118">
        <f t="shared" si="85"/>
        <v>0</v>
      </c>
      <c r="DM53" s="118">
        <f t="shared" si="86"/>
        <v>0</v>
      </c>
      <c r="DN53" s="118">
        <f t="shared" si="87"/>
        <v>0</v>
      </c>
      <c r="DO53" s="118">
        <f t="shared" si="88"/>
        <v>0</v>
      </c>
      <c r="DP53" s="118">
        <f t="shared" si="89"/>
        <v>0</v>
      </c>
      <c r="DQ53" s="118">
        <f t="shared" si="90"/>
        <v>0</v>
      </c>
      <c r="DR53" s="118">
        <f t="shared" si="91"/>
        <v>0</v>
      </c>
      <c r="DS53" s="118">
        <f t="shared" si="92"/>
        <v>0</v>
      </c>
      <c r="DT53" s="118">
        <f t="shared" si="93"/>
        <v>0</v>
      </c>
      <c r="DU53" s="118">
        <f t="shared" si="94"/>
        <v>0</v>
      </c>
      <c r="DV53" s="118">
        <f t="shared" si="95"/>
        <v>0</v>
      </c>
      <c r="DW53" s="118">
        <f t="shared" si="96"/>
        <v>0</v>
      </c>
      <c r="DX53" s="118">
        <f t="shared" si="97"/>
        <v>0</v>
      </c>
      <c r="DY53" s="118">
        <f t="shared" si="98"/>
        <v>0</v>
      </c>
      <c r="DZ53" s="118">
        <f t="shared" si="99"/>
        <v>0</v>
      </c>
      <c r="EA53" s="118">
        <f t="shared" si="100"/>
        <v>0</v>
      </c>
      <c r="EB53" s="118">
        <f t="shared" si="101"/>
        <v>0</v>
      </c>
      <c r="EC53" s="118">
        <f t="shared" si="102"/>
        <v>0</v>
      </c>
      <c r="ED53" s="118">
        <f t="shared" si="103"/>
        <v>0</v>
      </c>
      <c r="EE53" s="118">
        <f t="shared" si="104"/>
        <v>0</v>
      </c>
      <c r="EF53" s="118">
        <f t="shared" si="105"/>
        <v>0</v>
      </c>
      <c r="EG53" s="118">
        <f t="shared" si="106"/>
        <v>0</v>
      </c>
      <c r="EH53" s="118">
        <f t="shared" si="107"/>
        <v>0</v>
      </c>
      <c r="EI53" s="118">
        <f t="shared" si="108"/>
        <v>0</v>
      </c>
      <c r="EJ53" s="118">
        <f t="shared" si="109"/>
        <v>0</v>
      </c>
      <c r="EK53" s="118">
        <f t="shared" si="110"/>
        <v>0</v>
      </c>
      <c r="EL53" s="118">
        <f t="shared" si="111"/>
        <v>0</v>
      </c>
      <c r="EM53" s="118">
        <f t="shared" si="112"/>
        <v>0</v>
      </c>
      <c r="EN53" s="118">
        <f t="shared" si="113"/>
        <v>0</v>
      </c>
      <c r="EO53" s="118">
        <f t="shared" si="114"/>
        <v>0</v>
      </c>
      <c r="EP53" s="118">
        <f t="shared" si="115"/>
        <v>0</v>
      </c>
      <c r="EQ53" s="118">
        <f t="shared" si="116"/>
        <v>0</v>
      </c>
      <c r="ER53" s="118">
        <f t="shared" si="117"/>
        <v>0</v>
      </c>
      <c r="ES53" s="119"/>
      <c r="ET53" s="143">
        <f t="shared" si="118"/>
        <v>0</v>
      </c>
      <c r="EU53" s="72"/>
      <c r="EV53" s="117">
        <f t="shared" si="119"/>
        <v>3002.0817750000001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0"/>
        <v>0</v>
      </c>
      <c r="GG53" s="118">
        <f t="shared" si="121"/>
        <v>0</v>
      </c>
      <c r="GH53" s="118">
        <f t="shared" si="122"/>
        <v>0</v>
      </c>
      <c r="GI53" s="118">
        <f t="shared" si="123"/>
        <v>0</v>
      </c>
      <c r="GJ53" s="119"/>
      <c r="GK53" s="143">
        <f t="shared" ca="1" si="124"/>
        <v>0</v>
      </c>
    </row>
    <row r="54" spans="1:193">
      <c r="A54" s="515" t="s">
        <v>401</v>
      </c>
      <c r="B54" s="144"/>
      <c r="C54" s="200"/>
      <c r="D54" s="201"/>
      <c r="E54" s="534">
        <f t="shared" si="0"/>
        <v>0</v>
      </c>
      <c r="F54" s="535">
        <f t="shared" si="77"/>
        <v>0</v>
      </c>
      <c r="G54" s="202" t="str">
        <f t="shared" si="125"/>
        <v/>
      </c>
      <c r="H54" s="544">
        <f t="shared" si="58"/>
        <v>0</v>
      </c>
      <c r="I54" s="545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6">
        <f t="shared" si="11"/>
        <v>0</v>
      </c>
      <c r="AY54" s="217">
        <f t="shared" si="12"/>
        <v>0</v>
      </c>
      <c r="AZ54" s="148" t="s">
        <v>402</v>
      </c>
      <c r="BA54" s="112"/>
      <c r="BB54" s="129"/>
      <c r="BC54" s="115"/>
      <c r="BD54" s="218">
        <f t="shared" si="13"/>
        <v>0</v>
      </c>
      <c r="BE54" s="220">
        <f t="shared" si="14"/>
        <v>0</v>
      </c>
      <c r="BF54" s="149" t="s">
        <v>403</v>
      </c>
      <c r="BG54" s="112"/>
      <c r="BH54" s="115"/>
      <c r="BI54" s="221">
        <f t="shared" si="15"/>
        <v>0</v>
      </c>
      <c r="BJ54" s="222">
        <f t="shared" si="16"/>
        <v>0</v>
      </c>
      <c r="DE54" s="117">
        <f t="shared" si="78"/>
        <v>3092.1442282500002</v>
      </c>
      <c r="DF54" s="118">
        <f t="shared" si="79"/>
        <v>0</v>
      </c>
      <c r="DG54" s="118">
        <f t="shared" si="80"/>
        <v>0</v>
      </c>
      <c r="DH54" s="118">
        <f t="shared" si="81"/>
        <v>0</v>
      </c>
      <c r="DI54" s="118">
        <f t="shared" si="82"/>
        <v>0</v>
      </c>
      <c r="DJ54" s="118">
        <f t="shared" si="83"/>
        <v>0</v>
      </c>
      <c r="DK54" s="118">
        <f t="shared" si="84"/>
        <v>0</v>
      </c>
      <c r="DL54" s="118">
        <f t="shared" si="85"/>
        <v>0</v>
      </c>
      <c r="DM54" s="118">
        <f t="shared" si="86"/>
        <v>0</v>
      </c>
      <c r="DN54" s="118">
        <f t="shared" si="87"/>
        <v>0</v>
      </c>
      <c r="DO54" s="118">
        <f t="shared" si="88"/>
        <v>0</v>
      </c>
      <c r="DP54" s="118">
        <f t="shared" si="89"/>
        <v>0</v>
      </c>
      <c r="DQ54" s="118">
        <f t="shared" si="90"/>
        <v>0</v>
      </c>
      <c r="DR54" s="118">
        <f t="shared" si="91"/>
        <v>0</v>
      </c>
      <c r="DS54" s="118">
        <f t="shared" si="92"/>
        <v>0</v>
      </c>
      <c r="DT54" s="118">
        <f t="shared" si="93"/>
        <v>0</v>
      </c>
      <c r="DU54" s="118">
        <f t="shared" si="94"/>
        <v>0</v>
      </c>
      <c r="DV54" s="118">
        <f t="shared" si="95"/>
        <v>0</v>
      </c>
      <c r="DW54" s="118">
        <f t="shared" si="96"/>
        <v>0</v>
      </c>
      <c r="DX54" s="118">
        <f t="shared" si="97"/>
        <v>0</v>
      </c>
      <c r="DY54" s="118">
        <f t="shared" si="98"/>
        <v>0</v>
      </c>
      <c r="DZ54" s="118">
        <f t="shared" si="99"/>
        <v>0</v>
      </c>
      <c r="EA54" s="118">
        <f t="shared" si="100"/>
        <v>0</v>
      </c>
      <c r="EB54" s="118">
        <f t="shared" si="101"/>
        <v>0</v>
      </c>
      <c r="EC54" s="118">
        <f t="shared" si="102"/>
        <v>0</v>
      </c>
      <c r="ED54" s="118">
        <f t="shared" si="103"/>
        <v>0</v>
      </c>
      <c r="EE54" s="118">
        <f t="shared" si="104"/>
        <v>0</v>
      </c>
      <c r="EF54" s="118">
        <f t="shared" si="105"/>
        <v>0</v>
      </c>
      <c r="EG54" s="118">
        <f t="shared" si="106"/>
        <v>0</v>
      </c>
      <c r="EH54" s="118">
        <f t="shared" si="107"/>
        <v>0</v>
      </c>
      <c r="EI54" s="118">
        <f t="shared" si="108"/>
        <v>0</v>
      </c>
      <c r="EJ54" s="118">
        <f t="shared" si="109"/>
        <v>0</v>
      </c>
      <c r="EK54" s="118">
        <f t="shared" si="110"/>
        <v>0</v>
      </c>
      <c r="EL54" s="118">
        <f t="shared" si="111"/>
        <v>0</v>
      </c>
      <c r="EM54" s="118">
        <f t="shared" si="112"/>
        <v>0</v>
      </c>
      <c r="EN54" s="118">
        <f t="shared" si="113"/>
        <v>0</v>
      </c>
      <c r="EO54" s="118">
        <f t="shared" si="114"/>
        <v>0</v>
      </c>
      <c r="EP54" s="118">
        <f t="shared" si="115"/>
        <v>0</v>
      </c>
      <c r="EQ54" s="118">
        <f t="shared" si="116"/>
        <v>0</v>
      </c>
      <c r="ER54" s="118">
        <f t="shared" si="117"/>
        <v>0</v>
      </c>
      <c r="ES54" s="119"/>
      <c r="ET54" s="143">
        <f t="shared" si="118"/>
        <v>0</v>
      </c>
      <c r="EU54" s="72"/>
      <c r="EV54" s="117">
        <f t="shared" si="119"/>
        <v>3092.1442282500002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0"/>
        <v>0</v>
      </c>
      <c r="GG54" s="118">
        <f t="shared" si="121"/>
        <v>0</v>
      </c>
      <c r="GH54" s="118">
        <f t="shared" si="122"/>
        <v>0</v>
      </c>
      <c r="GI54" s="118">
        <f t="shared" si="123"/>
        <v>0</v>
      </c>
      <c r="GJ54" s="119"/>
      <c r="GK54" s="143">
        <f t="shared" ca="1" si="124"/>
        <v>0</v>
      </c>
    </row>
    <row r="55" spans="1:193">
      <c r="A55" s="515" t="s">
        <v>401</v>
      </c>
      <c r="B55" s="144"/>
      <c r="C55" s="200"/>
      <c r="D55" s="201"/>
      <c r="E55" s="534">
        <f t="shared" si="0"/>
        <v>0</v>
      </c>
      <c r="F55" s="535">
        <f t="shared" si="77"/>
        <v>0</v>
      </c>
      <c r="G55" s="202" t="str">
        <f t="shared" si="125"/>
        <v/>
      </c>
      <c r="H55" s="544">
        <f t="shared" si="58"/>
        <v>0</v>
      </c>
      <c r="I55" s="545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6">
        <f t="shared" si="11"/>
        <v>0</v>
      </c>
      <c r="AY55" s="217">
        <f t="shared" si="12"/>
        <v>0</v>
      </c>
      <c r="AZ55" s="148" t="s">
        <v>402</v>
      </c>
      <c r="BA55" s="112"/>
      <c r="BB55" s="129"/>
      <c r="BC55" s="115"/>
      <c r="BD55" s="218">
        <f t="shared" si="13"/>
        <v>0</v>
      </c>
      <c r="BE55" s="220">
        <f t="shared" si="14"/>
        <v>0</v>
      </c>
      <c r="BF55" s="149" t="s">
        <v>403</v>
      </c>
      <c r="BG55" s="112"/>
      <c r="BH55" s="115"/>
      <c r="BI55" s="221">
        <f t="shared" si="15"/>
        <v>0</v>
      </c>
      <c r="BJ55" s="222">
        <f t="shared" si="16"/>
        <v>0</v>
      </c>
      <c r="DE55" s="117">
        <f t="shared" si="78"/>
        <v>3184.9085550975001</v>
      </c>
      <c r="DF55" s="118">
        <f t="shared" si="79"/>
        <v>0</v>
      </c>
      <c r="DG55" s="118">
        <f t="shared" si="80"/>
        <v>0</v>
      </c>
      <c r="DH55" s="118">
        <f t="shared" si="81"/>
        <v>0</v>
      </c>
      <c r="DI55" s="118">
        <f t="shared" si="82"/>
        <v>0</v>
      </c>
      <c r="DJ55" s="118">
        <f t="shared" si="83"/>
        <v>0</v>
      </c>
      <c r="DK55" s="118">
        <f t="shared" si="84"/>
        <v>0</v>
      </c>
      <c r="DL55" s="118">
        <f t="shared" si="85"/>
        <v>0</v>
      </c>
      <c r="DM55" s="118">
        <f t="shared" si="86"/>
        <v>0</v>
      </c>
      <c r="DN55" s="118">
        <f t="shared" si="87"/>
        <v>0</v>
      </c>
      <c r="DO55" s="118">
        <f t="shared" si="88"/>
        <v>0</v>
      </c>
      <c r="DP55" s="118">
        <f t="shared" si="89"/>
        <v>0</v>
      </c>
      <c r="DQ55" s="118">
        <f t="shared" si="90"/>
        <v>0</v>
      </c>
      <c r="DR55" s="118">
        <f t="shared" si="91"/>
        <v>0</v>
      </c>
      <c r="DS55" s="118">
        <f t="shared" si="92"/>
        <v>0</v>
      </c>
      <c r="DT55" s="118">
        <f t="shared" si="93"/>
        <v>0</v>
      </c>
      <c r="DU55" s="118">
        <f t="shared" si="94"/>
        <v>0</v>
      </c>
      <c r="DV55" s="118">
        <f t="shared" si="95"/>
        <v>0</v>
      </c>
      <c r="DW55" s="118">
        <f t="shared" si="96"/>
        <v>0</v>
      </c>
      <c r="DX55" s="118">
        <f t="shared" si="97"/>
        <v>0</v>
      </c>
      <c r="DY55" s="118">
        <f t="shared" si="98"/>
        <v>0</v>
      </c>
      <c r="DZ55" s="118">
        <f t="shared" si="99"/>
        <v>0</v>
      </c>
      <c r="EA55" s="118">
        <f t="shared" si="100"/>
        <v>0</v>
      </c>
      <c r="EB55" s="118">
        <f t="shared" si="101"/>
        <v>0</v>
      </c>
      <c r="EC55" s="118">
        <f t="shared" si="102"/>
        <v>0</v>
      </c>
      <c r="ED55" s="118">
        <f t="shared" si="103"/>
        <v>0</v>
      </c>
      <c r="EE55" s="118">
        <f t="shared" si="104"/>
        <v>0</v>
      </c>
      <c r="EF55" s="118">
        <f t="shared" si="105"/>
        <v>0</v>
      </c>
      <c r="EG55" s="118">
        <f t="shared" si="106"/>
        <v>0</v>
      </c>
      <c r="EH55" s="118">
        <f t="shared" si="107"/>
        <v>0</v>
      </c>
      <c r="EI55" s="118">
        <f t="shared" si="108"/>
        <v>0</v>
      </c>
      <c r="EJ55" s="118">
        <f t="shared" si="109"/>
        <v>0</v>
      </c>
      <c r="EK55" s="118">
        <f t="shared" si="110"/>
        <v>0</v>
      </c>
      <c r="EL55" s="118">
        <f t="shared" si="111"/>
        <v>0</v>
      </c>
      <c r="EM55" s="118">
        <f t="shared" si="112"/>
        <v>0</v>
      </c>
      <c r="EN55" s="118">
        <f t="shared" si="113"/>
        <v>0</v>
      </c>
      <c r="EO55" s="118">
        <f t="shared" si="114"/>
        <v>0</v>
      </c>
      <c r="EP55" s="118">
        <f t="shared" si="115"/>
        <v>0</v>
      </c>
      <c r="EQ55" s="118">
        <f t="shared" si="116"/>
        <v>0</v>
      </c>
      <c r="ER55" s="118">
        <f t="shared" si="117"/>
        <v>0</v>
      </c>
      <c r="ES55" s="119"/>
      <c r="ET55" s="143">
        <f t="shared" si="118"/>
        <v>0</v>
      </c>
      <c r="EU55" s="72"/>
      <c r="EV55" s="117">
        <f t="shared" si="119"/>
        <v>3184.9085550975001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0"/>
        <v>0</v>
      </c>
      <c r="GG55" s="118">
        <f t="shared" si="121"/>
        <v>0</v>
      </c>
      <c r="GH55" s="118">
        <f t="shared" si="122"/>
        <v>0</v>
      </c>
      <c r="GI55" s="118">
        <f t="shared" si="123"/>
        <v>0</v>
      </c>
      <c r="GJ55" s="119"/>
      <c r="GK55" s="143">
        <f t="shared" ca="1" si="124"/>
        <v>0</v>
      </c>
    </row>
    <row r="56" spans="1:193">
      <c r="A56" s="515" t="s">
        <v>401</v>
      </c>
      <c r="B56" s="144"/>
      <c r="C56" s="200"/>
      <c r="D56" s="201"/>
      <c r="E56" s="534">
        <f t="shared" si="0"/>
        <v>0</v>
      </c>
      <c r="F56" s="535">
        <f t="shared" si="77"/>
        <v>0</v>
      </c>
      <c r="G56" s="202" t="str">
        <f t="shared" si="125"/>
        <v/>
      </c>
      <c r="H56" s="544">
        <f t="shared" si="58"/>
        <v>0</v>
      </c>
      <c r="I56" s="545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6">
        <f t="shared" si="11"/>
        <v>0</v>
      </c>
      <c r="AY56" s="217">
        <f t="shared" si="12"/>
        <v>0</v>
      </c>
      <c r="AZ56" s="148" t="s">
        <v>402</v>
      </c>
      <c r="BA56" s="112"/>
      <c r="BB56" s="129"/>
      <c r="BC56" s="115"/>
      <c r="BD56" s="218">
        <f t="shared" si="13"/>
        <v>0</v>
      </c>
      <c r="BE56" s="220">
        <f t="shared" si="14"/>
        <v>0</v>
      </c>
      <c r="BF56" s="149" t="s">
        <v>403</v>
      </c>
      <c r="BG56" s="112"/>
      <c r="BH56" s="115"/>
      <c r="BI56" s="221">
        <f t="shared" si="15"/>
        <v>0</v>
      </c>
      <c r="BJ56" s="222">
        <f t="shared" si="16"/>
        <v>0</v>
      </c>
      <c r="DE56" s="117">
        <f t="shared" si="78"/>
        <v>3280.4558117504253</v>
      </c>
      <c r="DF56" s="118">
        <f t="shared" si="79"/>
        <v>0</v>
      </c>
      <c r="DG56" s="118">
        <f t="shared" si="80"/>
        <v>0</v>
      </c>
      <c r="DH56" s="118">
        <f t="shared" si="81"/>
        <v>0</v>
      </c>
      <c r="DI56" s="118">
        <f t="shared" si="82"/>
        <v>0</v>
      </c>
      <c r="DJ56" s="118">
        <f t="shared" si="83"/>
        <v>0</v>
      </c>
      <c r="DK56" s="118">
        <f t="shared" si="84"/>
        <v>0</v>
      </c>
      <c r="DL56" s="118">
        <f t="shared" si="85"/>
        <v>0</v>
      </c>
      <c r="DM56" s="118">
        <f t="shared" si="86"/>
        <v>0</v>
      </c>
      <c r="DN56" s="118">
        <f t="shared" si="87"/>
        <v>0</v>
      </c>
      <c r="DO56" s="118">
        <f t="shared" si="88"/>
        <v>0</v>
      </c>
      <c r="DP56" s="118">
        <f t="shared" si="89"/>
        <v>0</v>
      </c>
      <c r="DQ56" s="118">
        <f t="shared" si="90"/>
        <v>0</v>
      </c>
      <c r="DR56" s="118">
        <f t="shared" si="91"/>
        <v>0</v>
      </c>
      <c r="DS56" s="118">
        <f t="shared" si="92"/>
        <v>0</v>
      </c>
      <c r="DT56" s="118">
        <f t="shared" si="93"/>
        <v>0</v>
      </c>
      <c r="DU56" s="118">
        <f t="shared" si="94"/>
        <v>0</v>
      </c>
      <c r="DV56" s="118">
        <f t="shared" si="95"/>
        <v>0</v>
      </c>
      <c r="DW56" s="118">
        <f t="shared" si="96"/>
        <v>0</v>
      </c>
      <c r="DX56" s="118">
        <f t="shared" si="97"/>
        <v>0</v>
      </c>
      <c r="DY56" s="118">
        <f t="shared" si="98"/>
        <v>0</v>
      </c>
      <c r="DZ56" s="118">
        <f t="shared" si="99"/>
        <v>0</v>
      </c>
      <c r="EA56" s="118">
        <f t="shared" si="100"/>
        <v>0</v>
      </c>
      <c r="EB56" s="118">
        <f t="shared" si="101"/>
        <v>0</v>
      </c>
      <c r="EC56" s="118">
        <f t="shared" si="102"/>
        <v>0</v>
      </c>
      <c r="ED56" s="118">
        <f t="shared" si="103"/>
        <v>0</v>
      </c>
      <c r="EE56" s="118">
        <f t="shared" si="104"/>
        <v>0</v>
      </c>
      <c r="EF56" s="118">
        <f t="shared" si="105"/>
        <v>0</v>
      </c>
      <c r="EG56" s="118">
        <f t="shared" si="106"/>
        <v>0</v>
      </c>
      <c r="EH56" s="118">
        <f t="shared" si="107"/>
        <v>0</v>
      </c>
      <c r="EI56" s="118">
        <f t="shared" si="108"/>
        <v>0</v>
      </c>
      <c r="EJ56" s="118">
        <f t="shared" si="109"/>
        <v>0</v>
      </c>
      <c r="EK56" s="118">
        <f t="shared" si="110"/>
        <v>0</v>
      </c>
      <c r="EL56" s="118">
        <f t="shared" si="111"/>
        <v>0</v>
      </c>
      <c r="EM56" s="118">
        <f t="shared" si="112"/>
        <v>0</v>
      </c>
      <c r="EN56" s="118">
        <f t="shared" si="113"/>
        <v>0</v>
      </c>
      <c r="EO56" s="118">
        <f t="shared" si="114"/>
        <v>0</v>
      </c>
      <c r="EP56" s="118">
        <f t="shared" si="115"/>
        <v>0</v>
      </c>
      <c r="EQ56" s="118">
        <f t="shared" si="116"/>
        <v>0</v>
      </c>
      <c r="ER56" s="118">
        <f t="shared" si="117"/>
        <v>0</v>
      </c>
      <c r="ES56" s="119"/>
      <c r="ET56" s="143">
        <f t="shared" si="118"/>
        <v>0</v>
      </c>
      <c r="EU56" s="72"/>
      <c r="EV56" s="117">
        <f t="shared" si="119"/>
        <v>3280.4558117504253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0"/>
        <v>0</v>
      </c>
      <c r="GG56" s="118">
        <f t="shared" si="121"/>
        <v>0</v>
      </c>
      <c r="GH56" s="118">
        <f t="shared" si="122"/>
        <v>0</v>
      </c>
      <c r="GI56" s="118">
        <f t="shared" si="123"/>
        <v>0</v>
      </c>
      <c r="GJ56" s="119"/>
      <c r="GK56" s="143">
        <f t="shared" ca="1" si="124"/>
        <v>0</v>
      </c>
    </row>
    <row r="57" spans="1:193">
      <c r="A57" s="515" t="s">
        <v>401</v>
      </c>
      <c r="B57" s="144"/>
      <c r="C57" s="200"/>
      <c r="D57" s="201"/>
      <c r="E57" s="534">
        <f t="shared" si="0"/>
        <v>0</v>
      </c>
      <c r="F57" s="535">
        <f t="shared" si="77"/>
        <v>0</v>
      </c>
      <c r="G57" s="202" t="str">
        <f t="shared" si="125"/>
        <v/>
      </c>
      <c r="H57" s="544">
        <f t="shared" si="58"/>
        <v>0</v>
      </c>
      <c r="I57" s="545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6">
        <f t="shared" si="11"/>
        <v>0</v>
      </c>
      <c r="AY57" s="217">
        <f t="shared" si="12"/>
        <v>0</v>
      </c>
      <c r="AZ57" s="148" t="s">
        <v>402</v>
      </c>
      <c r="BA57" s="112"/>
      <c r="BB57" s="129"/>
      <c r="BC57" s="115"/>
      <c r="BD57" s="218">
        <f t="shared" si="13"/>
        <v>0</v>
      </c>
      <c r="BE57" s="220">
        <f t="shared" si="14"/>
        <v>0</v>
      </c>
      <c r="BF57" s="149" t="s">
        <v>403</v>
      </c>
      <c r="BG57" s="112"/>
      <c r="BH57" s="115"/>
      <c r="BI57" s="221">
        <f t="shared" si="15"/>
        <v>0</v>
      </c>
      <c r="BJ57" s="222">
        <f t="shared" si="16"/>
        <v>0</v>
      </c>
      <c r="DE57" s="117">
        <f t="shared" si="78"/>
        <v>3378.869486102938</v>
      </c>
      <c r="DF57" s="118">
        <f t="shared" si="79"/>
        <v>0</v>
      </c>
      <c r="DG57" s="118">
        <f t="shared" si="80"/>
        <v>0</v>
      </c>
      <c r="DH57" s="118">
        <f t="shared" si="81"/>
        <v>0</v>
      </c>
      <c r="DI57" s="118">
        <f t="shared" si="82"/>
        <v>0</v>
      </c>
      <c r="DJ57" s="118">
        <f t="shared" si="83"/>
        <v>0</v>
      </c>
      <c r="DK57" s="118">
        <f t="shared" si="84"/>
        <v>0</v>
      </c>
      <c r="DL57" s="118">
        <f t="shared" si="85"/>
        <v>0</v>
      </c>
      <c r="DM57" s="118">
        <f t="shared" si="86"/>
        <v>0</v>
      </c>
      <c r="DN57" s="118">
        <f t="shared" si="87"/>
        <v>0</v>
      </c>
      <c r="DO57" s="118">
        <f t="shared" si="88"/>
        <v>0</v>
      </c>
      <c r="DP57" s="118">
        <f t="shared" si="89"/>
        <v>0</v>
      </c>
      <c r="DQ57" s="118">
        <f t="shared" si="90"/>
        <v>0</v>
      </c>
      <c r="DR57" s="118">
        <f t="shared" si="91"/>
        <v>0</v>
      </c>
      <c r="DS57" s="118">
        <f t="shared" si="92"/>
        <v>0</v>
      </c>
      <c r="DT57" s="118">
        <f t="shared" si="93"/>
        <v>0</v>
      </c>
      <c r="DU57" s="118">
        <f t="shared" si="94"/>
        <v>0</v>
      </c>
      <c r="DV57" s="118">
        <f t="shared" si="95"/>
        <v>0</v>
      </c>
      <c r="DW57" s="118">
        <f t="shared" si="96"/>
        <v>0</v>
      </c>
      <c r="DX57" s="118">
        <f t="shared" si="97"/>
        <v>0</v>
      </c>
      <c r="DY57" s="118">
        <f t="shared" si="98"/>
        <v>0</v>
      </c>
      <c r="DZ57" s="118">
        <f t="shared" si="99"/>
        <v>0</v>
      </c>
      <c r="EA57" s="118">
        <f t="shared" si="100"/>
        <v>0</v>
      </c>
      <c r="EB57" s="118">
        <f t="shared" si="101"/>
        <v>0</v>
      </c>
      <c r="EC57" s="118">
        <f t="shared" si="102"/>
        <v>0</v>
      </c>
      <c r="ED57" s="118">
        <f t="shared" si="103"/>
        <v>0</v>
      </c>
      <c r="EE57" s="118">
        <f t="shared" si="104"/>
        <v>0</v>
      </c>
      <c r="EF57" s="118">
        <f t="shared" si="105"/>
        <v>0</v>
      </c>
      <c r="EG57" s="118">
        <f t="shared" si="106"/>
        <v>0</v>
      </c>
      <c r="EH57" s="118">
        <f t="shared" si="107"/>
        <v>0</v>
      </c>
      <c r="EI57" s="118">
        <f t="shared" si="108"/>
        <v>0</v>
      </c>
      <c r="EJ57" s="118">
        <f t="shared" si="109"/>
        <v>0</v>
      </c>
      <c r="EK57" s="118">
        <f t="shared" si="110"/>
        <v>0</v>
      </c>
      <c r="EL57" s="118">
        <f t="shared" si="111"/>
        <v>0</v>
      </c>
      <c r="EM57" s="118">
        <f t="shared" si="112"/>
        <v>0</v>
      </c>
      <c r="EN57" s="118">
        <f t="shared" si="113"/>
        <v>0</v>
      </c>
      <c r="EO57" s="118">
        <f t="shared" si="114"/>
        <v>0</v>
      </c>
      <c r="EP57" s="118">
        <f t="shared" si="115"/>
        <v>0</v>
      </c>
      <c r="EQ57" s="118">
        <f t="shared" si="116"/>
        <v>0</v>
      </c>
      <c r="ER57" s="118">
        <f t="shared" si="117"/>
        <v>0</v>
      </c>
      <c r="ES57" s="119"/>
      <c r="ET57" s="143">
        <f t="shared" si="118"/>
        <v>0</v>
      </c>
      <c r="EU57" s="72"/>
      <c r="EV57" s="117">
        <f t="shared" si="119"/>
        <v>3378.869486102938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0"/>
        <v>0</v>
      </c>
      <c r="GG57" s="118">
        <f t="shared" si="121"/>
        <v>0</v>
      </c>
      <c r="GH57" s="118">
        <f t="shared" si="122"/>
        <v>0</v>
      </c>
      <c r="GI57" s="118">
        <f t="shared" si="123"/>
        <v>0</v>
      </c>
      <c r="GJ57" s="119"/>
      <c r="GK57" s="143">
        <f t="shared" ca="1" si="124"/>
        <v>0</v>
      </c>
    </row>
    <row r="58" spans="1:193">
      <c r="A58" s="515" t="s">
        <v>401</v>
      </c>
      <c r="B58" s="144"/>
      <c r="C58" s="200"/>
      <c r="D58" s="201"/>
      <c r="E58" s="534">
        <f t="shared" si="0"/>
        <v>0</v>
      </c>
      <c r="F58" s="535">
        <f t="shared" si="77"/>
        <v>0</v>
      </c>
      <c r="G58" s="202" t="str">
        <f t="shared" si="125"/>
        <v/>
      </c>
      <c r="H58" s="544">
        <f t="shared" si="58"/>
        <v>0</v>
      </c>
      <c r="I58" s="545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6">
        <f t="shared" si="11"/>
        <v>0</v>
      </c>
      <c r="AY58" s="217">
        <f t="shared" si="12"/>
        <v>0</v>
      </c>
      <c r="AZ58" s="148" t="s">
        <v>402</v>
      </c>
      <c r="BA58" s="112"/>
      <c r="BB58" s="129"/>
      <c r="BC58" s="115"/>
      <c r="BD58" s="218">
        <f t="shared" si="13"/>
        <v>0</v>
      </c>
      <c r="BE58" s="220">
        <f t="shared" si="14"/>
        <v>0</v>
      </c>
      <c r="BF58" s="149" t="s">
        <v>403</v>
      </c>
      <c r="BG58" s="112"/>
      <c r="BH58" s="115"/>
      <c r="BI58" s="221">
        <f t="shared" si="15"/>
        <v>0</v>
      </c>
      <c r="BJ58" s="222">
        <f t="shared" si="16"/>
        <v>0</v>
      </c>
      <c r="DE58" s="117">
        <f t="shared" si="78"/>
        <v>3480.2355706860262</v>
      </c>
      <c r="DF58" s="118">
        <f t="shared" si="79"/>
        <v>0</v>
      </c>
      <c r="DG58" s="118">
        <f t="shared" si="80"/>
        <v>0</v>
      </c>
      <c r="DH58" s="118">
        <f t="shared" si="81"/>
        <v>0</v>
      </c>
      <c r="DI58" s="118">
        <f t="shared" si="82"/>
        <v>0</v>
      </c>
      <c r="DJ58" s="118">
        <f t="shared" si="83"/>
        <v>0</v>
      </c>
      <c r="DK58" s="118">
        <f t="shared" si="84"/>
        <v>0</v>
      </c>
      <c r="DL58" s="118">
        <f t="shared" si="85"/>
        <v>0</v>
      </c>
      <c r="DM58" s="118">
        <f t="shared" si="86"/>
        <v>0</v>
      </c>
      <c r="DN58" s="118">
        <f t="shared" si="87"/>
        <v>0</v>
      </c>
      <c r="DO58" s="118">
        <f t="shared" si="88"/>
        <v>0</v>
      </c>
      <c r="DP58" s="118">
        <f t="shared" si="89"/>
        <v>0</v>
      </c>
      <c r="DQ58" s="118">
        <f t="shared" si="90"/>
        <v>0</v>
      </c>
      <c r="DR58" s="118">
        <f t="shared" si="91"/>
        <v>0</v>
      </c>
      <c r="DS58" s="118">
        <f t="shared" si="92"/>
        <v>0</v>
      </c>
      <c r="DT58" s="118">
        <f t="shared" si="93"/>
        <v>0</v>
      </c>
      <c r="DU58" s="118">
        <f t="shared" si="94"/>
        <v>0</v>
      </c>
      <c r="DV58" s="118">
        <f t="shared" si="95"/>
        <v>0</v>
      </c>
      <c r="DW58" s="118">
        <f t="shared" si="96"/>
        <v>0</v>
      </c>
      <c r="DX58" s="118">
        <f t="shared" si="97"/>
        <v>0</v>
      </c>
      <c r="DY58" s="118">
        <f t="shared" si="98"/>
        <v>0</v>
      </c>
      <c r="DZ58" s="118">
        <f t="shared" si="99"/>
        <v>0</v>
      </c>
      <c r="EA58" s="118">
        <f t="shared" si="100"/>
        <v>0</v>
      </c>
      <c r="EB58" s="118">
        <f t="shared" si="101"/>
        <v>0</v>
      </c>
      <c r="EC58" s="118">
        <f t="shared" si="102"/>
        <v>0</v>
      </c>
      <c r="ED58" s="118">
        <f t="shared" si="103"/>
        <v>0</v>
      </c>
      <c r="EE58" s="118">
        <f t="shared" si="104"/>
        <v>0</v>
      </c>
      <c r="EF58" s="118">
        <f t="shared" si="105"/>
        <v>0</v>
      </c>
      <c r="EG58" s="118">
        <f t="shared" si="106"/>
        <v>0</v>
      </c>
      <c r="EH58" s="118">
        <f t="shared" si="107"/>
        <v>0</v>
      </c>
      <c r="EI58" s="118">
        <f t="shared" si="108"/>
        <v>0</v>
      </c>
      <c r="EJ58" s="118">
        <f t="shared" si="109"/>
        <v>0</v>
      </c>
      <c r="EK58" s="118">
        <f t="shared" si="110"/>
        <v>0</v>
      </c>
      <c r="EL58" s="118">
        <f t="shared" si="111"/>
        <v>0</v>
      </c>
      <c r="EM58" s="118">
        <f t="shared" si="112"/>
        <v>0</v>
      </c>
      <c r="EN58" s="118">
        <f t="shared" si="113"/>
        <v>0</v>
      </c>
      <c r="EO58" s="118">
        <f t="shared" si="114"/>
        <v>0</v>
      </c>
      <c r="EP58" s="118">
        <f t="shared" si="115"/>
        <v>0</v>
      </c>
      <c r="EQ58" s="118">
        <f t="shared" si="116"/>
        <v>0</v>
      </c>
      <c r="ER58" s="118">
        <f t="shared" si="117"/>
        <v>0</v>
      </c>
      <c r="ES58" s="119"/>
      <c r="ET58" s="143">
        <f t="shared" si="118"/>
        <v>0</v>
      </c>
      <c r="EU58" s="72"/>
      <c r="EV58" s="117">
        <f t="shared" si="119"/>
        <v>3480.2355706860262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0"/>
        <v>0</v>
      </c>
      <c r="GG58" s="118">
        <f t="shared" si="121"/>
        <v>0</v>
      </c>
      <c r="GH58" s="118">
        <f t="shared" si="122"/>
        <v>0</v>
      </c>
      <c r="GI58" s="118">
        <f t="shared" si="123"/>
        <v>0</v>
      </c>
      <c r="GJ58" s="119"/>
      <c r="GK58" s="143">
        <f t="shared" ca="1" si="124"/>
        <v>0</v>
      </c>
    </row>
    <row r="59" spans="1:193">
      <c r="A59" s="515" t="s">
        <v>401</v>
      </c>
      <c r="B59" s="144"/>
      <c r="C59" s="200"/>
      <c r="D59" s="201"/>
      <c r="E59" s="534">
        <f t="shared" si="0"/>
        <v>0</v>
      </c>
      <c r="F59" s="535">
        <f t="shared" si="77"/>
        <v>0</v>
      </c>
      <c r="G59" s="202" t="str">
        <f t="shared" si="125"/>
        <v/>
      </c>
      <c r="H59" s="544">
        <f t="shared" si="58"/>
        <v>0</v>
      </c>
      <c r="I59" s="545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6">
        <f t="shared" si="11"/>
        <v>0</v>
      </c>
      <c r="AY59" s="217">
        <f t="shared" si="12"/>
        <v>0</v>
      </c>
      <c r="AZ59" s="148" t="s">
        <v>402</v>
      </c>
      <c r="BA59" s="112"/>
      <c r="BB59" s="129"/>
      <c r="BC59" s="115"/>
      <c r="BD59" s="218">
        <f t="shared" si="13"/>
        <v>0</v>
      </c>
      <c r="BE59" s="220">
        <f t="shared" si="14"/>
        <v>0</v>
      </c>
      <c r="BF59" s="149" t="s">
        <v>403</v>
      </c>
      <c r="BG59" s="112"/>
      <c r="BH59" s="115"/>
      <c r="BI59" s="221">
        <f t="shared" si="15"/>
        <v>0</v>
      </c>
      <c r="BJ59" s="222">
        <f t="shared" si="16"/>
        <v>0</v>
      </c>
      <c r="DE59" s="117">
        <f t="shared" si="78"/>
        <v>3584.6426378066071</v>
      </c>
      <c r="DF59" s="118">
        <f t="shared" si="79"/>
        <v>0</v>
      </c>
      <c r="DG59" s="118">
        <f t="shared" si="80"/>
        <v>0</v>
      </c>
      <c r="DH59" s="118">
        <f t="shared" si="81"/>
        <v>0</v>
      </c>
      <c r="DI59" s="118">
        <f t="shared" si="82"/>
        <v>0</v>
      </c>
      <c r="DJ59" s="118">
        <f t="shared" si="83"/>
        <v>0</v>
      </c>
      <c r="DK59" s="118">
        <f t="shared" si="84"/>
        <v>0</v>
      </c>
      <c r="DL59" s="118">
        <f t="shared" si="85"/>
        <v>0</v>
      </c>
      <c r="DM59" s="118">
        <f t="shared" si="86"/>
        <v>0</v>
      </c>
      <c r="DN59" s="118">
        <f t="shared" si="87"/>
        <v>0</v>
      </c>
      <c r="DO59" s="118">
        <f t="shared" si="88"/>
        <v>0</v>
      </c>
      <c r="DP59" s="118">
        <f t="shared" si="89"/>
        <v>0</v>
      </c>
      <c r="DQ59" s="118">
        <f t="shared" si="90"/>
        <v>0</v>
      </c>
      <c r="DR59" s="118">
        <f t="shared" si="91"/>
        <v>0</v>
      </c>
      <c r="DS59" s="118">
        <f t="shared" si="92"/>
        <v>0</v>
      </c>
      <c r="DT59" s="118">
        <f t="shared" si="93"/>
        <v>0</v>
      </c>
      <c r="DU59" s="118">
        <f t="shared" si="94"/>
        <v>0</v>
      </c>
      <c r="DV59" s="118">
        <f t="shared" si="95"/>
        <v>0</v>
      </c>
      <c r="DW59" s="118">
        <f t="shared" si="96"/>
        <v>0</v>
      </c>
      <c r="DX59" s="118">
        <f t="shared" si="97"/>
        <v>0</v>
      </c>
      <c r="DY59" s="118">
        <f t="shared" si="98"/>
        <v>0</v>
      </c>
      <c r="DZ59" s="118">
        <f t="shared" si="99"/>
        <v>0</v>
      </c>
      <c r="EA59" s="118">
        <f t="shared" si="100"/>
        <v>0</v>
      </c>
      <c r="EB59" s="118">
        <f t="shared" si="101"/>
        <v>0</v>
      </c>
      <c r="EC59" s="118">
        <f t="shared" si="102"/>
        <v>0</v>
      </c>
      <c r="ED59" s="118">
        <f t="shared" si="103"/>
        <v>0</v>
      </c>
      <c r="EE59" s="118">
        <f t="shared" si="104"/>
        <v>0</v>
      </c>
      <c r="EF59" s="118">
        <f t="shared" si="105"/>
        <v>0</v>
      </c>
      <c r="EG59" s="118">
        <f t="shared" si="106"/>
        <v>0</v>
      </c>
      <c r="EH59" s="118">
        <f t="shared" si="107"/>
        <v>0</v>
      </c>
      <c r="EI59" s="118">
        <f t="shared" si="108"/>
        <v>0</v>
      </c>
      <c r="EJ59" s="118">
        <f t="shared" si="109"/>
        <v>0</v>
      </c>
      <c r="EK59" s="118">
        <f t="shared" si="110"/>
        <v>0</v>
      </c>
      <c r="EL59" s="118">
        <f t="shared" si="111"/>
        <v>0</v>
      </c>
      <c r="EM59" s="118">
        <f t="shared" si="112"/>
        <v>0</v>
      </c>
      <c r="EN59" s="118">
        <f t="shared" si="113"/>
        <v>0</v>
      </c>
      <c r="EO59" s="118">
        <f t="shared" si="114"/>
        <v>0</v>
      </c>
      <c r="EP59" s="118">
        <f t="shared" si="115"/>
        <v>0</v>
      </c>
      <c r="EQ59" s="118">
        <f t="shared" si="116"/>
        <v>0</v>
      </c>
      <c r="ER59" s="118">
        <f t="shared" si="117"/>
        <v>0</v>
      </c>
      <c r="ES59" s="119"/>
      <c r="ET59" s="143">
        <f t="shared" si="118"/>
        <v>0</v>
      </c>
      <c r="EU59" s="72"/>
      <c r="EV59" s="117">
        <f t="shared" si="119"/>
        <v>3584.6426378066071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0"/>
        <v>0</v>
      </c>
      <c r="GG59" s="118">
        <f t="shared" si="121"/>
        <v>0</v>
      </c>
      <c r="GH59" s="118">
        <f t="shared" si="122"/>
        <v>0</v>
      </c>
      <c r="GI59" s="118">
        <f t="shared" si="123"/>
        <v>0</v>
      </c>
      <c r="GJ59" s="119"/>
      <c r="GK59" s="143">
        <f t="shared" ca="1" si="124"/>
        <v>0</v>
      </c>
    </row>
    <row r="60" spans="1:193">
      <c r="A60" s="515" t="s">
        <v>401</v>
      </c>
      <c r="B60" s="144"/>
      <c r="C60" s="200"/>
      <c r="D60" s="201"/>
      <c r="E60" s="534">
        <f t="shared" si="0"/>
        <v>0</v>
      </c>
      <c r="F60" s="535">
        <f t="shared" si="77"/>
        <v>0</v>
      </c>
      <c r="G60" s="202" t="str">
        <f t="shared" si="125"/>
        <v/>
      </c>
      <c r="H60" s="544">
        <f t="shared" si="58"/>
        <v>0</v>
      </c>
      <c r="I60" s="545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6">
        <f t="shared" si="11"/>
        <v>0</v>
      </c>
      <c r="AY60" s="217">
        <f t="shared" si="12"/>
        <v>0</v>
      </c>
      <c r="AZ60" s="148" t="s">
        <v>402</v>
      </c>
      <c r="BA60" s="112"/>
      <c r="BB60" s="129"/>
      <c r="BC60" s="115"/>
      <c r="BD60" s="218">
        <f t="shared" si="13"/>
        <v>0</v>
      </c>
      <c r="BE60" s="220">
        <f t="shared" si="14"/>
        <v>0</v>
      </c>
      <c r="BF60" s="149" t="s">
        <v>403</v>
      </c>
      <c r="BG60" s="112"/>
      <c r="BH60" s="115"/>
      <c r="BI60" s="221">
        <f t="shared" si="15"/>
        <v>0</v>
      </c>
      <c r="BJ60" s="222">
        <f t="shared" si="16"/>
        <v>0</v>
      </c>
      <c r="DE60" s="117">
        <f t="shared" si="78"/>
        <v>3692.1819169408054</v>
      </c>
      <c r="DF60" s="118">
        <f t="shared" si="79"/>
        <v>0</v>
      </c>
      <c r="DG60" s="118">
        <f t="shared" si="80"/>
        <v>0</v>
      </c>
      <c r="DH60" s="118">
        <f t="shared" si="81"/>
        <v>0</v>
      </c>
      <c r="DI60" s="118">
        <f t="shared" si="82"/>
        <v>0</v>
      </c>
      <c r="DJ60" s="118">
        <f t="shared" si="83"/>
        <v>0</v>
      </c>
      <c r="DK60" s="118">
        <f t="shared" si="84"/>
        <v>0</v>
      </c>
      <c r="DL60" s="118">
        <f t="shared" si="85"/>
        <v>0</v>
      </c>
      <c r="DM60" s="118">
        <f t="shared" si="86"/>
        <v>0</v>
      </c>
      <c r="DN60" s="118">
        <f t="shared" si="87"/>
        <v>0</v>
      </c>
      <c r="DO60" s="118">
        <f t="shared" si="88"/>
        <v>0</v>
      </c>
      <c r="DP60" s="118">
        <f t="shared" si="89"/>
        <v>0</v>
      </c>
      <c r="DQ60" s="118">
        <f t="shared" si="90"/>
        <v>0</v>
      </c>
      <c r="DR60" s="118">
        <f t="shared" si="91"/>
        <v>0</v>
      </c>
      <c r="DS60" s="118">
        <f t="shared" si="92"/>
        <v>0</v>
      </c>
      <c r="DT60" s="118">
        <f t="shared" si="93"/>
        <v>0</v>
      </c>
      <c r="DU60" s="118">
        <f t="shared" si="94"/>
        <v>0</v>
      </c>
      <c r="DV60" s="118">
        <f t="shared" si="95"/>
        <v>0</v>
      </c>
      <c r="DW60" s="118">
        <f t="shared" si="96"/>
        <v>0</v>
      </c>
      <c r="DX60" s="118">
        <f t="shared" si="97"/>
        <v>0</v>
      </c>
      <c r="DY60" s="118">
        <f t="shared" si="98"/>
        <v>0</v>
      </c>
      <c r="DZ60" s="118">
        <f t="shared" si="99"/>
        <v>0</v>
      </c>
      <c r="EA60" s="118">
        <f t="shared" si="100"/>
        <v>0</v>
      </c>
      <c r="EB60" s="118">
        <f t="shared" si="101"/>
        <v>0</v>
      </c>
      <c r="EC60" s="118">
        <f t="shared" si="102"/>
        <v>0</v>
      </c>
      <c r="ED60" s="118">
        <f t="shared" si="103"/>
        <v>0</v>
      </c>
      <c r="EE60" s="118">
        <f t="shared" si="104"/>
        <v>0</v>
      </c>
      <c r="EF60" s="118">
        <f t="shared" si="105"/>
        <v>0</v>
      </c>
      <c r="EG60" s="118">
        <f t="shared" si="106"/>
        <v>0</v>
      </c>
      <c r="EH60" s="118">
        <f t="shared" si="107"/>
        <v>0</v>
      </c>
      <c r="EI60" s="118">
        <f t="shared" si="108"/>
        <v>0</v>
      </c>
      <c r="EJ60" s="118">
        <f t="shared" si="109"/>
        <v>0</v>
      </c>
      <c r="EK60" s="118">
        <f t="shared" si="110"/>
        <v>0</v>
      </c>
      <c r="EL60" s="118">
        <f t="shared" si="111"/>
        <v>0</v>
      </c>
      <c r="EM60" s="118">
        <f t="shared" si="112"/>
        <v>0</v>
      </c>
      <c r="EN60" s="118">
        <f t="shared" si="113"/>
        <v>0</v>
      </c>
      <c r="EO60" s="118">
        <f t="shared" si="114"/>
        <v>0</v>
      </c>
      <c r="EP60" s="118">
        <f t="shared" si="115"/>
        <v>0</v>
      </c>
      <c r="EQ60" s="118">
        <f t="shared" si="116"/>
        <v>0</v>
      </c>
      <c r="ER60" s="118">
        <f t="shared" si="117"/>
        <v>0</v>
      </c>
      <c r="ES60" s="119"/>
      <c r="ET60" s="143">
        <f t="shared" si="118"/>
        <v>0</v>
      </c>
      <c r="EU60" s="72"/>
      <c r="EV60" s="117">
        <f t="shared" si="119"/>
        <v>3692.1819169408054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0"/>
        <v>0</v>
      </c>
      <c r="GG60" s="118">
        <f t="shared" si="121"/>
        <v>0</v>
      </c>
      <c r="GH60" s="118">
        <f t="shared" si="122"/>
        <v>0</v>
      </c>
      <c r="GI60" s="118">
        <f t="shared" si="123"/>
        <v>0</v>
      </c>
      <c r="GJ60" s="119"/>
      <c r="GK60" s="143">
        <f t="shared" ca="1" si="124"/>
        <v>0</v>
      </c>
    </row>
    <row r="61" spans="1:193">
      <c r="A61" s="515" t="s">
        <v>401</v>
      </c>
      <c r="B61" s="144"/>
      <c r="C61" s="200"/>
      <c r="D61" s="201"/>
      <c r="E61" s="534">
        <f t="shared" si="0"/>
        <v>0</v>
      </c>
      <c r="F61" s="535">
        <f t="shared" si="77"/>
        <v>0</v>
      </c>
      <c r="G61" s="202" t="str">
        <f t="shared" si="125"/>
        <v/>
      </c>
      <c r="H61" s="544">
        <f t="shared" si="58"/>
        <v>0</v>
      </c>
      <c r="I61" s="545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6">
        <f t="shared" si="11"/>
        <v>0</v>
      </c>
      <c r="AY61" s="217">
        <f t="shared" si="12"/>
        <v>0</v>
      </c>
      <c r="AZ61" s="148" t="s">
        <v>402</v>
      </c>
      <c r="BA61" s="112"/>
      <c r="BB61" s="129"/>
      <c r="BC61" s="115"/>
      <c r="BD61" s="218">
        <f t="shared" si="13"/>
        <v>0</v>
      </c>
      <c r="BE61" s="220">
        <f t="shared" si="14"/>
        <v>0</v>
      </c>
      <c r="BF61" s="149" t="s">
        <v>403</v>
      </c>
      <c r="BG61" s="112"/>
      <c r="BH61" s="115"/>
      <c r="BI61" s="221">
        <f t="shared" si="15"/>
        <v>0</v>
      </c>
      <c r="BJ61" s="222">
        <f t="shared" si="16"/>
        <v>0</v>
      </c>
      <c r="DE61" s="117">
        <f t="shared" si="78"/>
        <v>3802.9473744490297</v>
      </c>
      <c r="DF61" s="118">
        <f t="shared" si="79"/>
        <v>0</v>
      </c>
      <c r="DG61" s="118">
        <f t="shared" si="80"/>
        <v>0</v>
      </c>
      <c r="DH61" s="118">
        <f t="shared" si="81"/>
        <v>0</v>
      </c>
      <c r="DI61" s="118">
        <f t="shared" si="82"/>
        <v>0</v>
      </c>
      <c r="DJ61" s="118">
        <f t="shared" si="83"/>
        <v>0</v>
      </c>
      <c r="DK61" s="118">
        <f t="shared" si="84"/>
        <v>0</v>
      </c>
      <c r="DL61" s="118">
        <f t="shared" si="85"/>
        <v>0</v>
      </c>
      <c r="DM61" s="118">
        <f t="shared" si="86"/>
        <v>0</v>
      </c>
      <c r="DN61" s="118">
        <f t="shared" si="87"/>
        <v>0</v>
      </c>
      <c r="DO61" s="118">
        <f t="shared" si="88"/>
        <v>0</v>
      </c>
      <c r="DP61" s="118">
        <f t="shared" si="89"/>
        <v>0</v>
      </c>
      <c r="DQ61" s="118">
        <f t="shared" si="90"/>
        <v>0</v>
      </c>
      <c r="DR61" s="118">
        <f t="shared" si="91"/>
        <v>0</v>
      </c>
      <c r="DS61" s="118">
        <f t="shared" si="92"/>
        <v>0</v>
      </c>
      <c r="DT61" s="118">
        <f t="shared" si="93"/>
        <v>0</v>
      </c>
      <c r="DU61" s="118">
        <f t="shared" si="94"/>
        <v>0</v>
      </c>
      <c r="DV61" s="118">
        <f t="shared" si="95"/>
        <v>0</v>
      </c>
      <c r="DW61" s="118">
        <f t="shared" si="96"/>
        <v>0</v>
      </c>
      <c r="DX61" s="118">
        <f t="shared" si="97"/>
        <v>0</v>
      </c>
      <c r="DY61" s="118">
        <f t="shared" si="98"/>
        <v>0</v>
      </c>
      <c r="DZ61" s="118">
        <f t="shared" si="99"/>
        <v>0</v>
      </c>
      <c r="EA61" s="118">
        <f t="shared" si="100"/>
        <v>0</v>
      </c>
      <c r="EB61" s="118">
        <f t="shared" si="101"/>
        <v>0</v>
      </c>
      <c r="EC61" s="118">
        <f t="shared" si="102"/>
        <v>0</v>
      </c>
      <c r="ED61" s="118">
        <f t="shared" si="103"/>
        <v>0</v>
      </c>
      <c r="EE61" s="118">
        <f t="shared" si="104"/>
        <v>0</v>
      </c>
      <c r="EF61" s="118">
        <f t="shared" si="105"/>
        <v>0</v>
      </c>
      <c r="EG61" s="118">
        <f t="shared" si="106"/>
        <v>0</v>
      </c>
      <c r="EH61" s="118">
        <f t="shared" si="107"/>
        <v>0</v>
      </c>
      <c r="EI61" s="118">
        <f t="shared" si="108"/>
        <v>0</v>
      </c>
      <c r="EJ61" s="118">
        <f t="shared" si="109"/>
        <v>0</v>
      </c>
      <c r="EK61" s="118">
        <f t="shared" si="110"/>
        <v>0</v>
      </c>
      <c r="EL61" s="118">
        <f t="shared" si="111"/>
        <v>0</v>
      </c>
      <c r="EM61" s="118">
        <f t="shared" si="112"/>
        <v>0</v>
      </c>
      <c r="EN61" s="118">
        <f t="shared" si="113"/>
        <v>0</v>
      </c>
      <c r="EO61" s="118">
        <f t="shared" si="114"/>
        <v>0</v>
      </c>
      <c r="EP61" s="118">
        <f t="shared" si="115"/>
        <v>0</v>
      </c>
      <c r="EQ61" s="118">
        <f t="shared" si="116"/>
        <v>0</v>
      </c>
      <c r="ER61" s="118">
        <f t="shared" si="117"/>
        <v>0</v>
      </c>
      <c r="ES61" s="119"/>
      <c r="ET61" s="143">
        <f t="shared" si="118"/>
        <v>0</v>
      </c>
      <c r="EU61" s="72"/>
      <c r="EV61" s="117">
        <f t="shared" si="119"/>
        <v>3802.9473744490297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0"/>
        <v>0</v>
      </c>
      <c r="GG61" s="118">
        <f t="shared" si="121"/>
        <v>0</v>
      </c>
      <c r="GH61" s="118">
        <f t="shared" si="122"/>
        <v>0</v>
      </c>
      <c r="GI61" s="118">
        <f t="shared" si="123"/>
        <v>0</v>
      </c>
      <c r="GJ61" s="119"/>
      <c r="GK61" s="143">
        <f t="shared" ca="1" si="124"/>
        <v>0</v>
      </c>
    </row>
    <row r="62" spans="1:193">
      <c r="A62" s="515" t="s">
        <v>401</v>
      </c>
      <c r="B62" s="144"/>
      <c r="C62" s="200"/>
      <c r="D62" s="201"/>
      <c r="E62" s="534">
        <f t="shared" si="0"/>
        <v>0</v>
      </c>
      <c r="F62" s="535">
        <f t="shared" si="77"/>
        <v>0</v>
      </c>
      <c r="G62" s="202" t="str">
        <f t="shared" si="125"/>
        <v/>
      </c>
      <c r="H62" s="544">
        <f t="shared" si="58"/>
        <v>0</v>
      </c>
      <c r="I62" s="545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6">
        <f t="shared" si="11"/>
        <v>0</v>
      </c>
      <c r="AY62" s="217">
        <f t="shared" si="12"/>
        <v>0</v>
      </c>
      <c r="AZ62" s="148" t="s">
        <v>402</v>
      </c>
      <c r="BA62" s="112"/>
      <c r="BB62" s="129"/>
      <c r="BC62" s="115"/>
      <c r="BD62" s="218">
        <f t="shared" si="13"/>
        <v>0</v>
      </c>
      <c r="BE62" s="220">
        <f t="shared" si="14"/>
        <v>0</v>
      </c>
      <c r="BF62" s="149" t="s">
        <v>403</v>
      </c>
      <c r="BG62" s="112"/>
      <c r="BH62" s="115"/>
      <c r="BI62" s="221">
        <f t="shared" si="15"/>
        <v>0</v>
      </c>
      <c r="BJ62" s="222">
        <f t="shared" si="16"/>
        <v>0</v>
      </c>
      <c r="DE62" s="117">
        <f t="shared" si="78"/>
        <v>3917.0357956825005</v>
      </c>
      <c r="DF62" s="118">
        <f t="shared" si="79"/>
        <v>0</v>
      </c>
      <c r="DG62" s="118">
        <f t="shared" si="80"/>
        <v>0</v>
      </c>
      <c r="DH62" s="118">
        <f t="shared" si="81"/>
        <v>0</v>
      </c>
      <c r="DI62" s="118">
        <f t="shared" si="82"/>
        <v>0</v>
      </c>
      <c r="DJ62" s="118">
        <f t="shared" si="83"/>
        <v>0</v>
      </c>
      <c r="DK62" s="118">
        <f t="shared" si="84"/>
        <v>0</v>
      </c>
      <c r="DL62" s="118">
        <f t="shared" si="85"/>
        <v>0</v>
      </c>
      <c r="DM62" s="118">
        <f t="shared" si="86"/>
        <v>0</v>
      </c>
      <c r="DN62" s="118">
        <f t="shared" si="87"/>
        <v>0</v>
      </c>
      <c r="DO62" s="118">
        <f t="shared" si="88"/>
        <v>0</v>
      </c>
      <c r="DP62" s="118">
        <f t="shared" si="89"/>
        <v>0</v>
      </c>
      <c r="DQ62" s="118">
        <f t="shared" si="90"/>
        <v>0</v>
      </c>
      <c r="DR62" s="118">
        <f t="shared" si="91"/>
        <v>0</v>
      </c>
      <c r="DS62" s="118">
        <f t="shared" si="92"/>
        <v>0</v>
      </c>
      <c r="DT62" s="118">
        <f t="shared" si="93"/>
        <v>0</v>
      </c>
      <c r="DU62" s="118">
        <f t="shared" si="94"/>
        <v>0</v>
      </c>
      <c r="DV62" s="118">
        <f t="shared" si="95"/>
        <v>0</v>
      </c>
      <c r="DW62" s="118">
        <f t="shared" si="96"/>
        <v>0</v>
      </c>
      <c r="DX62" s="118">
        <f t="shared" si="97"/>
        <v>0</v>
      </c>
      <c r="DY62" s="118">
        <f t="shared" si="98"/>
        <v>0</v>
      </c>
      <c r="DZ62" s="118">
        <f t="shared" si="99"/>
        <v>0</v>
      </c>
      <c r="EA62" s="118">
        <f t="shared" si="100"/>
        <v>0</v>
      </c>
      <c r="EB62" s="118">
        <f t="shared" si="101"/>
        <v>0</v>
      </c>
      <c r="EC62" s="118">
        <f t="shared" si="102"/>
        <v>0</v>
      </c>
      <c r="ED62" s="118">
        <f t="shared" si="103"/>
        <v>0</v>
      </c>
      <c r="EE62" s="118">
        <f t="shared" si="104"/>
        <v>0</v>
      </c>
      <c r="EF62" s="118">
        <f t="shared" si="105"/>
        <v>0</v>
      </c>
      <c r="EG62" s="118">
        <f t="shared" si="106"/>
        <v>0</v>
      </c>
      <c r="EH62" s="118">
        <f t="shared" si="107"/>
        <v>0</v>
      </c>
      <c r="EI62" s="118">
        <f t="shared" si="108"/>
        <v>0</v>
      </c>
      <c r="EJ62" s="118">
        <f t="shared" si="109"/>
        <v>0</v>
      </c>
      <c r="EK62" s="118">
        <f t="shared" si="110"/>
        <v>0</v>
      </c>
      <c r="EL62" s="118">
        <f t="shared" si="111"/>
        <v>0</v>
      </c>
      <c r="EM62" s="118">
        <f t="shared" si="112"/>
        <v>0</v>
      </c>
      <c r="EN62" s="118">
        <f t="shared" si="113"/>
        <v>0</v>
      </c>
      <c r="EO62" s="118">
        <f t="shared" si="114"/>
        <v>0</v>
      </c>
      <c r="EP62" s="118">
        <f t="shared" si="115"/>
        <v>0</v>
      </c>
      <c r="EQ62" s="118">
        <f t="shared" si="116"/>
        <v>0</v>
      </c>
      <c r="ER62" s="118">
        <f t="shared" si="117"/>
        <v>0</v>
      </c>
      <c r="ES62" s="119"/>
      <c r="ET62" s="143">
        <f t="shared" si="118"/>
        <v>0</v>
      </c>
      <c r="EU62" s="72"/>
      <c r="EV62" s="117">
        <f t="shared" si="119"/>
        <v>3917.0357956825005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0"/>
        <v>0</v>
      </c>
      <c r="GG62" s="118">
        <f t="shared" si="121"/>
        <v>0</v>
      </c>
      <c r="GH62" s="118">
        <f t="shared" si="122"/>
        <v>0</v>
      </c>
      <c r="GI62" s="118">
        <f t="shared" si="123"/>
        <v>0</v>
      </c>
      <c r="GJ62" s="119"/>
      <c r="GK62" s="143">
        <f t="shared" ca="1" si="124"/>
        <v>0</v>
      </c>
    </row>
    <row r="63" spans="1:193">
      <c r="A63" s="515" t="s">
        <v>401</v>
      </c>
      <c r="B63" s="144"/>
      <c r="C63" s="200"/>
      <c r="D63" s="201"/>
      <c r="E63" s="534">
        <f t="shared" si="0"/>
        <v>0</v>
      </c>
      <c r="F63" s="535">
        <f t="shared" si="77"/>
        <v>0</v>
      </c>
      <c r="G63" s="202" t="str">
        <f t="shared" si="125"/>
        <v/>
      </c>
      <c r="H63" s="544">
        <f t="shared" si="58"/>
        <v>0</v>
      </c>
      <c r="I63" s="545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6">
        <f t="shared" si="11"/>
        <v>0</v>
      </c>
      <c r="AY63" s="217">
        <f t="shared" si="12"/>
        <v>0</v>
      </c>
      <c r="AZ63" s="148" t="s">
        <v>402</v>
      </c>
      <c r="BA63" s="112"/>
      <c r="BB63" s="129"/>
      <c r="BC63" s="115"/>
      <c r="BD63" s="218">
        <f t="shared" si="13"/>
        <v>0</v>
      </c>
      <c r="BE63" s="220">
        <f t="shared" si="14"/>
        <v>0</v>
      </c>
      <c r="BF63" s="149" t="s">
        <v>403</v>
      </c>
      <c r="BG63" s="112"/>
      <c r="BH63" s="115"/>
      <c r="BI63" s="221">
        <f t="shared" si="15"/>
        <v>0</v>
      </c>
      <c r="BJ63" s="222">
        <f t="shared" si="16"/>
        <v>0</v>
      </c>
      <c r="DE63" s="117">
        <f t="shared" si="78"/>
        <v>4034.5468695529757</v>
      </c>
      <c r="DF63" s="118">
        <f t="shared" si="79"/>
        <v>0</v>
      </c>
      <c r="DG63" s="118">
        <f t="shared" si="80"/>
        <v>0</v>
      </c>
      <c r="DH63" s="118">
        <f t="shared" si="81"/>
        <v>0</v>
      </c>
      <c r="DI63" s="118">
        <f t="shared" si="82"/>
        <v>0</v>
      </c>
      <c r="DJ63" s="118">
        <f t="shared" si="83"/>
        <v>0</v>
      </c>
      <c r="DK63" s="118">
        <f t="shared" si="84"/>
        <v>0</v>
      </c>
      <c r="DL63" s="118">
        <f t="shared" si="85"/>
        <v>0</v>
      </c>
      <c r="DM63" s="118">
        <f t="shared" si="86"/>
        <v>0</v>
      </c>
      <c r="DN63" s="118">
        <f t="shared" si="87"/>
        <v>0</v>
      </c>
      <c r="DO63" s="118">
        <f t="shared" si="88"/>
        <v>0</v>
      </c>
      <c r="DP63" s="118">
        <f t="shared" si="89"/>
        <v>0</v>
      </c>
      <c r="DQ63" s="118">
        <f t="shared" si="90"/>
        <v>0</v>
      </c>
      <c r="DR63" s="118">
        <f t="shared" si="91"/>
        <v>0</v>
      </c>
      <c r="DS63" s="118">
        <f t="shared" si="92"/>
        <v>0</v>
      </c>
      <c r="DT63" s="118">
        <f t="shared" si="93"/>
        <v>0</v>
      </c>
      <c r="DU63" s="118">
        <f t="shared" si="94"/>
        <v>0</v>
      </c>
      <c r="DV63" s="118">
        <f t="shared" si="95"/>
        <v>0</v>
      </c>
      <c r="DW63" s="118">
        <f t="shared" si="96"/>
        <v>0</v>
      </c>
      <c r="DX63" s="118">
        <f t="shared" si="97"/>
        <v>0</v>
      </c>
      <c r="DY63" s="118">
        <f t="shared" si="98"/>
        <v>0</v>
      </c>
      <c r="DZ63" s="118">
        <f t="shared" si="99"/>
        <v>0</v>
      </c>
      <c r="EA63" s="118">
        <f t="shared" si="100"/>
        <v>0</v>
      </c>
      <c r="EB63" s="118">
        <f t="shared" si="101"/>
        <v>0</v>
      </c>
      <c r="EC63" s="118">
        <f t="shared" si="102"/>
        <v>0</v>
      </c>
      <c r="ED63" s="118">
        <f t="shared" si="103"/>
        <v>0</v>
      </c>
      <c r="EE63" s="118">
        <f t="shared" si="104"/>
        <v>0</v>
      </c>
      <c r="EF63" s="118">
        <f t="shared" si="105"/>
        <v>0</v>
      </c>
      <c r="EG63" s="118">
        <f t="shared" si="106"/>
        <v>0</v>
      </c>
      <c r="EH63" s="118">
        <f t="shared" si="107"/>
        <v>0</v>
      </c>
      <c r="EI63" s="118">
        <f t="shared" si="108"/>
        <v>0</v>
      </c>
      <c r="EJ63" s="118">
        <f t="shared" si="109"/>
        <v>0</v>
      </c>
      <c r="EK63" s="118">
        <f t="shared" si="110"/>
        <v>0</v>
      </c>
      <c r="EL63" s="118">
        <f t="shared" si="111"/>
        <v>0</v>
      </c>
      <c r="EM63" s="118">
        <f t="shared" si="112"/>
        <v>0</v>
      </c>
      <c r="EN63" s="118">
        <f t="shared" si="113"/>
        <v>0</v>
      </c>
      <c r="EO63" s="118">
        <f t="shared" si="114"/>
        <v>0</v>
      </c>
      <c r="EP63" s="118">
        <f t="shared" si="115"/>
        <v>0</v>
      </c>
      <c r="EQ63" s="118">
        <f t="shared" si="116"/>
        <v>0</v>
      </c>
      <c r="ER63" s="118">
        <f t="shared" si="117"/>
        <v>0</v>
      </c>
      <c r="ES63" s="119"/>
      <c r="ET63" s="143">
        <f t="shared" si="118"/>
        <v>0</v>
      </c>
      <c r="EU63" s="72"/>
      <c r="EV63" s="117">
        <f t="shared" si="119"/>
        <v>4034.5468695529757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0"/>
        <v>0</v>
      </c>
      <c r="GG63" s="118">
        <f t="shared" si="121"/>
        <v>0</v>
      </c>
      <c r="GH63" s="118">
        <f t="shared" si="122"/>
        <v>0</v>
      </c>
      <c r="GI63" s="118">
        <f t="shared" si="123"/>
        <v>0</v>
      </c>
      <c r="GJ63" s="119"/>
      <c r="GK63" s="143">
        <f t="shared" ca="1" si="124"/>
        <v>0</v>
      </c>
    </row>
    <row r="64" spans="1:193">
      <c r="A64" s="515" t="s">
        <v>401</v>
      </c>
      <c r="B64" s="144"/>
      <c r="C64" s="200"/>
      <c r="D64" s="201"/>
      <c r="E64" s="534">
        <f t="shared" si="0"/>
        <v>0</v>
      </c>
      <c r="F64" s="535">
        <f t="shared" si="77"/>
        <v>0</v>
      </c>
      <c r="G64" s="202" t="str">
        <f t="shared" si="125"/>
        <v/>
      </c>
      <c r="H64" s="544">
        <f t="shared" si="58"/>
        <v>0</v>
      </c>
      <c r="I64" s="545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6">
        <f t="shared" si="11"/>
        <v>0</v>
      </c>
      <c r="AY64" s="217">
        <f t="shared" si="12"/>
        <v>0</v>
      </c>
      <c r="AZ64" s="148" t="s">
        <v>402</v>
      </c>
      <c r="BA64" s="112"/>
      <c r="BB64" s="129"/>
      <c r="BC64" s="115"/>
      <c r="BD64" s="218">
        <f t="shared" si="13"/>
        <v>0</v>
      </c>
      <c r="BE64" s="220">
        <f t="shared" si="14"/>
        <v>0</v>
      </c>
      <c r="BF64" s="149" t="s">
        <v>403</v>
      </c>
      <c r="BG64" s="112"/>
      <c r="BH64" s="115"/>
      <c r="BI64" s="221">
        <f t="shared" si="15"/>
        <v>0</v>
      </c>
      <c r="BJ64" s="222">
        <f t="shared" si="16"/>
        <v>0</v>
      </c>
      <c r="DE64" s="117">
        <f t="shared" si="78"/>
        <v>4155.5832756395648</v>
      </c>
      <c r="DF64" s="118">
        <f t="shared" si="79"/>
        <v>0</v>
      </c>
      <c r="DG64" s="118">
        <f t="shared" si="80"/>
        <v>0</v>
      </c>
      <c r="DH64" s="118">
        <f t="shared" si="81"/>
        <v>0</v>
      </c>
      <c r="DI64" s="118">
        <f t="shared" si="82"/>
        <v>0</v>
      </c>
      <c r="DJ64" s="118">
        <f t="shared" si="83"/>
        <v>0</v>
      </c>
      <c r="DK64" s="118">
        <f t="shared" si="84"/>
        <v>0</v>
      </c>
      <c r="DL64" s="118">
        <f t="shared" si="85"/>
        <v>0</v>
      </c>
      <c r="DM64" s="118">
        <f t="shared" si="86"/>
        <v>0</v>
      </c>
      <c r="DN64" s="118">
        <f t="shared" si="87"/>
        <v>0</v>
      </c>
      <c r="DO64" s="118">
        <f t="shared" si="88"/>
        <v>0</v>
      </c>
      <c r="DP64" s="118">
        <f t="shared" si="89"/>
        <v>0</v>
      </c>
      <c r="DQ64" s="118">
        <f t="shared" si="90"/>
        <v>0</v>
      </c>
      <c r="DR64" s="118">
        <f t="shared" si="91"/>
        <v>0</v>
      </c>
      <c r="DS64" s="118">
        <f t="shared" si="92"/>
        <v>0</v>
      </c>
      <c r="DT64" s="118">
        <f t="shared" si="93"/>
        <v>0</v>
      </c>
      <c r="DU64" s="118">
        <f t="shared" si="94"/>
        <v>0</v>
      </c>
      <c r="DV64" s="118">
        <f t="shared" si="95"/>
        <v>0</v>
      </c>
      <c r="DW64" s="118">
        <f t="shared" si="96"/>
        <v>0</v>
      </c>
      <c r="DX64" s="118">
        <f t="shared" si="97"/>
        <v>0</v>
      </c>
      <c r="DY64" s="118">
        <f t="shared" si="98"/>
        <v>0</v>
      </c>
      <c r="DZ64" s="118">
        <f t="shared" si="99"/>
        <v>0</v>
      </c>
      <c r="EA64" s="118">
        <f t="shared" si="100"/>
        <v>0</v>
      </c>
      <c r="EB64" s="118">
        <f t="shared" si="101"/>
        <v>0</v>
      </c>
      <c r="EC64" s="118">
        <f t="shared" si="102"/>
        <v>0</v>
      </c>
      <c r="ED64" s="118">
        <f t="shared" si="103"/>
        <v>0</v>
      </c>
      <c r="EE64" s="118">
        <f t="shared" si="104"/>
        <v>0</v>
      </c>
      <c r="EF64" s="118">
        <f t="shared" si="105"/>
        <v>0</v>
      </c>
      <c r="EG64" s="118">
        <f t="shared" si="106"/>
        <v>0</v>
      </c>
      <c r="EH64" s="118">
        <f t="shared" si="107"/>
        <v>0</v>
      </c>
      <c r="EI64" s="118">
        <f t="shared" si="108"/>
        <v>0</v>
      </c>
      <c r="EJ64" s="118">
        <f t="shared" si="109"/>
        <v>0</v>
      </c>
      <c r="EK64" s="118">
        <f t="shared" si="110"/>
        <v>0</v>
      </c>
      <c r="EL64" s="118">
        <f t="shared" si="111"/>
        <v>0</v>
      </c>
      <c r="EM64" s="118">
        <f t="shared" si="112"/>
        <v>0</v>
      </c>
      <c r="EN64" s="118">
        <f t="shared" si="113"/>
        <v>0</v>
      </c>
      <c r="EO64" s="118">
        <f t="shared" si="114"/>
        <v>0</v>
      </c>
      <c r="EP64" s="118">
        <f t="shared" si="115"/>
        <v>0</v>
      </c>
      <c r="EQ64" s="118">
        <f t="shared" si="116"/>
        <v>0</v>
      </c>
      <c r="ER64" s="118">
        <f t="shared" si="117"/>
        <v>0</v>
      </c>
      <c r="ES64" s="119"/>
      <c r="ET64" s="143">
        <f t="shared" si="118"/>
        <v>0</v>
      </c>
      <c r="EU64" s="72"/>
      <c r="EV64" s="117">
        <f t="shared" si="119"/>
        <v>4155.5832756395648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0"/>
        <v>0</v>
      </c>
      <c r="GG64" s="118">
        <f t="shared" si="121"/>
        <v>0</v>
      </c>
      <c r="GH64" s="118">
        <f t="shared" si="122"/>
        <v>0</v>
      </c>
      <c r="GI64" s="118">
        <f t="shared" si="123"/>
        <v>0</v>
      </c>
      <c r="GJ64" s="119"/>
      <c r="GK64" s="143">
        <f t="shared" ca="1" si="124"/>
        <v>0</v>
      </c>
    </row>
    <row r="65" spans="1:193">
      <c r="A65" s="515" t="s">
        <v>401</v>
      </c>
      <c r="B65" s="144"/>
      <c r="C65" s="200"/>
      <c r="D65" s="201"/>
      <c r="E65" s="534">
        <f t="shared" si="0"/>
        <v>0</v>
      </c>
      <c r="F65" s="535">
        <f t="shared" si="77"/>
        <v>0</v>
      </c>
      <c r="G65" s="202" t="str">
        <f t="shared" si="125"/>
        <v/>
      </c>
      <c r="H65" s="544">
        <f t="shared" si="58"/>
        <v>0</v>
      </c>
      <c r="I65" s="545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6">
        <f t="shared" si="11"/>
        <v>0</v>
      </c>
      <c r="AY65" s="217">
        <f t="shared" si="12"/>
        <v>0</v>
      </c>
      <c r="AZ65" s="148" t="s">
        <v>402</v>
      </c>
      <c r="BA65" s="112"/>
      <c r="BB65" s="129"/>
      <c r="BC65" s="115"/>
      <c r="BD65" s="218">
        <f t="shared" si="13"/>
        <v>0</v>
      </c>
      <c r="BE65" s="220">
        <f t="shared" si="14"/>
        <v>0</v>
      </c>
      <c r="BF65" s="149" t="s">
        <v>403</v>
      </c>
      <c r="BG65" s="112"/>
      <c r="BH65" s="115"/>
      <c r="BI65" s="221">
        <f t="shared" si="15"/>
        <v>0</v>
      </c>
      <c r="BJ65" s="222">
        <f t="shared" si="16"/>
        <v>0</v>
      </c>
      <c r="DE65" s="117">
        <f t="shared" si="78"/>
        <v>4280.2507739087523</v>
      </c>
      <c r="DF65" s="118">
        <f t="shared" si="79"/>
        <v>0</v>
      </c>
      <c r="DG65" s="118">
        <f t="shared" si="80"/>
        <v>0</v>
      </c>
      <c r="DH65" s="118">
        <f t="shared" si="81"/>
        <v>0</v>
      </c>
      <c r="DI65" s="118">
        <f t="shared" si="82"/>
        <v>0</v>
      </c>
      <c r="DJ65" s="118">
        <f t="shared" si="83"/>
        <v>0</v>
      </c>
      <c r="DK65" s="118">
        <f t="shared" si="84"/>
        <v>0</v>
      </c>
      <c r="DL65" s="118">
        <f t="shared" si="85"/>
        <v>0</v>
      </c>
      <c r="DM65" s="118">
        <f t="shared" si="86"/>
        <v>0</v>
      </c>
      <c r="DN65" s="118">
        <f t="shared" si="87"/>
        <v>0</v>
      </c>
      <c r="DO65" s="118">
        <f t="shared" si="88"/>
        <v>0</v>
      </c>
      <c r="DP65" s="118">
        <f t="shared" si="89"/>
        <v>0</v>
      </c>
      <c r="DQ65" s="118">
        <f t="shared" si="90"/>
        <v>0</v>
      </c>
      <c r="DR65" s="118">
        <f t="shared" si="91"/>
        <v>0</v>
      </c>
      <c r="DS65" s="118">
        <f t="shared" si="92"/>
        <v>0</v>
      </c>
      <c r="DT65" s="118">
        <f t="shared" si="93"/>
        <v>0</v>
      </c>
      <c r="DU65" s="118">
        <f t="shared" si="94"/>
        <v>0</v>
      </c>
      <c r="DV65" s="118">
        <f t="shared" si="95"/>
        <v>0</v>
      </c>
      <c r="DW65" s="118">
        <f t="shared" si="96"/>
        <v>0</v>
      </c>
      <c r="DX65" s="118">
        <f t="shared" si="97"/>
        <v>0</v>
      </c>
      <c r="DY65" s="118">
        <f t="shared" si="98"/>
        <v>0</v>
      </c>
      <c r="DZ65" s="118">
        <f t="shared" si="99"/>
        <v>0</v>
      </c>
      <c r="EA65" s="118">
        <f t="shared" si="100"/>
        <v>0</v>
      </c>
      <c r="EB65" s="118">
        <f t="shared" si="101"/>
        <v>0</v>
      </c>
      <c r="EC65" s="118">
        <f t="shared" si="102"/>
        <v>0</v>
      </c>
      <c r="ED65" s="118">
        <f t="shared" si="103"/>
        <v>0</v>
      </c>
      <c r="EE65" s="118">
        <f t="shared" si="104"/>
        <v>0</v>
      </c>
      <c r="EF65" s="118">
        <f t="shared" si="105"/>
        <v>0</v>
      </c>
      <c r="EG65" s="118">
        <f t="shared" si="106"/>
        <v>0</v>
      </c>
      <c r="EH65" s="118">
        <f t="shared" si="107"/>
        <v>0</v>
      </c>
      <c r="EI65" s="118">
        <f t="shared" si="108"/>
        <v>0</v>
      </c>
      <c r="EJ65" s="118">
        <f t="shared" si="109"/>
        <v>0</v>
      </c>
      <c r="EK65" s="118">
        <f t="shared" si="110"/>
        <v>0</v>
      </c>
      <c r="EL65" s="118">
        <f t="shared" si="111"/>
        <v>0</v>
      </c>
      <c r="EM65" s="118">
        <f t="shared" si="112"/>
        <v>0</v>
      </c>
      <c r="EN65" s="118">
        <f t="shared" si="113"/>
        <v>0</v>
      </c>
      <c r="EO65" s="118">
        <f t="shared" si="114"/>
        <v>0</v>
      </c>
      <c r="EP65" s="118">
        <f t="shared" si="115"/>
        <v>0</v>
      </c>
      <c r="EQ65" s="118">
        <f t="shared" si="116"/>
        <v>0</v>
      </c>
      <c r="ER65" s="118">
        <f t="shared" si="117"/>
        <v>0</v>
      </c>
      <c r="ES65" s="119"/>
      <c r="ET65" s="143">
        <f t="shared" si="118"/>
        <v>0</v>
      </c>
      <c r="EU65" s="72"/>
      <c r="EV65" s="117">
        <f t="shared" si="119"/>
        <v>4280.2507739087523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0"/>
        <v>0</v>
      </c>
      <c r="GG65" s="118">
        <f t="shared" si="121"/>
        <v>0</v>
      </c>
      <c r="GH65" s="118">
        <f t="shared" si="122"/>
        <v>0</v>
      </c>
      <c r="GI65" s="118">
        <f t="shared" si="123"/>
        <v>0</v>
      </c>
      <c r="GJ65" s="119"/>
      <c r="GK65" s="143">
        <f t="shared" ca="1" si="124"/>
        <v>0</v>
      </c>
    </row>
    <row r="66" spans="1:193">
      <c r="A66" s="515" t="s">
        <v>401</v>
      </c>
      <c r="B66" s="144"/>
      <c r="C66" s="200"/>
      <c r="D66" s="201"/>
      <c r="E66" s="534">
        <f t="shared" si="0"/>
        <v>0</v>
      </c>
      <c r="F66" s="535">
        <f t="shared" si="77"/>
        <v>0</v>
      </c>
      <c r="G66" s="202" t="str">
        <f t="shared" si="125"/>
        <v/>
      </c>
      <c r="H66" s="544">
        <f t="shared" si="58"/>
        <v>0</v>
      </c>
      <c r="I66" s="545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6">
        <f t="shared" si="11"/>
        <v>0</v>
      </c>
      <c r="AY66" s="217">
        <f t="shared" si="12"/>
        <v>0</v>
      </c>
      <c r="AZ66" s="148" t="s">
        <v>402</v>
      </c>
      <c r="BA66" s="112"/>
      <c r="BB66" s="129"/>
      <c r="BC66" s="115"/>
      <c r="BD66" s="218">
        <f t="shared" si="13"/>
        <v>0</v>
      </c>
      <c r="BE66" s="220">
        <f t="shared" si="14"/>
        <v>0</v>
      </c>
      <c r="BF66" s="149" t="s">
        <v>403</v>
      </c>
      <c r="BG66" s="112"/>
      <c r="BH66" s="115"/>
      <c r="BI66" s="221">
        <f t="shared" si="15"/>
        <v>0</v>
      </c>
      <c r="BJ66" s="222">
        <f t="shared" si="16"/>
        <v>0</v>
      </c>
      <c r="DE66" s="117">
        <f t="shared" si="78"/>
        <v>4408.658297126015</v>
      </c>
      <c r="DF66" s="118">
        <f t="shared" si="79"/>
        <v>0</v>
      </c>
      <c r="DG66" s="118">
        <f t="shared" si="80"/>
        <v>0</v>
      </c>
      <c r="DH66" s="118">
        <f t="shared" si="81"/>
        <v>0</v>
      </c>
      <c r="DI66" s="118">
        <f t="shared" si="82"/>
        <v>0</v>
      </c>
      <c r="DJ66" s="118">
        <f t="shared" si="83"/>
        <v>0</v>
      </c>
      <c r="DK66" s="118">
        <f t="shared" si="84"/>
        <v>0</v>
      </c>
      <c r="DL66" s="118">
        <f t="shared" si="85"/>
        <v>0</v>
      </c>
      <c r="DM66" s="118">
        <f t="shared" si="86"/>
        <v>0</v>
      </c>
      <c r="DN66" s="118">
        <f t="shared" si="87"/>
        <v>0</v>
      </c>
      <c r="DO66" s="118">
        <f t="shared" si="88"/>
        <v>0</v>
      </c>
      <c r="DP66" s="118">
        <f t="shared" si="89"/>
        <v>0</v>
      </c>
      <c r="DQ66" s="118">
        <f t="shared" si="90"/>
        <v>0</v>
      </c>
      <c r="DR66" s="118">
        <f t="shared" si="91"/>
        <v>0</v>
      </c>
      <c r="DS66" s="118">
        <f t="shared" si="92"/>
        <v>0</v>
      </c>
      <c r="DT66" s="118">
        <f t="shared" si="93"/>
        <v>0</v>
      </c>
      <c r="DU66" s="118">
        <f t="shared" si="94"/>
        <v>0</v>
      </c>
      <c r="DV66" s="118">
        <f t="shared" si="95"/>
        <v>0</v>
      </c>
      <c r="DW66" s="118">
        <f t="shared" si="96"/>
        <v>0</v>
      </c>
      <c r="DX66" s="118">
        <f t="shared" si="97"/>
        <v>0</v>
      </c>
      <c r="DY66" s="118">
        <f t="shared" si="98"/>
        <v>0</v>
      </c>
      <c r="DZ66" s="118">
        <f t="shared" si="99"/>
        <v>0</v>
      </c>
      <c r="EA66" s="118">
        <f t="shared" si="100"/>
        <v>0</v>
      </c>
      <c r="EB66" s="118">
        <f t="shared" si="101"/>
        <v>0</v>
      </c>
      <c r="EC66" s="118">
        <f t="shared" si="102"/>
        <v>0</v>
      </c>
      <c r="ED66" s="118">
        <f t="shared" si="103"/>
        <v>0</v>
      </c>
      <c r="EE66" s="118">
        <f t="shared" si="104"/>
        <v>0</v>
      </c>
      <c r="EF66" s="118">
        <f t="shared" si="105"/>
        <v>0</v>
      </c>
      <c r="EG66" s="118">
        <f t="shared" si="106"/>
        <v>0</v>
      </c>
      <c r="EH66" s="118">
        <f t="shared" si="107"/>
        <v>0</v>
      </c>
      <c r="EI66" s="118">
        <f t="shared" si="108"/>
        <v>0</v>
      </c>
      <c r="EJ66" s="118">
        <f t="shared" si="109"/>
        <v>0</v>
      </c>
      <c r="EK66" s="118">
        <f t="shared" si="110"/>
        <v>0</v>
      </c>
      <c r="EL66" s="118">
        <f t="shared" si="111"/>
        <v>0</v>
      </c>
      <c r="EM66" s="118">
        <f t="shared" si="112"/>
        <v>0</v>
      </c>
      <c r="EN66" s="118">
        <f t="shared" si="113"/>
        <v>0</v>
      </c>
      <c r="EO66" s="118">
        <f t="shared" si="114"/>
        <v>0</v>
      </c>
      <c r="EP66" s="118">
        <f t="shared" si="115"/>
        <v>0</v>
      </c>
      <c r="EQ66" s="118">
        <f t="shared" si="116"/>
        <v>0</v>
      </c>
      <c r="ER66" s="118">
        <f t="shared" si="117"/>
        <v>0</v>
      </c>
      <c r="ES66" s="119"/>
      <c r="ET66" s="143">
        <f t="shared" si="118"/>
        <v>0</v>
      </c>
      <c r="EU66" s="72"/>
      <c r="EV66" s="117">
        <f t="shared" si="119"/>
        <v>4408.658297126015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0"/>
        <v>0</v>
      </c>
      <c r="GG66" s="118">
        <f t="shared" si="121"/>
        <v>0</v>
      </c>
      <c r="GH66" s="118">
        <f t="shared" si="122"/>
        <v>0</v>
      </c>
      <c r="GI66" s="118">
        <f t="shared" si="123"/>
        <v>0</v>
      </c>
      <c r="GJ66" s="119"/>
      <c r="GK66" s="143">
        <f t="shared" ca="1" si="124"/>
        <v>0</v>
      </c>
    </row>
    <row r="67" spans="1:193">
      <c r="A67" s="515" t="s">
        <v>401</v>
      </c>
      <c r="B67" s="144"/>
      <c r="C67" s="200"/>
      <c r="D67" s="201"/>
      <c r="E67" s="534">
        <f t="shared" si="0"/>
        <v>0</v>
      </c>
      <c r="F67" s="535">
        <f t="shared" ref="F67:F72" si="126">IF(B67&gt;0,+B67*D67*(1+($N$53+0.002)*1.21)*-100,B67*D67*(1-($N$53+0.002)*1.21)*-100)</f>
        <v>0</v>
      </c>
      <c r="G67" s="202" t="str">
        <f t="shared" si="125"/>
        <v/>
      </c>
      <c r="H67" s="544">
        <f t="shared" si="58"/>
        <v>0</v>
      </c>
      <c r="I67" s="545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6">
        <f t="shared" si="11"/>
        <v>0</v>
      </c>
      <c r="AY67" s="217">
        <f t="shared" si="12"/>
        <v>0</v>
      </c>
      <c r="AZ67" s="148" t="s">
        <v>402</v>
      </c>
      <c r="BA67" s="112"/>
      <c r="BB67" s="129"/>
      <c r="BC67" s="115"/>
      <c r="BD67" s="218">
        <f t="shared" si="13"/>
        <v>0</v>
      </c>
      <c r="BE67" s="220">
        <f t="shared" si="14"/>
        <v>0</v>
      </c>
      <c r="BF67" s="149" t="s">
        <v>403</v>
      </c>
      <c r="BG67" s="112"/>
      <c r="BH67" s="115"/>
      <c r="BI67" s="221">
        <f t="shared" si="15"/>
        <v>0</v>
      </c>
      <c r="BJ67" s="222">
        <f t="shared" si="16"/>
        <v>0</v>
      </c>
      <c r="DE67" s="167">
        <f t="shared" si="78"/>
        <v>4540.9180460397956</v>
      </c>
      <c r="DF67" s="168">
        <f t="shared" si="79"/>
        <v>0</v>
      </c>
      <c r="DG67" s="168">
        <f t="shared" si="80"/>
        <v>0</v>
      </c>
      <c r="DH67" s="168">
        <f t="shared" si="81"/>
        <v>0</v>
      </c>
      <c r="DI67" s="168">
        <f t="shared" si="82"/>
        <v>0</v>
      </c>
      <c r="DJ67" s="168">
        <f t="shared" si="83"/>
        <v>0</v>
      </c>
      <c r="DK67" s="168">
        <f t="shared" si="84"/>
        <v>0</v>
      </c>
      <c r="DL67" s="168">
        <f t="shared" si="85"/>
        <v>0</v>
      </c>
      <c r="DM67" s="168">
        <f t="shared" si="86"/>
        <v>0</v>
      </c>
      <c r="DN67" s="168">
        <f t="shared" si="87"/>
        <v>0</v>
      </c>
      <c r="DO67" s="168">
        <f t="shared" si="88"/>
        <v>0</v>
      </c>
      <c r="DP67" s="168">
        <f t="shared" si="89"/>
        <v>0</v>
      </c>
      <c r="DQ67" s="168">
        <f t="shared" si="90"/>
        <v>0</v>
      </c>
      <c r="DR67" s="168">
        <f t="shared" si="91"/>
        <v>0</v>
      </c>
      <c r="DS67" s="168">
        <f t="shared" si="92"/>
        <v>0</v>
      </c>
      <c r="DT67" s="168">
        <f t="shared" si="93"/>
        <v>0</v>
      </c>
      <c r="DU67" s="168">
        <f t="shared" si="94"/>
        <v>0</v>
      </c>
      <c r="DV67" s="168">
        <f t="shared" si="95"/>
        <v>0</v>
      </c>
      <c r="DW67" s="168">
        <f t="shared" si="96"/>
        <v>0</v>
      </c>
      <c r="DX67" s="168">
        <f t="shared" si="97"/>
        <v>0</v>
      </c>
      <c r="DY67" s="168">
        <f t="shared" si="98"/>
        <v>0</v>
      </c>
      <c r="DZ67" s="168">
        <f t="shared" si="99"/>
        <v>0</v>
      </c>
      <c r="EA67" s="168">
        <f t="shared" si="100"/>
        <v>0</v>
      </c>
      <c r="EB67" s="168">
        <f t="shared" si="101"/>
        <v>0</v>
      </c>
      <c r="EC67" s="168">
        <f t="shared" si="102"/>
        <v>0</v>
      </c>
      <c r="ED67" s="168">
        <f t="shared" si="103"/>
        <v>0</v>
      </c>
      <c r="EE67" s="168">
        <f t="shared" si="104"/>
        <v>0</v>
      </c>
      <c r="EF67" s="168">
        <f t="shared" si="105"/>
        <v>0</v>
      </c>
      <c r="EG67" s="168">
        <f t="shared" si="106"/>
        <v>0</v>
      </c>
      <c r="EH67" s="168">
        <f t="shared" si="107"/>
        <v>0</v>
      </c>
      <c r="EI67" s="168">
        <f t="shared" si="108"/>
        <v>0</v>
      </c>
      <c r="EJ67" s="168">
        <f t="shared" si="109"/>
        <v>0</v>
      </c>
      <c r="EK67" s="168">
        <f t="shared" si="110"/>
        <v>0</v>
      </c>
      <c r="EL67" s="168">
        <f t="shared" si="111"/>
        <v>0</v>
      </c>
      <c r="EM67" s="168">
        <f t="shared" si="112"/>
        <v>0</v>
      </c>
      <c r="EN67" s="168">
        <f t="shared" si="113"/>
        <v>0</v>
      </c>
      <c r="EO67" s="168">
        <f t="shared" si="114"/>
        <v>0</v>
      </c>
      <c r="EP67" s="168">
        <f t="shared" si="115"/>
        <v>0</v>
      </c>
      <c r="EQ67" s="168">
        <f t="shared" si="116"/>
        <v>0</v>
      </c>
      <c r="ER67" s="168">
        <f t="shared" si="117"/>
        <v>0</v>
      </c>
      <c r="ES67" s="169"/>
      <c r="ET67" s="170">
        <f t="shared" si="118"/>
        <v>0</v>
      </c>
      <c r="EU67" s="72"/>
      <c r="EV67" s="167">
        <f t="shared" si="119"/>
        <v>4540.9180460397956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0"/>
        <v>0</v>
      </c>
      <c r="GG67" s="168">
        <f t="shared" si="121"/>
        <v>0</v>
      </c>
      <c r="GH67" s="168">
        <f t="shared" si="122"/>
        <v>0</v>
      </c>
      <c r="GI67" s="168">
        <f t="shared" si="123"/>
        <v>0</v>
      </c>
      <c r="GJ67" s="169"/>
      <c r="GK67" s="170">
        <f t="shared" ca="1" si="124"/>
        <v>0</v>
      </c>
    </row>
    <row r="68" spans="1:193">
      <c r="A68" s="515" t="s">
        <v>401</v>
      </c>
      <c r="B68" s="144"/>
      <c r="C68" s="200"/>
      <c r="D68" s="201"/>
      <c r="E68" s="534">
        <f t="shared" si="0"/>
        <v>0</v>
      </c>
      <c r="F68" s="535">
        <f t="shared" si="126"/>
        <v>0</v>
      </c>
      <c r="G68" s="202" t="str">
        <f t="shared" si="125"/>
        <v/>
      </c>
      <c r="H68" s="544">
        <f>IFERROR(+G68*B68*-100,0)</f>
        <v>0</v>
      </c>
      <c r="I68" s="545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6">
        <f t="shared" si="11"/>
        <v>0</v>
      </c>
      <c r="AY68" s="217">
        <f t="shared" si="12"/>
        <v>0</v>
      </c>
      <c r="AZ68" s="148" t="s">
        <v>402</v>
      </c>
      <c r="BA68" s="112"/>
      <c r="BB68" s="129"/>
      <c r="BC68" s="115"/>
      <c r="BD68" s="218">
        <f t="shared" si="13"/>
        <v>0</v>
      </c>
      <c r="BE68" s="220">
        <f t="shared" si="14"/>
        <v>0</v>
      </c>
      <c r="BF68" s="149" t="s">
        <v>403</v>
      </c>
      <c r="BG68" s="112"/>
      <c r="BH68" s="115"/>
      <c r="BI68" s="221">
        <f t="shared" si="15"/>
        <v>0</v>
      </c>
      <c r="BJ68" s="222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515" t="s">
        <v>401</v>
      </c>
      <c r="B69" s="144"/>
      <c r="C69" s="200"/>
      <c r="D69" s="201"/>
      <c r="E69" s="534">
        <f t="shared" si="0"/>
        <v>0</v>
      </c>
      <c r="F69" s="535">
        <f t="shared" si="126"/>
        <v>0</v>
      </c>
      <c r="G69" s="202" t="str">
        <f t="shared" si="125"/>
        <v/>
      </c>
      <c r="H69" s="544">
        <f>IFERROR(+G69*B69*-100,0)</f>
        <v>0</v>
      </c>
      <c r="I69" s="545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6">
        <f t="shared" si="11"/>
        <v>0</v>
      </c>
      <c r="AY69" s="217">
        <f t="shared" si="12"/>
        <v>0</v>
      </c>
      <c r="AZ69" s="148" t="s">
        <v>402</v>
      </c>
      <c r="BA69" s="112"/>
      <c r="BB69" s="129"/>
      <c r="BC69" s="115"/>
      <c r="BD69" s="218">
        <f t="shared" si="13"/>
        <v>0</v>
      </c>
      <c r="BE69" s="220">
        <f t="shared" si="14"/>
        <v>0</v>
      </c>
      <c r="BF69" s="149" t="s">
        <v>403</v>
      </c>
      <c r="BG69" s="112"/>
      <c r="BH69" s="115"/>
      <c r="BI69" s="221">
        <f t="shared" si="15"/>
        <v>0</v>
      </c>
      <c r="BJ69" s="222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515" t="s">
        <v>401</v>
      </c>
      <c r="B70" s="144"/>
      <c r="C70" s="200"/>
      <c r="D70" s="201"/>
      <c r="E70" s="534">
        <f t="shared" si="0"/>
        <v>0</v>
      </c>
      <c r="F70" s="535">
        <f t="shared" si="126"/>
        <v>0</v>
      </c>
      <c r="G70" s="202" t="str">
        <f t="shared" si="125"/>
        <v/>
      </c>
      <c r="H70" s="544">
        <f>IFERROR(+G70*B70*-100,0)</f>
        <v>0</v>
      </c>
      <c r="I70" s="545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6">
        <f t="shared" si="11"/>
        <v>0</v>
      </c>
      <c r="AY70" s="217">
        <f t="shared" si="12"/>
        <v>0</v>
      </c>
      <c r="AZ70" s="148" t="s">
        <v>402</v>
      </c>
      <c r="BA70" s="112"/>
      <c r="BB70" s="129"/>
      <c r="BC70" s="115"/>
      <c r="BD70" s="218">
        <f t="shared" si="13"/>
        <v>0</v>
      </c>
      <c r="BE70" s="220">
        <f t="shared" si="14"/>
        <v>0</v>
      </c>
      <c r="BF70" s="149" t="s">
        <v>403</v>
      </c>
      <c r="BG70" s="112"/>
      <c r="BH70" s="115"/>
      <c r="BI70" s="221">
        <f t="shared" si="15"/>
        <v>0</v>
      </c>
      <c r="BJ70" s="222">
        <f t="shared" si="16"/>
        <v>0</v>
      </c>
      <c r="DE70" s="117">
        <f t="shared" ref="DE70:DE101" si="127">DE3</f>
        <v>1791.9425524598291</v>
      </c>
      <c r="DF70" s="118">
        <f t="shared" ref="DF70:DF101" si="128">IF($DE70&gt;$R$3,$Q$3*100*($DE70-$R$3),0)</f>
        <v>0</v>
      </c>
      <c r="DG70" s="118">
        <f t="shared" ref="DG70:DG101" si="129">IF($DE70&gt;$R$4,$Q$4*100*($DE70-$R$4),0)</f>
        <v>0</v>
      </c>
      <c r="DH70" s="118">
        <f t="shared" ref="DH70:DH101" si="130">IF($DE70&gt;$R$5,$Q$5*100*($DE70-$R$5),0)</f>
        <v>0</v>
      </c>
      <c r="DI70" s="118">
        <f t="shared" ref="DI70:DI101" si="131">IF($DE70&gt;$R$6,$Q$6*100*($DE70-$R$6),0)</f>
        <v>0</v>
      </c>
      <c r="DJ70" s="118">
        <f t="shared" ref="DJ70:DJ101" si="132">IF($DE70&gt;$R$7,$Q$7*100*($DE70-$R$7),0)</f>
        <v>0</v>
      </c>
      <c r="DK70" s="118">
        <f t="shared" ref="DK70:DK101" si="133">IF($DE70&gt;$R$8,$Q$8*100*($DE70-$R$8),0)</f>
        <v>0</v>
      </c>
      <c r="DL70" s="118">
        <f t="shared" ref="DL70:DL101" si="134">IF($DE70&gt;$R$9,$Q$9*100*($DE70-$R$9),0)</f>
        <v>0</v>
      </c>
      <c r="DM70" s="118">
        <f t="shared" ref="DM70:DM101" si="135">IF($DE70&gt;$R$10,$Q$10*100*($DE70-$R$10),0)</f>
        <v>0</v>
      </c>
      <c r="DN70" s="118">
        <f t="shared" ref="DN70:DN101" si="136">IF($DE70&gt;$R$11,$Q$11*100*($DE70-$R$11),0)</f>
        <v>0</v>
      </c>
      <c r="DO70" s="118">
        <f t="shared" ref="DO70:DO101" si="137">IF($DE70&gt;$R$12,$Q$12*100*($DE70-$R$12),0)</f>
        <v>0</v>
      </c>
      <c r="DP70" s="118">
        <f t="shared" ref="DP70:DP101" si="138">IF($DE70&gt;$R$13,$Q$13*100*($DE70-$R$13),0)</f>
        <v>0</v>
      </c>
      <c r="DQ70" s="118">
        <f t="shared" ref="DQ70:DQ101" si="139">IF($DE70&gt;$R$14,$Q$14*100*($DE70-$R$14),0)</f>
        <v>0</v>
      </c>
      <c r="DR70" s="118">
        <f t="shared" ref="DR70:DR101" si="140">IF($DE70&gt;$R$15,$Q$15*100*($DE70-$R$15),0)</f>
        <v>0</v>
      </c>
      <c r="DS70" s="118">
        <f t="shared" ref="DS70:DS101" si="141">IF($DE70&gt;$R$16,$Q$16*100*($DE70-$R$16),0)</f>
        <v>0</v>
      </c>
      <c r="DT70" s="118">
        <f t="shared" ref="DT70:DT101" si="142">IF($DE70&gt;$R$17,$Q$17*100*($DE70-$R$17),0)</f>
        <v>0</v>
      </c>
      <c r="DU70" s="118">
        <f t="shared" ref="DU70:DU101" si="143">IF($DE70&gt;$R$18,$Q$18*100*($DE70-$R$18),0)</f>
        <v>0</v>
      </c>
      <c r="DV70" s="118">
        <f t="shared" ref="DV70:DV101" si="144">IF($DE70&gt;$R$19,$Q$19*100*($DE70-$R$19),0)</f>
        <v>0</v>
      </c>
      <c r="DW70" s="118">
        <f t="shared" ref="DW70:DW101" si="145">IF($DE70&gt;$R$20,$Q$20*100*($DE70-$R$20),0)</f>
        <v>0</v>
      </c>
      <c r="DX70" s="118">
        <f t="shared" ref="DX70:DX101" si="146">IF($DE70&gt;$R$21,$Q$21*100*($DE70-$R$21),0)</f>
        <v>0</v>
      </c>
      <c r="DY70" s="118">
        <f t="shared" ref="DY70:DY101" si="147">IF($DE70&gt;$R$22,$Q$22*100*($DE70-$R$22),0)</f>
        <v>0</v>
      </c>
      <c r="DZ70" s="118">
        <f t="shared" ref="DZ70:DZ101" si="148">IF($DE70&gt;$R$23,$Q$23*100*($DE70-$R$23),0)</f>
        <v>0</v>
      </c>
      <c r="EA70" s="118">
        <f t="shared" ref="EA70:EA101" si="149">IF($DE70&gt;$R$24,$Q$24*100*($DE70-$R$24),0)</f>
        <v>0</v>
      </c>
      <c r="EB70" s="118">
        <f t="shared" ref="EB70:EB101" si="150">IF($DE70&gt;$R$25,$Q$25*100*($DE70-$R$25),0)</f>
        <v>0</v>
      </c>
      <c r="EC70" s="118">
        <f t="shared" ref="EC70:EC101" si="151">IF($DE70&gt;$R$26,$Q$26*100*($DE70-$R$26),0)</f>
        <v>0</v>
      </c>
      <c r="ED70" s="118">
        <f t="shared" ref="ED70:ED101" si="152">IF($DE70&gt;$R$27,$Q$27*100*($DE70-$R$27),0)</f>
        <v>0</v>
      </c>
      <c r="EE70" s="118">
        <f t="shared" ref="EE70:EE101" si="153">IF($DE70&gt;$R$28,$Q$28*100*($DE70-$R$28),0)</f>
        <v>0</v>
      </c>
      <c r="EF70" s="118">
        <f t="shared" ref="EF70:EF101" si="154">IF($DE70&gt;$R$29,$Q$29*100*($DE70-$R$29),0)</f>
        <v>0</v>
      </c>
      <c r="EG70" s="118">
        <f t="shared" ref="EG70:EG101" si="155">IF($DE70&gt;$R$30,$Q$30*100*($DE70-$R$30),0)</f>
        <v>0</v>
      </c>
      <c r="EH70" s="118">
        <f t="shared" ref="EH70:EH101" si="156">IF($DE70&gt;$R$31,$Q$31*100*($DE70-$R$31),0)</f>
        <v>0</v>
      </c>
      <c r="EI70" s="118">
        <f t="shared" ref="EI70:EI101" si="157">IF($DE70&gt;$R$32,$Q$32*100*($DE70-$R$32),0)</f>
        <v>0</v>
      </c>
      <c r="EJ70" s="118">
        <f t="shared" ref="EJ70:EJ101" si="158">IF($DE70&gt;$R$33,$Q$33*100*($DE70-$R$33),0)</f>
        <v>0</v>
      </c>
      <c r="EK70" s="118">
        <f t="shared" ref="EK70:EK101" si="159">IF($DE70&gt;$R$34,$Q$34*100*($DE70-$R$34),0)</f>
        <v>0</v>
      </c>
      <c r="EL70" s="118">
        <f t="shared" ref="EL70:EL101" si="160">IF($DE70&gt;$R$35,$Q$35*100*($DE70-$R$35),0)</f>
        <v>0</v>
      </c>
      <c r="EM70" s="118">
        <f t="shared" ref="EM70:EM101" si="161">IF($DE70&gt;$R$36,$Q$36*100*($DE70-$R$36),0)</f>
        <v>0</v>
      </c>
      <c r="EN70" s="118">
        <f t="shared" ref="EN70:EN101" si="162">IF($DE70&gt;$R$37,$Q$37*100*($DE70-$R$37),0)</f>
        <v>0</v>
      </c>
      <c r="EO70" s="118">
        <f t="shared" ref="EO70:EO101" si="163">IF($DE70&gt;$R$38,$Q$38*100*($DE70-$R$38),0)</f>
        <v>0</v>
      </c>
      <c r="EP70" s="118">
        <f t="shared" ref="EP70:EP101" si="164">IF($DE70&gt;$R$39,$Q$39*100*($DE70-$R$39),0)</f>
        <v>0</v>
      </c>
      <c r="EQ70" s="118">
        <f t="shared" ref="EQ70:EQ101" si="165">IF($DE70&gt;$R$40,$Q$40*100*($DE70-$R$40),0)</f>
        <v>0</v>
      </c>
      <c r="ER70" s="118">
        <f t="shared" ref="ER70:ER101" si="166">IF($DE70&gt;$R$41,$Q$41*100*($DE70-$R$41),0)</f>
        <v>0</v>
      </c>
      <c r="ES70" s="118">
        <f t="shared" ref="ES70:ES101" si="167">IF($DE70&gt;$R$42,$Q$42*100*($DE70-$R$42),0)</f>
        <v>0</v>
      </c>
      <c r="ET70" s="177">
        <f t="shared" ref="ET70:ET101" si="168">SUM(DF70:ES70)</f>
        <v>0</v>
      </c>
      <c r="EU70" s="72"/>
      <c r="EV70" s="117">
        <f t="shared" ref="EV70:EV101" si="169">EV3</f>
        <v>1791.9425524598291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0">SUM(EW70:GJ70)</f>
        <v>0</v>
      </c>
    </row>
    <row r="71" spans="1:193">
      <c r="A71" s="515" t="s">
        <v>401</v>
      </c>
      <c r="B71" s="144"/>
      <c r="C71" s="200"/>
      <c r="D71" s="201"/>
      <c r="E71" s="534">
        <f t="shared" si="0"/>
        <v>0</v>
      </c>
      <c r="F71" s="535">
        <f t="shared" si="126"/>
        <v>0</v>
      </c>
      <c r="G71" s="202" t="str">
        <f t="shared" si="125"/>
        <v/>
      </c>
      <c r="H71" s="544">
        <f>IFERROR(+G71*B71*-100,0)</f>
        <v>0</v>
      </c>
      <c r="I71" s="545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6">
        <f t="shared" si="11"/>
        <v>0</v>
      </c>
      <c r="AY71" s="217">
        <f t="shared" si="12"/>
        <v>0</v>
      </c>
      <c r="AZ71" s="148" t="s">
        <v>402</v>
      </c>
      <c r="BA71" s="112"/>
      <c r="BB71" s="129"/>
      <c r="BC71" s="115"/>
      <c r="BD71" s="218">
        <f t="shared" si="13"/>
        <v>0</v>
      </c>
      <c r="BE71" s="220">
        <f t="shared" si="14"/>
        <v>0</v>
      </c>
      <c r="BF71" s="149" t="s">
        <v>403</v>
      </c>
      <c r="BG71" s="112"/>
      <c r="BH71" s="115"/>
      <c r="BI71" s="221">
        <f t="shared" si="15"/>
        <v>0</v>
      </c>
      <c r="BJ71" s="222">
        <f t="shared" si="16"/>
        <v>0</v>
      </c>
      <c r="DE71" s="117">
        <f t="shared" si="127"/>
        <v>1847.3634561441538</v>
      </c>
      <c r="DF71" s="118">
        <f t="shared" si="128"/>
        <v>0</v>
      </c>
      <c r="DG71" s="118">
        <f t="shared" si="129"/>
        <v>0</v>
      </c>
      <c r="DH71" s="118">
        <f t="shared" si="130"/>
        <v>0</v>
      </c>
      <c r="DI71" s="118">
        <f t="shared" si="131"/>
        <v>0</v>
      </c>
      <c r="DJ71" s="118">
        <f t="shared" si="132"/>
        <v>0</v>
      </c>
      <c r="DK71" s="118">
        <f t="shared" si="133"/>
        <v>0</v>
      </c>
      <c r="DL71" s="118">
        <f t="shared" si="134"/>
        <v>0</v>
      </c>
      <c r="DM71" s="118">
        <f t="shared" si="135"/>
        <v>0</v>
      </c>
      <c r="DN71" s="118">
        <f t="shared" si="136"/>
        <v>0</v>
      </c>
      <c r="DO71" s="118">
        <f t="shared" si="137"/>
        <v>0</v>
      </c>
      <c r="DP71" s="118">
        <f t="shared" si="138"/>
        <v>0</v>
      </c>
      <c r="DQ71" s="118">
        <f t="shared" si="139"/>
        <v>0</v>
      </c>
      <c r="DR71" s="118">
        <f t="shared" si="140"/>
        <v>0</v>
      </c>
      <c r="DS71" s="118">
        <f t="shared" si="141"/>
        <v>0</v>
      </c>
      <c r="DT71" s="118">
        <f t="shared" si="142"/>
        <v>0</v>
      </c>
      <c r="DU71" s="118">
        <f t="shared" si="143"/>
        <v>0</v>
      </c>
      <c r="DV71" s="118">
        <f t="shared" si="144"/>
        <v>0</v>
      </c>
      <c r="DW71" s="118">
        <f t="shared" si="145"/>
        <v>0</v>
      </c>
      <c r="DX71" s="118">
        <f t="shared" si="146"/>
        <v>0</v>
      </c>
      <c r="DY71" s="118">
        <f t="shared" si="147"/>
        <v>0</v>
      </c>
      <c r="DZ71" s="118">
        <f t="shared" si="148"/>
        <v>0</v>
      </c>
      <c r="EA71" s="118">
        <f t="shared" si="149"/>
        <v>0</v>
      </c>
      <c r="EB71" s="118">
        <f t="shared" si="150"/>
        <v>0</v>
      </c>
      <c r="EC71" s="118">
        <f t="shared" si="151"/>
        <v>0</v>
      </c>
      <c r="ED71" s="118">
        <f t="shared" si="152"/>
        <v>0</v>
      </c>
      <c r="EE71" s="118">
        <f t="shared" si="153"/>
        <v>0</v>
      </c>
      <c r="EF71" s="118">
        <f t="shared" si="154"/>
        <v>0</v>
      </c>
      <c r="EG71" s="118">
        <f t="shared" si="155"/>
        <v>0</v>
      </c>
      <c r="EH71" s="118">
        <f t="shared" si="156"/>
        <v>0</v>
      </c>
      <c r="EI71" s="118">
        <f t="shared" si="157"/>
        <v>0</v>
      </c>
      <c r="EJ71" s="118">
        <f t="shared" si="158"/>
        <v>0</v>
      </c>
      <c r="EK71" s="118">
        <f t="shared" si="159"/>
        <v>0</v>
      </c>
      <c r="EL71" s="118">
        <f t="shared" si="160"/>
        <v>0</v>
      </c>
      <c r="EM71" s="118">
        <f t="shared" si="161"/>
        <v>0</v>
      </c>
      <c r="EN71" s="118">
        <f t="shared" si="162"/>
        <v>0</v>
      </c>
      <c r="EO71" s="118">
        <f t="shared" si="163"/>
        <v>0</v>
      </c>
      <c r="EP71" s="118">
        <f t="shared" si="164"/>
        <v>0</v>
      </c>
      <c r="EQ71" s="118">
        <f t="shared" si="165"/>
        <v>0</v>
      </c>
      <c r="ER71" s="118">
        <f t="shared" si="166"/>
        <v>0</v>
      </c>
      <c r="ES71" s="118">
        <f t="shared" si="167"/>
        <v>0</v>
      </c>
      <c r="ET71" s="177">
        <f t="shared" si="168"/>
        <v>0</v>
      </c>
      <c r="EU71" s="72"/>
      <c r="EV71" s="117">
        <f t="shared" si="169"/>
        <v>1847.3634561441538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0"/>
        <v>0</v>
      </c>
    </row>
    <row r="72" spans="1:193" ht="13.5" thickBot="1">
      <c r="A72" s="515" t="s">
        <v>401</v>
      </c>
      <c r="B72" s="178"/>
      <c r="C72" s="207"/>
      <c r="D72" s="208"/>
      <c r="E72" s="536">
        <f t="shared" si="0"/>
        <v>0</v>
      </c>
      <c r="F72" s="537">
        <f t="shared" si="126"/>
        <v>0</v>
      </c>
      <c r="G72" s="206" t="str">
        <f t="shared" si="125"/>
        <v/>
      </c>
      <c r="H72" s="546">
        <f>IFERROR(+G72*B72*-100,0)</f>
        <v>0</v>
      </c>
      <c r="I72" s="547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6">
        <f t="shared" si="11"/>
        <v>0</v>
      </c>
      <c r="AY72" s="217">
        <f t="shared" si="12"/>
        <v>0</v>
      </c>
      <c r="AZ72" s="148" t="s">
        <v>402</v>
      </c>
      <c r="BA72" s="112"/>
      <c r="BB72" s="129"/>
      <c r="BC72" s="115"/>
      <c r="BD72" s="218">
        <f t="shared" si="13"/>
        <v>0</v>
      </c>
      <c r="BE72" s="220">
        <f t="shared" si="14"/>
        <v>0</v>
      </c>
      <c r="BF72" s="149" t="s">
        <v>403</v>
      </c>
      <c r="BG72" s="112"/>
      <c r="BH72" s="115"/>
      <c r="BI72" s="221">
        <f t="shared" si="15"/>
        <v>0</v>
      </c>
      <c r="BJ72" s="222">
        <f t="shared" si="16"/>
        <v>0</v>
      </c>
      <c r="DE72" s="117">
        <f t="shared" si="127"/>
        <v>1904.4984083960348</v>
      </c>
      <c r="DF72" s="118">
        <f t="shared" si="128"/>
        <v>0</v>
      </c>
      <c r="DG72" s="118">
        <f t="shared" si="129"/>
        <v>0</v>
      </c>
      <c r="DH72" s="118">
        <f t="shared" si="130"/>
        <v>0</v>
      </c>
      <c r="DI72" s="118">
        <f t="shared" si="131"/>
        <v>0</v>
      </c>
      <c r="DJ72" s="118">
        <f t="shared" si="132"/>
        <v>0</v>
      </c>
      <c r="DK72" s="118">
        <f t="shared" si="133"/>
        <v>0</v>
      </c>
      <c r="DL72" s="118">
        <f t="shared" si="134"/>
        <v>0</v>
      </c>
      <c r="DM72" s="118">
        <f t="shared" si="135"/>
        <v>0</v>
      </c>
      <c r="DN72" s="118">
        <f t="shared" si="136"/>
        <v>0</v>
      </c>
      <c r="DO72" s="118">
        <f t="shared" si="137"/>
        <v>0</v>
      </c>
      <c r="DP72" s="118">
        <f t="shared" si="138"/>
        <v>0</v>
      </c>
      <c r="DQ72" s="118">
        <f t="shared" si="139"/>
        <v>0</v>
      </c>
      <c r="DR72" s="118">
        <f t="shared" si="140"/>
        <v>0</v>
      </c>
      <c r="DS72" s="118">
        <f t="shared" si="141"/>
        <v>0</v>
      </c>
      <c r="DT72" s="118">
        <f t="shared" si="142"/>
        <v>0</v>
      </c>
      <c r="DU72" s="118">
        <f t="shared" si="143"/>
        <v>0</v>
      </c>
      <c r="DV72" s="118">
        <f t="shared" si="144"/>
        <v>0</v>
      </c>
      <c r="DW72" s="118">
        <f t="shared" si="145"/>
        <v>0</v>
      </c>
      <c r="DX72" s="118">
        <f t="shared" si="146"/>
        <v>0</v>
      </c>
      <c r="DY72" s="118">
        <f t="shared" si="147"/>
        <v>0</v>
      </c>
      <c r="DZ72" s="118">
        <f t="shared" si="148"/>
        <v>0</v>
      </c>
      <c r="EA72" s="118">
        <f t="shared" si="149"/>
        <v>0</v>
      </c>
      <c r="EB72" s="118">
        <f t="shared" si="150"/>
        <v>0</v>
      </c>
      <c r="EC72" s="118">
        <f t="shared" si="151"/>
        <v>0</v>
      </c>
      <c r="ED72" s="118">
        <f t="shared" si="152"/>
        <v>0</v>
      </c>
      <c r="EE72" s="118">
        <f t="shared" si="153"/>
        <v>0</v>
      </c>
      <c r="EF72" s="118">
        <f t="shared" si="154"/>
        <v>0</v>
      </c>
      <c r="EG72" s="118">
        <f t="shared" si="155"/>
        <v>0</v>
      </c>
      <c r="EH72" s="118">
        <f t="shared" si="156"/>
        <v>0</v>
      </c>
      <c r="EI72" s="118">
        <f t="shared" si="157"/>
        <v>0</v>
      </c>
      <c r="EJ72" s="118">
        <f t="shared" si="158"/>
        <v>0</v>
      </c>
      <c r="EK72" s="118">
        <f t="shared" si="159"/>
        <v>0</v>
      </c>
      <c r="EL72" s="118">
        <f t="shared" si="160"/>
        <v>0</v>
      </c>
      <c r="EM72" s="118">
        <f t="shared" si="161"/>
        <v>0</v>
      </c>
      <c r="EN72" s="118">
        <f t="shared" si="162"/>
        <v>0</v>
      </c>
      <c r="EO72" s="118">
        <f t="shared" si="163"/>
        <v>0</v>
      </c>
      <c r="EP72" s="118">
        <f t="shared" si="164"/>
        <v>0</v>
      </c>
      <c r="EQ72" s="118">
        <f t="shared" si="165"/>
        <v>0</v>
      </c>
      <c r="ER72" s="118">
        <f t="shared" si="166"/>
        <v>0</v>
      </c>
      <c r="ES72" s="118">
        <f t="shared" si="167"/>
        <v>0</v>
      </c>
      <c r="ET72" s="177">
        <f t="shared" si="168"/>
        <v>0</v>
      </c>
      <c r="EU72" s="72"/>
      <c r="EV72" s="117">
        <f t="shared" si="169"/>
        <v>1904.4984083960348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0"/>
        <v>0</v>
      </c>
    </row>
    <row r="73" spans="1:193">
      <c r="A73" s="765" t="s">
        <v>403</v>
      </c>
      <c r="B73" s="179"/>
      <c r="C73" s="180"/>
      <c r="D73" s="181"/>
      <c r="E73" s="538">
        <f>-C73*B73</f>
        <v>0</v>
      </c>
      <c r="F73" s="539">
        <f>IF(B73&gt;0,-C73*(1+($N$52+0.0008)*1.21)*B73,-C73*(1-($N$52+0.0008)*1.21)*B73)</f>
        <v>0</v>
      </c>
      <c r="G73" s="212">
        <f>B76</f>
        <v>2829.75</v>
      </c>
      <c r="H73" s="548">
        <f>-G73*B73</f>
        <v>0</v>
      </c>
      <c r="I73" s="549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6">
        <f t="shared" si="11"/>
        <v>0</v>
      </c>
      <c r="AY73" s="217">
        <f t="shared" si="12"/>
        <v>0</v>
      </c>
      <c r="AZ73" s="148" t="s">
        <v>402</v>
      </c>
      <c r="BA73" s="112"/>
      <c r="BB73" s="129"/>
      <c r="BC73" s="115"/>
      <c r="BD73" s="218">
        <f t="shared" si="13"/>
        <v>0</v>
      </c>
      <c r="BE73" s="220">
        <f t="shared" si="14"/>
        <v>0</v>
      </c>
      <c r="BF73" s="149" t="s">
        <v>403</v>
      </c>
      <c r="BG73" s="112"/>
      <c r="BH73" s="115"/>
      <c r="BI73" s="221">
        <f t="shared" si="15"/>
        <v>0</v>
      </c>
      <c r="BJ73" s="222">
        <f t="shared" si="16"/>
        <v>0</v>
      </c>
      <c r="DE73" s="117">
        <f t="shared" si="127"/>
        <v>1963.4004210268401</v>
      </c>
      <c r="DF73" s="118">
        <f t="shared" si="128"/>
        <v>0</v>
      </c>
      <c r="DG73" s="118">
        <f t="shared" si="129"/>
        <v>0</v>
      </c>
      <c r="DH73" s="118">
        <f t="shared" si="130"/>
        <v>0</v>
      </c>
      <c r="DI73" s="118">
        <f t="shared" si="131"/>
        <v>0</v>
      </c>
      <c r="DJ73" s="118">
        <f t="shared" si="132"/>
        <v>0</v>
      </c>
      <c r="DK73" s="118">
        <f t="shared" si="133"/>
        <v>0</v>
      </c>
      <c r="DL73" s="118">
        <f t="shared" si="134"/>
        <v>0</v>
      </c>
      <c r="DM73" s="118">
        <f t="shared" si="135"/>
        <v>0</v>
      </c>
      <c r="DN73" s="118">
        <f t="shared" si="136"/>
        <v>0</v>
      </c>
      <c r="DO73" s="118">
        <f t="shared" si="137"/>
        <v>0</v>
      </c>
      <c r="DP73" s="118">
        <f t="shared" si="138"/>
        <v>0</v>
      </c>
      <c r="DQ73" s="118">
        <f t="shared" si="139"/>
        <v>0</v>
      </c>
      <c r="DR73" s="118">
        <f t="shared" si="140"/>
        <v>0</v>
      </c>
      <c r="DS73" s="118">
        <f t="shared" si="141"/>
        <v>0</v>
      </c>
      <c r="DT73" s="118">
        <f t="shared" si="142"/>
        <v>0</v>
      </c>
      <c r="DU73" s="118">
        <f t="shared" si="143"/>
        <v>0</v>
      </c>
      <c r="DV73" s="118">
        <f t="shared" si="144"/>
        <v>0</v>
      </c>
      <c r="DW73" s="118">
        <f t="shared" si="145"/>
        <v>0</v>
      </c>
      <c r="DX73" s="118">
        <f t="shared" si="146"/>
        <v>0</v>
      </c>
      <c r="DY73" s="118">
        <f t="shared" si="147"/>
        <v>0</v>
      </c>
      <c r="DZ73" s="118">
        <f t="shared" si="148"/>
        <v>0</v>
      </c>
      <c r="EA73" s="118">
        <f t="shared" si="149"/>
        <v>0</v>
      </c>
      <c r="EB73" s="118">
        <f t="shared" si="150"/>
        <v>0</v>
      </c>
      <c r="EC73" s="118">
        <f t="shared" si="151"/>
        <v>0</v>
      </c>
      <c r="ED73" s="118">
        <f t="shared" si="152"/>
        <v>0</v>
      </c>
      <c r="EE73" s="118">
        <f t="shared" si="153"/>
        <v>0</v>
      </c>
      <c r="EF73" s="118">
        <f t="shared" si="154"/>
        <v>0</v>
      </c>
      <c r="EG73" s="118">
        <f t="shared" si="155"/>
        <v>0</v>
      </c>
      <c r="EH73" s="118">
        <f t="shared" si="156"/>
        <v>0</v>
      </c>
      <c r="EI73" s="118">
        <f t="shared" si="157"/>
        <v>0</v>
      </c>
      <c r="EJ73" s="118">
        <f t="shared" si="158"/>
        <v>0</v>
      </c>
      <c r="EK73" s="118">
        <f t="shared" si="159"/>
        <v>0</v>
      </c>
      <c r="EL73" s="118">
        <f t="shared" si="160"/>
        <v>0</v>
      </c>
      <c r="EM73" s="118">
        <f t="shared" si="161"/>
        <v>0</v>
      </c>
      <c r="EN73" s="118">
        <f t="shared" si="162"/>
        <v>0</v>
      </c>
      <c r="EO73" s="118">
        <f t="shared" si="163"/>
        <v>0</v>
      </c>
      <c r="EP73" s="118">
        <f t="shared" si="164"/>
        <v>0</v>
      </c>
      <c r="EQ73" s="118">
        <f t="shared" si="165"/>
        <v>0</v>
      </c>
      <c r="ER73" s="118">
        <f t="shared" si="166"/>
        <v>0</v>
      </c>
      <c r="ES73" s="118">
        <f t="shared" si="167"/>
        <v>0</v>
      </c>
      <c r="ET73" s="177">
        <f t="shared" si="168"/>
        <v>0</v>
      </c>
      <c r="EU73" s="72"/>
      <c r="EV73" s="117">
        <f t="shared" si="169"/>
        <v>1963.4004210268401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0"/>
        <v>0</v>
      </c>
    </row>
    <row r="74" spans="1:193">
      <c r="A74" s="766"/>
      <c r="B74" s="144"/>
      <c r="C74" s="125"/>
      <c r="D74" s="182"/>
      <c r="E74" s="540">
        <f>-C74*B74</f>
        <v>0</v>
      </c>
      <c r="F74" s="541">
        <f>IF(B74&gt;0,-C74*(1+($N$52+0.0008)*1.21)*B74,-C74*(1-($N$52+0.0008)*1.21)*B74)</f>
        <v>0</v>
      </c>
      <c r="G74" s="212">
        <f>G73</f>
        <v>2829.75</v>
      </c>
      <c r="H74" s="548">
        <f>-G74*B74</f>
        <v>0</v>
      </c>
      <c r="I74" s="549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6">
        <f t="shared" si="11"/>
        <v>0</v>
      </c>
      <c r="AY74" s="217">
        <f t="shared" si="12"/>
        <v>0</v>
      </c>
      <c r="AZ74" s="148" t="s">
        <v>402</v>
      </c>
      <c r="BA74" s="112"/>
      <c r="BB74" s="129"/>
      <c r="BC74" s="115"/>
      <c r="BD74" s="218">
        <f t="shared" si="13"/>
        <v>0</v>
      </c>
      <c r="BE74" s="220">
        <f t="shared" si="14"/>
        <v>0</v>
      </c>
      <c r="BF74" s="149" t="s">
        <v>403</v>
      </c>
      <c r="BG74" s="112"/>
      <c r="BH74" s="115"/>
      <c r="BI74" s="221">
        <f t="shared" si="15"/>
        <v>0</v>
      </c>
      <c r="BJ74" s="222">
        <f t="shared" si="16"/>
        <v>0</v>
      </c>
      <c r="DE74" s="117">
        <f t="shared" si="127"/>
        <v>2024.124145388495</v>
      </c>
      <c r="DF74" s="118">
        <f t="shared" si="128"/>
        <v>0</v>
      </c>
      <c r="DG74" s="118">
        <f t="shared" si="129"/>
        <v>0</v>
      </c>
      <c r="DH74" s="118">
        <f t="shared" si="130"/>
        <v>0</v>
      </c>
      <c r="DI74" s="118">
        <f t="shared" si="131"/>
        <v>0</v>
      </c>
      <c r="DJ74" s="118">
        <f t="shared" si="132"/>
        <v>0</v>
      </c>
      <c r="DK74" s="118">
        <f t="shared" si="133"/>
        <v>0</v>
      </c>
      <c r="DL74" s="118">
        <f t="shared" si="134"/>
        <v>0</v>
      </c>
      <c r="DM74" s="118">
        <f t="shared" si="135"/>
        <v>0</v>
      </c>
      <c r="DN74" s="118">
        <f t="shared" si="136"/>
        <v>0</v>
      </c>
      <c r="DO74" s="118">
        <f t="shared" si="137"/>
        <v>0</v>
      </c>
      <c r="DP74" s="118">
        <f t="shared" si="138"/>
        <v>0</v>
      </c>
      <c r="DQ74" s="118">
        <f t="shared" si="139"/>
        <v>0</v>
      </c>
      <c r="DR74" s="118">
        <f t="shared" si="140"/>
        <v>0</v>
      </c>
      <c r="DS74" s="118">
        <f t="shared" si="141"/>
        <v>0</v>
      </c>
      <c r="DT74" s="118">
        <f t="shared" si="142"/>
        <v>0</v>
      </c>
      <c r="DU74" s="118">
        <f t="shared" si="143"/>
        <v>0</v>
      </c>
      <c r="DV74" s="118">
        <f t="shared" si="144"/>
        <v>0</v>
      </c>
      <c r="DW74" s="118">
        <f t="shared" si="145"/>
        <v>0</v>
      </c>
      <c r="DX74" s="118">
        <f t="shared" si="146"/>
        <v>0</v>
      </c>
      <c r="DY74" s="118">
        <f t="shared" si="147"/>
        <v>0</v>
      </c>
      <c r="DZ74" s="118">
        <f t="shared" si="148"/>
        <v>0</v>
      </c>
      <c r="EA74" s="118">
        <f t="shared" si="149"/>
        <v>0</v>
      </c>
      <c r="EB74" s="118">
        <f t="shared" si="150"/>
        <v>0</v>
      </c>
      <c r="EC74" s="118">
        <f t="shared" si="151"/>
        <v>0</v>
      </c>
      <c r="ED74" s="118">
        <f t="shared" si="152"/>
        <v>0</v>
      </c>
      <c r="EE74" s="118">
        <f t="shared" si="153"/>
        <v>0</v>
      </c>
      <c r="EF74" s="118">
        <f t="shared" si="154"/>
        <v>0</v>
      </c>
      <c r="EG74" s="118">
        <f t="shared" si="155"/>
        <v>0</v>
      </c>
      <c r="EH74" s="118">
        <f t="shared" si="156"/>
        <v>0</v>
      </c>
      <c r="EI74" s="118">
        <f t="shared" si="157"/>
        <v>0</v>
      </c>
      <c r="EJ74" s="118">
        <f t="shared" si="158"/>
        <v>0</v>
      </c>
      <c r="EK74" s="118">
        <f t="shared" si="159"/>
        <v>0</v>
      </c>
      <c r="EL74" s="118">
        <f t="shared" si="160"/>
        <v>0</v>
      </c>
      <c r="EM74" s="118">
        <f t="shared" si="161"/>
        <v>0</v>
      </c>
      <c r="EN74" s="118">
        <f t="shared" si="162"/>
        <v>0</v>
      </c>
      <c r="EO74" s="118">
        <f t="shared" si="163"/>
        <v>0</v>
      </c>
      <c r="EP74" s="118">
        <f t="shared" si="164"/>
        <v>0</v>
      </c>
      <c r="EQ74" s="118">
        <f t="shared" si="165"/>
        <v>0</v>
      </c>
      <c r="ER74" s="118">
        <f t="shared" si="166"/>
        <v>0</v>
      </c>
      <c r="ES74" s="118">
        <f t="shared" si="167"/>
        <v>0</v>
      </c>
      <c r="ET74" s="177">
        <f t="shared" si="168"/>
        <v>0</v>
      </c>
      <c r="EU74" s="72"/>
      <c r="EV74" s="117">
        <f t="shared" si="169"/>
        <v>2024.124145388495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0"/>
        <v>0</v>
      </c>
    </row>
    <row r="75" spans="1:193" ht="13.5" thickBot="1">
      <c r="A75" s="767"/>
      <c r="B75" s="178"/>
      <c r="C75" s="183"/>
      <c r="D75" s="184"/>
      <c r="E75" s="542">
        <f>-C75*B75</f>
        <v>0</v>
      </c>
      <c r="F75" s="543">
        <f>IF(B75&gt;0,-C75*(1+($N$52+0.0008)*1.21)*B75,-C75*(1-($N$52+0.0008)*1.21)*B75)</f>
        <v>0</v>
      </c>
      <c r="G75" s="213">
        <f>G74</f>
        <v>2829.75</v>
      </c>
      <c r="H75" s="550">
        <f>-G75*B75</f>
        <v>0</v>
      </c>
      <c r="I75" s="551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6">
        <f t="shared" si="11"/>
        <v>0</v>
      </c>
      <c r="AY75" s="217">
        <f t="shared" si="12"/>
        <v>0</v>
      </c>
      <c r="AZ75" s="148" t="s">
        <v>402</v>
      </c>
      <c r="BA75" s="112"/>
      <c r="BB75" s="129"/>
      <c r="BC75" s="115"/>
      <c r="BD75" s="218">
        <f t="shared" si="13"/>
        <v>0</v>
      </c>
      <c r="BE75" s="220">
        <f t="shared" si="14"/>
        <v>0</v>
      </c>
      <c r="BF75" s="149" t="s">
        <v>403</v>
      </c>
      <c r="BG75" s="112"/>
      <c r="BH75" s="115"/>
      <c r="BI75" s="221">
        <f t="shared" si="15"/>
        <v>0</v>
      </c>
      <c r="BJ75" s="222">
        <f t="shared" si="16"/>
        <v>0</v>
      </c>
      <c r="DE75" s="117">
        <f t="shared" si="127"/>
        <v>2086.7259230809227</v>
      </c>
      <c r="DF75" s="118">
        <f t="shared" si="128"/>
        <v>0</v>
      </c>
      <c r="DG75" s="118">
        <f t="shared" si="129"/>
        <v>0</v>
      </c>
      <c r="DH75" s="118">
        <f t="shared" si="130"/>
        <v>0</v>
      </c>
      <c r="DI75" s="118">
        <f t="shared" si="131"/>
        <v>0</v>
      </c>
      <c r="DJ75" s="118">
        <f t="shared" si="132"/>
        <v>0</v>
      </c>
      <c r="DK75" s="118">
        <f t="shared" si="133"/>
        <v>0</v>
      </c>
      <c r="DL75" s="118">
        <f t="shared" si="134"/>
        <v>0</v>
      </c>
      <c r="DM75" s="118">
        <f t="shared" si="135"/>
        <v>0</v>
      </c>
      <c r="DN75" s="118">
        <f t="shared" si="136"/>
        <v>0</v>
      </c>
      <c r="DO75" s="118">
        <f t="shared" si="137"/>
        <v>0</v>
      </c>
      <c r="DP75" s="118">
        <f t="shared" si="138"/>
        <v>0</v>
      </c>
      <c r="DQ75" s="118">
        <f t="shared" si="139"/>
        <v>0</v>
      </c>
      <c r="DR75" s="118">
        <f t="shared" si="140"/>
        <v>0</v>
      </c>
      <c r="DS75" s="118">
        <f t="shared" si="141"/>
        <v>0</v>
      </c>
      <c r="DT75" s="118">
        <f t="shared" si="142"/>
        <v>0</v>
      </c>
      <c r="DU75" s="118">
        <f t="shared" si="143"/>
        <v>0</v>
      </c>
      <c r="DV75" s="118">
        <f t="shared" si="144"/>
        <v>0</v>
      </c>
      <c r="DW75" s="118">
        <f t="shared" si="145"/>
        <v>0</v>
      </c>
      <c r="DX75" s="118">
        <f t="shared" si="146"/>
        <v>0</v>
      </c>
      <c r="DY75" s="118">
        <f t="shared" si="147"/>
        <v>0</v>
      </c>
      <c r="DZ75" s="118">
        <f t="shared" si="148"/>
        <v>0</v>
      </c>
      <c r="EA75" s="118">
        <f t="shared" si="149"/>
        <v>0</v>
      </c>
      <c r="EB75" s="118">
        <f t="shared" si="150"/>
        <v>0</v>
      </c>
      <c r="EC75" s="118">
        <f t="shared" si="151"/>
        <v>0</v>
      </c>
      <c r="ED75" s="118">
        <f t="shared" si="152"/>
        <v>0</v>
      </c>
      <c r="EE75" s="118">
        <f t="shared" si="153"/>
        <v>0</v>
      </c>
      <c r="EF75" s="118">
        <f t="shared" si="154"/>
        <v>0</v>
      </c>
      <c r="EG75" s="118">
        <f t="shared" si="155"/>
        <v>0</v>
      </c>
      <c r="EH75" s="118">
        <f t="shared" si="156"/>
        <v>0</v>
      </c>
      <c r="EI75" s="118">
        <f t="shared" si="157"/>
        <v>0</v>
      </c>
      <c r="EJ75" s="118">
        <f t="shared" si="158"/>
        <v>0</v>
      </c>
      <c r="EK75" s="118">
        <f t="shared" si="159"/>
        <v>0</v>
      </c>
      <c r="EL75" s="118">
        <f t="shared" si="160"/>
        <v>0</v>
      </c>
      <c r="EM75" s="118">
        <f t="shared" si="161"/>
        <v>0</v>
      </c>
      <c r="EN75" s="118">
        <f t="shared" si="162"/>
        <v>0</v>
      </c>
      <c r="EO75" s="118">
        <f t="shared" si="163"/>
        <v>0</v>
      </c>
      <c r="EP75" s="118">
        <f t="shared" si="164"/>
        <v>0</v>
      </c>
      <c r="EQ75" s="118">
        <f t="shared" si="165"/>
        <v>0</v>
      </c>
      <c r="ER75" s="118">
        <f t="shared" si="166"/>
        <v>0</v>
      </c>
      <c r="ES75" s="118">
        <f t="shared" si="167"/>
        <v>0</v>
      </c>
      <c r="ET75" s="177">
        <f t="shared" si="168"/>
        <v>0</v>
      </c>
      <c r="EU75" s="72"/>
      <c r="EV75" s="117">
        <f t="shared" si="169"/>
        <v>2086.7259230809227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0"/>
        <v>0</v>
      </c>
    </row>
    <row r="76" spans="1:193" ht="13.5" thickBot="1">
      <c r="A76" s="185" t="s">
        <v>458</v>
      </c>
      <c r="B76" s="512">
        <f>IFERROR(VLOOKUP("GGAL - 48hs",HomeBroker!$A$18:$F$106,6,0),0)</f>
        <v>2829.75</v>
      </c>
      <c r="C76" s="186"/>
      <c r="D76" s="187" t="s">
        <v>459</v>
      </c>
      <c r="E76" s="509">
        <f>SUM(E3:E75)</f>
        <v>-8736</v>
      </c>
      <c r="F76" s="510">
        <f>SUM(F3:F75)</f>
        <v>-8812.1080320000001</v>
      </c>
      <c r="G76" s="188"/>
      <c r="H76" s="189"/>
      <c r="I76" s="511">
        <f>SUM(I3:I75)</f>
        <v>-4360.1080320000001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6">
        <f t="shared" si="11"/>
        <v>0</v>
      </c>
      <c r="AY76" s="217">
        <f t="shared" si="12"/>
        <v>0</v>
      </c>
      <c r="AZ76" s="148" t="s">
        <v>402</v>
      </c>
      <c r="BA76" s="112"/>
      <c r="BB76" s="129"/>
      <c r="BC76" s="115"/>
      <c r="BD76" s="218">
        <f t="shared" si="13"/>
        <v>0</v>
      </c>
      <c r="BE76" s="220">
        <f t="shared" si="14"/>
        <v>0</v>
      </c>
      <c r="BF76" s="149" t="s">
        <v>403</v>
      </c>
      <c r="BG76" s="112"/>
      <c r="BH76" s="115"/>
      <c r="BI76" s="221">
        <f t="shared" si="15"/>
        <v>0</v>
      </c>
      <c r="BJ76" s="222">
        <f t="shared" si="16"/>
        <v>0</v>
      </c>
      <c r="DE76" s="117">
        <f t="shared" si="127"/>
        <v>2151.2638382277555</v>
      </c>
      <c r="DF76" s="118">
        <f t="shared" si="128"/>
        <v>0</v>
      </c>
      <c r="DG76" s="118">
        <f t="shared" si="129"/>
        <v>0</v>
      </c>
      <c r="DH76" s="118">
        <f t="shared" si="130"/>
        <v>0</v>
      </c>
      <c r="DI76" s="118">
        <f t="shared" si="131"/>
        <v>0</v>
      </c>
      <c r="DJ76" s="118">
        <f t="shared" si="132"/>
        <v>0</v>
      </c>
      <c r="DK76" s="118">
        <f t="shared" si="133"/>
        <v>0</v>
      </c>
      <c r="DL76" s="118">
        <f t="shared" si="134"/>
        <v>0</v>
      </c>
      <c r="DM76" s="118">
        <f t="shared" si="135"/>
        <v>0</v>
      </c>
      <c r="DN76" s="118">
        <f t="shared" si="136"/>
        <v>0</v>
      </c>
      <c r="DO76" s="118">
        <f t="shared" si="137"/>
        <v>0</v>
      </c>
      <c r="DP76" s="118">
        <f t="shared" si="138"/>
        <v>0</v>
      </c>
      <c r="DQ76" s="118">
        <f t="shared" si="139"/>
        <v>0</v>
      </c>
      <c r="DR76" s="118">
        <f t="shared" si="140"/>
        <v>0</v>
      </c>
      <c r="DS76" s="118">
        <f t="shared" si="141"/>
        <v>0</v>
      </c>
      <c r="DT76" s="118">
        <f t="shared" si="142"/>
        <v>0</v>
      </c>
      <c r="DU76" s="118">
        <f t="shared" si="143"/>
        <v>0</v>
      </c>
      <c r="DV76" s="118">
        <f t="shared" si="144"/>
        <v>0</v>
      </c>
      <c r="DW76" s="118">
        <f t="shared" si="145"/>
        <v>0</v>
      </c>
      <c r="DX76" s="118">
        <f t="shared" si="146"/>
        <v>0</v>
      </c>
      <c r="DY76" s="118">
        <f t="shared" si="147"/>
        <v>0</v>
      </c>
      <c r="DZ76" s="118">
        <f t="shared" si="148"/>
        <v>0</v>
      </c>
      <c r="EA76" s="118">
        <f t="shared" si="149"/>
        <v>0</v>
      </c>
      <c r="EB76" s="118">
        <f t="shared" si="150"/>
        <v>0</v>
      </c>
      <c r="EC76" s="118">
        <f t="shared" si="151"/>
        <v>0</v>
      </c>
      <c r="ED76" s="118">
        <f t="shared" si="152"/>
        <v>0</v>
      </c>
      <c r="EE76" s="118">
        <f t="shared" si="153"/>
        <v>0</v>
      </c>
      <c r="EF76" s="118">
        <f t="shared" si="154"/>
        <v>0</v>
      </c>
      <c r="EG76" s="118">
        <f t="shared" si="155"/>
        <v>0</v>
      </c>
      <c r="EH76" s="118">
        <f t="shared" si="156"/>
        <v>0</v>
      </c>
      <c r="EI76" s="118">
        <f t="shared" si="157"/>
        <v>0</v>
      </c>
      <c r="EJ76" s="118">
        <f t="shared" si="158"/>
        <v>0</v>
      </c>
      <c r="EK76" s="118">
        <f t="shared" si="159"/>
        <v>0</v>
      </c>
      <c r="EL76" s="118">
        <f t="shared" si="160"/>
        <v>0</v>
      </c>
      <c r="EM76" s="118">
        <f t="shared" si="161"/>
        <v>0</v>
      </c>
      <c r="EN76" s="118">
        <f t="shared" si="162"/>
        <v>0</v>
      </c>
      <c r="EO76" s="118">
        <f t="shared" si="163"/>
        <v>0</v>
      </c>
      <c r="EP76" s="118">
        <f t="shared" si="164"/>
        <v>0</v>
      </c>
      <c r="EQ76" s="118">
        <f t="shared" si="165"/>
        <v>0</v>
      </c>
      <c r="ER76" s="118">
        <f t="shared" si="166"/>
        <v>0</v>
      </c>
      <c r="ES76" s="118">
        <f t="shared" si="167"/>
        <v>0</v>
      </c>
      <c r="ET76" s="177">
        <f t="shared" si="168"/>
        <v>0</v>
      </c>
      <c r="EU76" s="72"/>
      <c r="EV76" s="117">
        <f t="shared" si="169"/>
        <v>2151.2638382277555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0"/>
        <v>0</v>
      </c>
    </row>
    <row r="77" spans="1:193">
      <c r="DE77" s="117">
        <f t="shared" si="127"/>
        <v>2217.7977713688201</v>
      </c>
      <c r="DF77" s="118">
        <f t="shared" si="128"/>
        <v>0</v>
      </c>
      <c r="DG77" s="118">
        <f t="shared" si="129"/>
        <v>0</v>
      </c>
      <c r="DH77" s="118">
        <f t="shared" si="130"/>
        <v>0</v>
      </c>
      <c r="DI77" s="118">
        <f t="shared" si="131"/>
        <v>0</v>
      </c>
      <c r="DJ77" s="118">
        <f t="shared" si="132"/>
        <v>0</v>
      </c>
      <c r="DK77" s="118">
        <f t="shared" si="133"/>
        <v>0</v>
      </c>
      <c r="DL77" s="118">
        <f t="shared" si="134"/>
        <v>0</v>
      </c>
      <c r="DM77" s="118">
        <f t="shared" si="135"/>
        <v>0</v>
      </c>
      <c r="DN77" s="118">
        <f t="shared" si="136"/>
        <v>0</v>
      </c>
      <c r="DO77" s="118">
        <f t="shared" si="137"/>
        <v>0</v>
      </c>
      <c r="DP77" s="118">
        <f t="shared" si="138"/>
        <v>0</v>
      </c>
      <c r="DQ77" s="118">
        <f t="shared" si="139"/>
        <v>0</v>
      </c>
      <c r="DR77" s="118">
        <f t="shared" si="140"/>
        <v>0</v>
      </c>
      <c r="DS77" s="118">
        <f t="shared" si="141"/>
        <v>0</v>
      </c>
      <c r="DT77" s="118">
        <f t="shared" si="142"/>
        <v>0</v>
      </c>
      <c r="DU77" s="118">
        <f t="shared" si="143"/>
        <v>0</v>
      </c>
      <c r="DV77" s="118">
        <f t="shared" si="144"/>
        <v>0</v>
      </c>
      <c r="DW77" s="118">
        <f t="shared" si="145"/>
        <v>0</v>
      </c>
      <c r="DX77" s="118">
        <f t="shared" si="146"/>
        <v>0</v>
      </c>
      <c r="DY77" s="118">
        <f t="shared" si="147"/>
        <v>0</v>
      </c>
      <c r="DZ77" s="118">
        <f t="shared" si="148"/>
        <v>0</v>
      </c>
      <c r="EA77" s="118">
        <f t="shared" si="149"/>
        <v>0</v>
      </c>
      <c r="EB77" s="118">
        <f t="shared" si="150"/>
        <v>0</v>
      </c>
      <c r="EC77" s="118">
        <f t="shared" si="151"/>
        <v>0</v>
      </c>
      <c r="ED77" s="118">
        <f t="shared" si="152"/>
        <v>0</v>
      </c>
      <c r="EE77" s="118">
        <f t="shared" si="153"/>
        <v>0</v>
      </c>
      <c r="EF77" s="118">
        <f t="shared" si="154"/>
        <v>0</v>
      </c>
      <c r="EG77" s="118">
        <f t="shared" si="155"/>
        <v>0</v>
      </c>
      <c r="EH77" s="118">
        <f t="shared" si="156"/>
        <v>0</v>
      </c>
      <c r="EI77" s="118">
        <f t="shared" si="157"/>
        <v>0</v>
      </c>
      <c r="EJ77" s="118">
        <f t="shared" si="158"/>
        <v>0</v>
      </c>
      <c r="EK77" s="118">
        <f t="shared" si="159"/>
        <v>0</v>
      </c>
      <c r="EL77" s="118">
        <f t="shared" si="160"/>
        <v>0</v>
      </c>
      <c r="EM77" s="118">
        <f t="shared" si="161"/>
        <v>0</v>
      </c>
      <c r="EN77" s="118">
        <f t="shared" si="162"/>
        <v>0</v>
      </c>
      <c r="EO77" s="118">
        <f t="shared" si="163"/>
        <v>0</v>
      </c>
      <c r="EP77" s="118">
        <f t="shared" si="164"/>
        <v>0</v>
      </c>
      <c r="EQ77" s="118">
        <f t="shared" si="165"/>
        <v>0</v>
      </c>
      <c r="ER77" s="118">
        <f t="shared" si="166"/>
        <v>0</v>
      </c>
      <c r="ES77" s="118">
        <f t="shared" si="167"/>
        <v>0</v>
      </c>
      <c r="ET77" s="177">
        <f t="shared" si="168"/>
        <v>0</v>
      </c>
      <c r="EU77" s="72"/>
      <c r="EV77" s="117">
        <f t="shared" si="169"/>
        <v>2217.7977713688201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0"/>
        <v>0</v>
      </c>
    </row>
    <row r="78" spans="1:193">
      <c r="DE78" s="117">
        <f t="shared" si="127"/>
        <v>2286.3894550194022</v>
      </c>
      <c r="DF78" s="118">
        <f t="shared" si="128"/>
        <v>0</v>
      </c>
      <c r="DG78" s="118">
        <f t="shared" si="129"/>
        <v>0</v>
      </c>
      <c r="DH78" s="118">
        <f t="shared" si="130"/>
        <v>0</v>
      </c>
      <c r="DI78" s="118">
        <f t="shared" si="131"/>
        <v>0</v>
      </c>
      <c r="DJ78" s="118">
        <f t="shared" si="132"/>
        <v>0</v>
      </c>
      <c r="DK78" s="118">
        <f t="shared" si="133"/>
        <v>0</v>
      </c>
      <c r="DL78" s="118">
        <f t="shared" si="134"/>
        <v>0</v>
      </c>
      <c r="DM78" s="118">
        <f t="shared" si="135"/>
        <v>0</v>
      </c>
      <c r="DN78" s="118">
        <f t="shared" si="136"/>
        <v>0</v>
      </c>
      <c r="DO78" s="118">
        <f t="shared" si="137"/>
        <v>0</v>
      </c>
      <c r="DP78" s="118">
        <f t="shared" si="138"/>
        <v>0</v>
      </c>
      <c r="DQ78" s="118">
        <f t="shared" si="139"/>
        <v>0</v>
      </c>
      <c r="DR78" s="118">
        <f t="shared" si="140"/>
        <v>0</v>
      </c>
      <c r="DS78" s="118">
        <f t="shared" si="141"/>
        <v>0</v>
      </c>
      <c r="DT78" s="118">
        <f t="shared" si="142"/>
        <v>0</v>
      </c>
      <c r="DU78" s="118">
        <f t="shared" si="143"/>
        <v>0</v>
      </c>
      <c r="DV78" s="118">
        <f t="shared" si="144"/>
        <v>0</v>
      </c>
      <c r="DW78" s="118">
        <f t="shared" si="145"/>
        <v>0</v>
      </c>
      <c r="DX78" s="118">
        <f t="shared" si="146"/>
        <v>0</v>
      </c>
      <c r="DY78" s="118">
        <f t="shared" si="147"/>
        <v>0</v>
      </c>
      <c r="DZ78" s="118">
        <f t="shared" si="148"/>
        <v>0</v>
      </c>
      <c r="EA78" s="118">
        <f t="shared" si="149"/>
        <v>0</v>
      </c>
      <c r="EB78" s="118">
        <f t="shared" si="150"/>
        <v>0</v>
      </c>
      <c r="EC78" s="118">
        <f t="shared" si="151"/>
        <v>0</v>
      </c>
      <c r="ED78" s="118">
        <f t="shared" si="152"/>
        <v>0</v>
      </c>
      <c r="EE78" s="118">
        <f t="shared" si="153"/>
        <v>0</v>
      </c>
      <c r="EF78" s="118">
        <f t="shared" si="154"/>
        <v>0</v>
      </c>
      <c r="EG78" s="118">
        <f t="shared" si="155"/>
        <v>0</v>
      </c>
      <c r="EH78" s="118">
        <f t="shared" si="156"/>
        <v>0</v>
      </c>
      <c r="EI78" s="118">
        <f t="shared" si="157"/>
        <v>0</v>
      </c>
      <c r="EJ78" s="118">
        <f t="shared" si="158"/>
        <v>0</v>
      </c>
      <c r="EK78" s="118">
        <f t="shared" si="159"/>
        <v>0</v>
      </c>
      <c r="EL78" s="118">
        <f t="shared" si="160"/>
        <v>0</v>
      </c>
      <c r="EM78" s="118">
        <f t="shared" si="161"/>
        <v>0</v>
      </c>
      <c r="EN78" s="118">
        <f t="shared" si="162"/>
        <v>0</v>
      </c>
      <c r="EO78" s="118">
        <f t="shared" si="163"/>
        <v>0</v>
      </c>
      <c r="EP78" s="118">
        <f t="shared" si="164"/>
        <v>0</v>
      </c>
      <c r="EQ78" s="118">
        <f t="shared" si="165"/>
        <v>0</v>
      </c>
      <c r="ER78" s="118">
        <f t="shared" si="166"/>
        <v>0</v>
      </c>
      <c r="ES78" s="118">
        <f t="shared" si="167"/>
        <v>0</v>
      </c>
      <c r="ET78" s="177">
        <f t="shared" si="168"/>
        <v>0</v>
      </c>
      <c r="EU78" s="72"/>
      <c r="EV78" s="117">
        <f t="shared" si="169"/>
        <v>2286.3894550194022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0"/>
        <v>0</v>
      </c>
    </row>
    <row r="79" spans="1:193">
      <c r="DE79" s="117">
        <f t="shared" si="127"/>
        <v>2357.1025309478373</v>
      </c>
      <c r="DF79" s="118">
        <f t="shared" si="128"/>
        <v>0</v>
      </c>
      <c r="DG79" s="118">
        <f t="shared" si="129"/>
        <v>0</v>
      </c>
      <c r="DH79" s="118">
        <f t="shared" si="130"/>
        <v>0</v>
      </c>
      <c r="DI79" s="118">
        <f t="shared" si="131"/>
        <v>0</v>
      </c>
      <c r="DJ79" s="118">
        <f t="shared" si="132"/>
        <v>0</v>
      </c>
      <c r="DK79" s="118">
        <f t="shared" si="133"/>
        <v>0</v>
      </c>
      <c r="DL79" s="118">
        <f t="shared" si="134"/>
        <v>0</v>
      </c>
      <c r="DM79" s="118">
        <f t="shared" si="135"/>
        <v>0</v>
      </c>
      <c r="DN79" s="118">
        <f t="shared" si="136"/>
        <v>0</v>
      </c>
      <c r="DO79" s="118">
        <f t="shared" si="137"/>
        <v>0</v>
      </c>
      <c r="DP79" s="118">
        <f t="shared" si="138"/>
        <v>0</v>
      </c>
      <c r="DQ79" s="118">
        <f t="shared" si="139"/>
        <v>0</v>
      </c>
      <c r="DR79" s="118">
        <f t="shared" si="140"/>
        <v>0</v>
      </c>
      <c r="DS79" s="118">
        <f t="shared" si="141"/>
        <v>0</v>
      </c>
      <c r="DT79" s="118">
        <f t="shared" si="142"/>
        <v>0</v>
      </c>
      <c r="DU79" s="118">
        <f t="shared" si="143"/>
        <v>0</v>
      </c>
      <c r="DV79" s="118">
        <f t="shared" si="144"/>
        <v>0</v>
      </c>
      <c r="DW79" s="118">
        <f t="shared" si="145"/>
        <v>0</v>
      </c>
      <c r="DX79" s="118">
        <f t="shared" si="146"/>
        <v>0</v>
      </c>
      <c r="DY79" s="118">
        <f t="shared" si="147"/>
        <v>0</v>
      </c>
      <c r="DZ79" s="118">
        <f t="shared" si="148"/>
        <v>0</v>
      </c>
      <c r="EA79" s="118">
        <f t="shared" si="149"/>
        <v>0</v>
      </c>
      <c r="EB79" s="118">
        <f t="shared" si="150"/>
        <v>0</v>
      </c>
      <c r="EC79" s="118">
        <f t="shared" si="151"/>
        <v>0</v>
      </c>
      <c r="ED79" s="118">
        <f t="shared" si="152"/>
        <v>0</v>
      </c>
      <c r="EE79" s="118">
        <f t="shared" si="153"/>
        <v>0</v>
      </c>
      <c r="EF79" s="118">
        <f t="shared" si="154"/>
        <v>0</v>
      </c>
      <c r="EG79" s="118">
        <f t="shared" si="155"/>
        <v>0</v>
      </c>
      <c r="EH79" s="118">
        <f t="shared" si="156"/>
        <v>0</v>
      </c>
      <c r="EI79" s="118">
        <f t="shared" si="157"/>
        <v>0</v>
      </c>
      <c r="EJ79" s="118">
        <f t="shared" si="158"/>
        <v>0</v>
      </c>
      <c r="EK79" s="118">
        <f t="shared" si="159"/>
        <v>0</v>
      </c>
      <c r="EL79" s="118">
        <f t="shared" si="160"/>
        <v>0</v>
      </c>
      <c r="EM79" s="118">
        <f t="shared" si="161"/>
        <v>0</v>
      </c>
      <c r="EN79" s="118">
        <f t="shared" si="162"/>
        <v>0</v>
      </c>
      <c r="EO79" s="118">
        <f t="shared" si="163"/>
        <v>0</v>
      </c>
      <c r="EP79" s="118">
        <f t="shared" si="164"/>
        <v>0</v>
      </c>
      <c r="EQ79" s="118">
        <f t="shared" si="165"/>
        <v>0</v>
      </c>
      <c r="ER79" s="118">
        <f t="shared" si="166"/>
        <v>0</v>
      </c>
      <c r="ES79" s="118">
        <f t="shared" si="167"/>
        <v>0</v>
      </c>
      <c r="ET79" s="177">
        <f t="shared" si="168"/>
        <v>0</v>
      </c>
      <c r="EU79" s="72"/>
      <c r="EV79" s="117">
        <f t="shared" si="169"/>
        <v>2357.1025309478373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0"/>
        <v>0</v>
      </c>
    </row>
    <row r="80" spans="1:193">
      <c r="DE80" s="117">
        <f t="shared" si="127"/>
        <v>2430.0026092245748</v>
      </c>
      <c r="DF80" s="118">
        <f t="shared" si="128"/>
        <v>0</v>
      </c>
      <c r="DG80" s="118">
        <f t="shared" si="129"/>
        <v>0</v>
      </c>
      <c r="DH80" s="118">
        <f t="shared" si="130"/>
        <v>0</v>
      </c>
      <c r="DI80" s="118">
        <f t="shared" si="131"/>
        <v>0</v>
      </c>
      <c r="DJ80" s="118">
        <f t="shared" si="132"/>
        <v>0</v>
      </c>
      <c r="DK80" s="118">
        <f t="shared" si="133"/>
        <v>0</v>
      </c>
      <c r="DL80" s="118">
        <f t="shared" si="134"/>
        <v>0</v>
      </c>
      <c r="DM80" s="118">
        <f t="shared" si="135"/>
        <v>0</v>
      </c>
      <c r="DN80" s="118">
        <f t="shared" si="136"/>
        <v>0</v>
      </c>
      <c r="DO80" s="118">
        <f t="shared" si="137"/>
        <v>0</v>
      </c>
      <c r="DP80" s="118">
        <f t="shared" si="138"/>
        <v>0</v>
      </c>
      <c r="DQ80" s="118">
        <f t="shared" si="139"/>
        <v>0</v>
      </c>
      <c r="DR80" s="118">
        <f t="shared" si="140"/>
        <v>0</v>
      </c>
      <c r="DS80" s="118">
        <f t="shared" si="141"/>
        <v>0</v>
      </c>
      <c r="DT80" s="118">
        <f t="shared" si="142"/>
        <v>0</v>
      </c>
      <c r="DU80" s="118">
        <f t="shared" si="143"/>
        <v>0</v>
      </c>
      <c r="DV80" s="118">
        <f t="shared" si="144"/>
        <v>0</v>
      </c>
      <c r="DW80" s="118">
        <f t="shared" si="145"/>
        <v>0</v>
      </c>
      <c r="DX80" s="118">
        <f t="shared" si="146"/>
        <v>0</v>
      </c>
      <c r="DY80" s="118">
        <f t="shared" si="147"/>
        <v>0</v>
      </c>
      <c r="DZ80" s="118">
        <f t="shared" si="148"/>
        <v>0</v>
      </c>
      <c r="EA80" s="118">
        <f t="shared" si="149"/>
        <v>0</v>
      </c>
      <c r="EB80" s="118">
        <f t="shared" si="150"/>
        <v>0</v>
      </c>
      <c r="EC80" s="118">
        <f t="shared" si="151"/>
        <v>0</v>
      </c>
      <c r="ED80" s="118">
        <f t="shared" si="152"/>
        <v>0</v>
      </c>
      <c r="EE80" s="118">
        <f t="shared" si="153"/>
        <v>0</v>
      </c>
      <c r="EF80" s="118">
        <f t="shared" si="154"/>
        <v>0</v>
      </c>
      <c r="EG80" s="118">
        <f t="shared" si="155"/>
        <v>0</v>
      </c>
      <c r="EH80" s="118">
        <f t="shared" si="156"/>
        <v>0</v>
      </c>
      <c r="EI80" s="118">
        <f t="shared" si="157"/>
        <v>0</v>
      </c>
      <c r="EJ80" s="118">
        <f t="shared" si="158"/>
        <v>0</v>
      </c>
      <c r="EK80" s="118">
        <f t="shared" si="159"/>
        <v>0</v>
      </c>
      <c r="EL80" s="118">
        <f t="shared" si="160"/>
        <v>0</v>
      </c>
      <c r="EM80" s="118">
        <f t="shared" si="161"/>
        <v>0</v>
      </c>
      <c r="EN80" s="118">
        <f t="shared" si="162"/>
        <v>0</v>
      </c>
      <c r="EO80" s="118">
        <f t="shared" si="163"/>
        <v>0</v>
      </c>
      <c r="EP80" s="118">
        <f t="shared" si="164"/>
        <v>0</v>
      </c>
      <c r="EQ80" s="118">
        <f t="shared" si="165"/>
        <v>0</v>
      </c>
      <c r="ER80" s="118">
        <f t="shared" si="166"/>
        <v>0</v>
      </c>
      <c r="ES80" s="118">
        <f t="shared" si="167"/>
        <v>0</v>
      </c>
      <c r="ET80" s="177">
        <f t="shared" si="168"/>
        <v>0</v>
      </c>
      <c r="EU80" s="72"/>
      <c r="EV80" s="117">
        <f t="shared" si="169"/>
        <v>2430.0026092245748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0"/>
        <v>0</v>
      </c>
    </row>
    <row r="81" spans="109:193">
      <c r="DE81" s="117">
        <f t="shared" si="127"/>
        <v>2505.1573290974998</v>
      </c>
      <c r="DF81" s="118">
        <f t="shared" si="128"/>
        <v>0</v>
      </c>
      <c r="DG81" s="118">
        <f t="shared" si="129"/>
        <v>0</v>
      </c>
      <c r="DH81" s="118">
        <f t="shared" si="130"/>
        <v>0</v>
      </c>
      <c r="DI81" s="118">
        <f t="shared" si="131"/>
        <v>0</v>
      </c>
      <c r="DJ81" s="118">
        <f t="shared" si="132"/>
        <v>0</v>
      </c>
      <c r="DK81" s="118">
        <f t="shared" si="133"/>
        <v>0</v>
      </c>
      <c r="DL81" s="118">
        <f t="shared" si="134"/>
        <v>0</v>
      </c>
      <c r="DM81" s="118">
        <f t="shared" si="135"/>
        <v>0</v>
      </c>
      <c r="DN81" s="118">
        <f t="shared" si="136"/>
        <v>0</v>
      </c>
      <c r="DO81" s="118">
        <f t="shared" si="137"/>
        <v>0</v>
      </c>
      <c r="DP81" s="118">
        <f t="shared" si="138"/>
        <v>0</v>
      </c>
      <c r="DQ81" s="118">
        <f t="shared" si="139"/>
        <v>0</v>
      </c>
      <c r="DR81" s="118">
        <f t="shared" si="140"/>
        <v>0</v>
      </c>
      <c r="DS81" s="118">
        <f t="shared" si="141"/>
        <v>0</v>
      </c>
      <c r="DT81" s="118">
        <f t="shared" si="142"/>
        <v>0</v>
      </c>
      <c r="DU81" s="118">
        <f t="shared" si="143"/>
        <v>0</v>
      </c>
      <c r="DV81" s="118">
        <f t="shared" si="144"/>
        <v>0</v>
      </c>
      <c r="DW81" s="118">
        <f t="shared" si="145"/>
        <v>0</v>
      </c>
      <c r="DX81" s="118">
        <f t="shared" si="146"/>
        <v>0</v>
      </c>
      <c r="DY81" s="118">
        <f t="shared" si="147"/>
        <v>0</v>
      </c>
      <c r="DZ81" s="118">
        <f t="shared" si="148"/>
        <v>0</v>
      </c>
      <c r="EA81" s="118">
        <f t="shared" si="149"/>
        <v>0</v>
      </c>
      <c r="EB81" s="118">
        <f t="shared" si="150"/>
        <v>0</v>
      </c>
      <c r="EC81" s="118">
        <f t="shared" si="151"/>
        <v>0</v>
      </c>
      <c r="ED81" s="118">
        <f t="shared" si="152"/>
        <v>0</v>
      </c>
      <c r="EE81" s="118">
        <f t="shared" si="153"/>
        <v>0</v>
      </c>
      <c r="EF81" s="118">
        <f t="shared" si="154"/>
        <v>0</v>
      </c>
      <c r="EG81" s="118">
        <f t="shared" si="155"/>
        <v>0</v>
      </c>
      <c r="EH81" s="118">
        <f t="shared" si="156"/>
        <v>0</v>
      </c>
      <c r="EI81" s="118">
        <f t="shared" si="157"/>
        <v>0</v>
      </c>
      <c r="EJ81" s="118">
        <f t="shared" si="158"/>
        <v>0</v>
      </c>
      <c r="EK81" s="118">
        <f t="shared" si="159"/>
        <v>0</v>
      </c>
      <c r="EL81" s="118">
        <f t="shared" si="160"/>
        <v>0</v>
      </c>
      <c r="EM81" s="118">
        <f t="shared" si="161"/>
        <v>0</v>
      </c>
      <c r="EN81" s="118">
        <f t="shared" si="162"/>
        <v>0</v>
      </c>
      <c r="EO81" s="118">
        <f t="shared" si="163"/>
        <v>0</v>
      </c>
      <c r="EP81" s="118">
        <f t="shared" si="164"/>
        <v>0</v>
      </c>
      <c r="EQ81" s="118">
        <f t="shared" si="165"/>
        <v>0</v>
      </c>
      <c r="ER81" s="118">
        <f t="shared" si="166"/>
        <v>0</v>
      </c>
      <c r="ES81" s="118">
        <f t="shared" si="167"/>
        <v>0</v>
      </c>
      <c r="ET81" s="177">
        <f t="shared" si="168"/>
        <v>0</v>
      </c>
      <c r="EU81" s="72"/>
      <c r="EV81" s="117">
        <f t="shared" si="169"/>
        <v>2505.1573290974998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0"/>
        <v>0</v>
      </c>
    </row>
    <row r="82" spans="109:193">
      <c r="DE82" s="117">
        <f t="shared" si="127"/>
        <v>2582.63642175</v>
      </c>
      <c r="DF82" s="118">
        <f t="shared" si="128"/>
        <v>0</v>
      </c>
      <c r="DG82" s="118">
        <f t="shared" si="129"/>
        <v>0</v>
      </c>
      <c r="DH82" s="118">
        <f t="shared" si="130"/>
        <v>0</v>
      </c>
      <c r="DI82" s="118">
        <f t="shared" si="131"/>
        <v>0</v>
      </c>
      <c r="DJ82" s="118">
        <f t="shared" si="132"/>
        <v>0</v>
      </c>
      <c r="DK82" s="118">
        <f t="shared" si="133"/>
        <v>0</v>
      </c>
      <c r="DL82" s="118">
        <f t="shared" si="134"/>
        <v>0</v>
      </c>
      <c r="DM82" s="118">
        <f t="shared" si="135"/>
        <v>0</v>
      </c>
      <c r="DN82" s="118">
        <f t="shared" si="136"/>
        <v>0</v>
      </c>
      <c r="DO82" s="118">
        <f t="shared" si="137"/>
        <v>0</v>
      </c>
      <c r="DP82" s="118">
        <f t="shared" si="138"/>
        <v>0</v>
      </c>
      <c r="DQ82" s="118">
        <f t="shared" si="139"/>
        <v>0</v>
      </c>
      <c r="DR82" s="118">
        <f t="shared" si="140"/>
        <v>0</v>
      </c>
      <c r="DS82" s="118">
        <f t="shared" si="141"/>
        <v>0</v>
      </c>
      <c r="DT82" s="118">
        <f t="shared" si="142"/>
        <v>0</v>
      </c>
      <c r="DU82" s="118">
        <f t="shared" si="143"/>
        <v>0</v>
      </c>
      <c r="DV82" s="118">
        <f t="shared" si="144"/>
        <v>0</v>
      </c>
      <c r="DW82" s="118">
        <f t="shared" si="145"/>
        <v>0</v>
      </c>
      <c r="DX82" s="118">
        <f t="shared" si="146"/>
        <v>0</v>
      </c>
      <c r="DY82" s="118">
        <f t="shared" si="147"/>
        <v>0</v>
      </c>
      <c r="DZ82" s="118">
        <f t="shared" si="148"/>
        <v>0</v>
      </c>
      <c r="EA82" s="118">
        <f t="shared" si="149"/>
        <v>0</v>
      </c>
      <c r="EB82" s="118">
        <f t="shared" si="150"/>
        <v>0</v>
      </c>
      <c r="EC82" s="118">
        <f t="shared" si="151"/>
        <v>0</v>
      </c>
      <c r="ED82" s="118">
        <f t="shared" si="152"/>
        <v>0</v>
      </c>
      <c r="EE82" s="118">
        <f t="shared" si="153"/>
        <v>0</v>
      </c>
      <c r="EF82" s="118">
        <f t="shared" si="154"/>
        <v>0</v>
      </c>
      <c r="EG82" s="118">
        <f t="shared" si="155"/>
        <v>0</v>
      </c>
      <c r="EH82" s="118">
        <f t="shared" si="156"/>
        <v>0</v>
      </c>
      <c r="EI82" s="118">
        <f t="shared" si="157"/>
        <v>0</v>
      </c>
      <c r="EJ82" s="118">
        <f t="shared" si="158"/>
        <v>0</v>
      </c>
      <c r="EK82" s="118">
        <f t="shared" si="159"/>
        <v>0</v>
      </c>
      <c r="EL82" s="118">
        <f t="shared" si="160"/>
        <v>0</v>
      </c>
      <c r="EM82" s="118">
        <f t="shared" si="161"/>
        <v>0</v>
      </c>
      <c r="EN82" s="118">
        <f t="shared" si="162"/>
        <v>0</v>
      </c>
      <c r="EO82" s="118">
        <f t="shared" si="163"/>
        <v>0</v>
      </c>
      <c r="EP82" s="118">
        <f t="shared" si="164"/>
        <v>0</v>
      </c>
      <c r="EQ82" s="118">
        <f t="shared" si="165"/>
        <v>0</v>
      </c>
      <c r="ER82" s="118">
        <f t="shared" si="166"/>
        <v>0</v>
      </c>
      <c r="ES82" s="118">
        <f t="shared" si="167"/>
        <v>0</v>
      </c>
      <c r="ET82" s="177">
        <f t="shared" si="168"/>
        <v>0</v>
      </c>
      <c r="EU82" s="72"/>
      <c r="EV82" s="117">
        <f t="shared" si="169"/>
        <v>2582.63642175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0"/>
        <v>0</v>
      </c>
    </row>
    <row r="83" spans="109:193">
      <c r="DE83" s="117">
        <f t="shared" si="127"/>
        <v>2662.5117749999999</v>
      </c>
      <c r="DF83" s="118">
        <f t="shared" si="128"/>
        <v>0</v>
      </c>
      <c r="DG83" s="118">
        <f t="shared" si="129"/>
        <v>0</v>
      </c>
      <c r="DH83" s="118">
        <f t="shared" si="130"/>
        <v>0</v>
      </c>
      <c r="DI83" s="118">
        <f t="shared" si="131"/>
        <v>0</v>
      </c>
      <c r="DJ83" s="118">
        <f t="shared" si="132"/>
        <v>0</v>
      </c>
      <c r="DK83" s="118">
        <f t="shared" si="133"/>
        <v>0</v>
      </c>
      <c r="DL83" s="118">
        <f t="shared" si="134"/>
        <v>0</v>
      </c>
      <c r="DM83" s="118">
        <f t="shared" si="135"/>
        <v>0</v>
      </c>
      <c r="DN83" s="118">
        <f t="shared" si="136"/>
        <v>0</v>
      </c>
      <c r="DO83" s="118">
        <f t="shared" si="137"/>
        <v>0</v>
      </c>
      <c r="DP83" s="118">
        <f t="shared" si="138"/>
        <v>0</v>
      </c>
      <c r="DQ83" s="118">
        <f t="shared" si="139"/>
        <v>0</v>
      </c>
      <c r="DR83" s="118">
        <f t="shared" si="140"/>
        <v>0</v>
      </c>
      <c r="DS83" s="118">
        <f t="shared" si="141"/>
        <v>0</v>
      </c>
      <c r="DT83" s="118">
        <f t="shared" si="142"/>
        <v>0</v>
      </c>
      <c r="DU83" s="118">
        <f t="shared" si="143"/>
        <v>0</v>
      </c>
      <c r="DV83" s="118">
        <f t="shared" si="144"/>
        <v>0</v>
      </c>
      <c r="DW83" s="118">
        <f t="shared" si="145"/>
        <v>0</v>
      </c>
      <c r="DX83" s="118">
        <f t="shared" si="146"/>
        <v>0</v>
      </c>
      <c r="DY83" s="118">
        <f t="shared" si="147"/>
        <v>0</v>
      </c>
      <c r="DZ83" s="118">
        <f t="shared" si="148"/>
        <v>0</v>
      </c>
      <c r="EA83" s="118">
        <f t="shared" si="149"/>
        <v>0</v>
      </c>
      <c r="EB83" s="118">
        <f t="shared" si="150"/>
        <v>0</v>
      </c>
      <c r="EC83" s="118">
        <f t="shared" si="151"/>
        <v>0</v>
      </c>
      <c r="ED83" s="118">
        <f t="shared" si="152"/>
        <v>0</v>
      </c>
      <c r="EE83" s="118">
        <f t="shared" si="153"/>
        <v>0</v>
      </c>
      <c r="EF83" s="118">
        <f t="shared" si="154"/>
        <v>0</v>
      </c>
      <c r="EG83" s="118">
        <f t="shared" si="155"/>
        <v>0</v>
      </c>
      <c r="EH83" s="118">
        <f t="shared" si="156"/>
        <v>0</v>
      </c>
      <c r="EI83" s="118">
        <f t="shared" si="157"/>
        <v>0</v>
      </c>
      <c r="EJ83" s="118">
        <f t="shared" si="158"/>
        <v>0</v>
      </c>
      <c r="EK83" s="118">
        <f t="shared" si="159"/>
        <v>0</v>
      </c>
      <c r="EL83" s="118">
        <f t="shared" si="160"/>
        <v>0</v>
      </c>
      <c r="EM83" s="118">
        <f t="shared" si="161"/>
        <v>0</v>
      </c>
      <c r="EN83" s="118">
        <f t="shared" si="162"/>
        <v>0</v>
      </c>
      <c r="EO83" s="118">
        <f t="shared" si="163"/>
        <v>0</v>
      </c>
      <c r="EP83" s="118">
        <f t="shared" si="164"/>
        <v>0</v>
      </c>
      <c r="EQ83" s="118">
        <f t="shared" si="165"/>
        <v>0</v>
      </c>
      <c r="ER83" s="118">
        <f t="shared" si="166"/>
        <v>0</v>
      </c>
      <c r="ES83" s="118">
        <f t="shared" si="167"/>
        <v>0</v>
      </c>
      <c r="ET83" s="177">
        <f t="shared" si="168"/>
        <v>0</v>
      </c>
      <c r="EU83" s="72"/>
      <c r="EV83" s="117">
        <f t="shared" si="169"/>
        <v>2662.5117749999999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0"/>
        <v>0</v>
      </c>
    </row>
    <row r="84" spans="109:193">
      <c r="DE84" s="117">
        <f t="shared" si="127"/>
        <v>2744.8575000000001</v>
      </c>
      <c r="DF84" s="118">
        <f t="shared" si="128"/>
        <v>0</v>
      </c>
      <c r="DG84" s="118">
        <f t="shared" si="129"/>
        <v>0</v>
      </c>
      <c r="DH84" s="118">
        <f t="shared" si="130"/>
        <v>0</v>
      </c>
      <c r="DI84" s="118">
        <f t="shared" si="131"/>
        <v>0</v>
      </c>
      <c r="DJ84" s="118">
        <f t="shared" si="132"/>
        <v>0</v>
      </c>
      <c r="DK84" s="118">
        <f t="shared" si="133"/>
        <v>0</v>
      </c>
      <c r="DL84" s="118">
        <f t="shared" si="134"/>
        <v>0</v>
      </c>
      <c r="DM84" s="118">
        <f t="shared" si="135"/>
        <v>0</v>
      </c>
      <c r="DN84" s="118">
        <f t="shared" si="136"/>
        <v>0</v>
      </c>
      <c r="DO84" s="118">
        <f t="shared" si="137"/>
        <v>0</v>
      </c>
      <c r="DP84" s="118">
        <f t="shared" si="138"/>
        <v>0</v>
      </c>
      <c r="DQ84" s="118">
        <f t="shared" si="139"/>
        <v>0</v>
      </c>
      <c r="DR84" s="118">
        <f t="shared" si="140"/>
        <v>0</v>
      </c>
      <c r="DS84" s="118">
        <f t="shared" si="141"/>
        <v>0</v>
      </c>
      <c r="DT84" s="118">
        <f t="shared" si="142"/>
        <v>0</v>
      </c>
      <c r="DU84" s="118">
        <f t="shared" si="143"/>
        <v>0</v>
      </c>
      <c r="DV84" s="118">
        <f t="shared" si="144"/>
        <v>0</v>
      </c>
      <c r="DW84" s="118">
        <f t="shared" si="145"/>
        <v>0</v>
      </c>
      <c r="DX84" s="118">
        <f t="shared" si="146"/>
        <v>0</v>
      </c>
      <c r="DY84" s="118">
        <f t="shared" si="147"/>
        <v>0</v>
      </c>
      <c r="DZ84" s="118">
        <f t="shared" si="148"/>
        <v>0</v>
      </c>
      <c r="EA84" s="118">
        <f t="shared" si="149"/>
        <v>0</v>
      </c>
      <c r="EB84" s="118">
        <f t="shared" si="150"/>
        <v>0</v>
      </c>
      <c r="EC84" s="118">
        <f t="shared" si="151"/>
        <v>0</v>
      </c>
      <c r="ED84" s="118">
        <f t="shared" si="152"/>
        <v>0</v>
      </c>
      <c r="EE84" s="118">
        <f t="shared" si="153"/>
        <v>0</v>
      </c>
      <c r="EF84" s="118">
        <f t="shared" si="154"/>
        <v>0</v>
      </c>
      <c r="EG84" s="118">
        <f t="shared" si="155"/>
        <v>0</v>
      </c>
      <c r="EH84" s="118">
        <f t="shared" si="156"/>
        <v>0</v>
      </c>
      <c r="EI84" s="118">
        <f t="shared" si="157"/>
        <v>0</v>
      </c>
      <c r="EJ84" s="118">
        <f t="shared" si="158"/>
        <v>0</v>
      </c>
      <c r="EK84" s="118">
        <f t="shared" si="159"/>
        <v>0</v>
      </c>
      <c r="EL84" s="118">
        <f t="shared" si="160"/>
        <v>0</v>
      </c>
      <c r="EM84" s="118">
        <f t="shared" si="161"/>
        <v>0</v>
      </c>
      <c r="EN84" s="118">
        <f t="shared" si="162"/>
        <v>0</v>
      </c>
      <c r="EO84" s="118">
        <f t="shared" si="163"/>
        <v>0</v>
      </c>
      <c r="EP84" s="118">
        <f t="shared" si="164"/>
        <v>0</v>
      </c>
      <c r="EQ84" s="118">
        <f t="shared" si="165"/>
        <v>0</v>
      </c>
      <c r="ER84" s="118">
        <f t="shared" si="166"/>
        <v>0</v>
      </c>
      <c r="ES84" s="118">
        <f t="shared" si="167"/>
        <v>0</v>
      </c>
      <c r="ET84" s="177">
        <f t="shared" si="168"/>
        <v>0</v>
      </c>
      <c r="EU84" s="72"/>
      <c r="EV84" s="117">
        <f t="shared" si="169"/>
        <v>2744.8575000000001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0"/>
        <v>0</v>
      </c>
    </row>
    <row r="85" spans="109:193">
      <c r="DE85" s="117">
        <f t="shared" si="127"/>
        <v>2829.75</v>
      </c>
      <c r="DF85" s="118">
        <f t="shared" si="128"/>
        <v>0</v>
      </c>
      <c r="DG85" s="118">
        <f t="shared" si="129"/>
        <v>0</v>
      </c>
      <c r="DH85" s="118">
        <f t="shared" si="130"/>
        <v>0</v>
      </c>
      <c r="DI85" s="118">
        <f t="shared" si="131"/>
        <v>0</v>
      </c>
      <c r="DJ85" s="118">
        <f t="shared" si="132"/>
        <v>0</v>
      </c>
      <c r="DK85" s="118">
        <f t="shared" si="133"/>
        <v>0</v>
      </c>
      <c r="DL85" s="118">
        <f t="shared" si="134"/>
        <v>0</v>
      </c>
      <c r="DM85" s="118">
        <f t="shared" si="135"/>
        <v>0</v>
      </c>
      <c r="DN85" s="118">
        <f t="shared" si="136"/>
        <v>0</v>
      </c>
      <c r="DO85" s="118">
        <f t="shared" si="137"/>
        <v>0</v>
      </c>
      <c r="DP85" s="118">
        <f t="shared" si="138"/>
        <v>0</v>
      </c>
      <c r="DQ85" s="118">
        <f t="shared" si="139"/>
        <v>0</v>
      </c>
      <c r="DR85" s="118">
        <f t="shared" si="140"/>
        <v>0</v>
      </c>
      <c r="DS85" s="118">
        <f t="shared" si="141"/>
        <v>0</v>
      </c>
      <c r="DT85" s="118">
        <f t="shared" si="142"/>
        <v>0</v>
      </c>
      <c r="DU85" s="118">
        <f t="shared" si="143"/>
        <v>0</v>
      </c>
      <c r="DV85" s="118">
        <f t="shared" si="144"/>
        <v>0</v>
      </c>
      <c r="DW85" s="118">
        <f t="shared" si="145"/>
        <v>0</v>
      </c>
      <c r="DX85" s="118">
        <f t="shared" si="146"/>
        <v>0</v>
      </c>
      <c r="DY85" s="118">
        <f t="shared" si="147"/>
        <v>0</v>
      </c>
      <c r="DZ85" s="118">
        <f t="shared" si="148"/>
        <v>0</v>
      </c>
      <c r="EA85" s="118">
        <f t="shared" si="149"/>
        <v>0</v>
      </c>
      <c r="EB85" s="118">
        <f t="shared" si="150"/>
        <v>0</v>
      </c>
      <c r="EC85" s="118">
        <f t="shared" si="151"/>
        <v>0</v>
      </c>
      <c r="ED85" s="118">
        <f t="shared" si="152"/>
        <v>0</v>
      </c>
      <c r="EE85" s="118">
        <f t="shared" si="153"/>
        <v>0</v>
      </c>
      <c r="EF85" s="118">
        <f t="shared" si="154"/>
        <v>0</v>
      </c>
      <c r="EG85" s="118">
        <f t="shared" si="155"/>
        <v>0</v>
      </c>
      <c r="EH85" s="118">
        <f t="shared" si="156"/>
        <v>0</v>
      </c>
      <c r="EI85" s="118">
        <f t="shared" si="157"/>
        <v>0</v>
      </c>
      <c r="EJ85" s="118">
        <f t="shared" si="158"/>
        <v>0</v>
      </c>
      <c r="EK85" s="118">
        <f t="shared" si="159"/>
        <v>0</v>
      </c>
      <c r="EL85" s="118">
        <f t="shared" si="160"/>
        <v>0</v>
      </c>
      <c r="EM85" s="118">
        <f t="shared" si="161"/>
        <v>0</v>
      </c>
      <c r="EN85" s="118">
        <f t="shared" si="162"/>
        <v>0</v>
      </c>
      <c r="EO85" s="118">
        <f t="shared" si="163"/>
        <v>0</v>
      </c>
      <c r="EP85" s="118">
        <f t="shared" si="164"/>
        <v>0</v>
      </c>
      <c r="EQ85" s="118">
        <f t="shared" si="165"/>
        <v>0</v>
      </c>
      <c r="ER85" s="118">
        <f t="shared" si="166"/>
        <v>0</v>
      </c>
      <c r="ES85" s="118">
        <f t="shared" si="167"/>
        <v>0</v>
      </c>
      <c r="ET85" s="177">
        <f t="shared" si="168"/>
        <v>0</v>
      </c>
      <c r="EU85" s="72"/>
      <c r="EV85" s="117">
        <f t="shared" si="169"/>
        <v>2829.75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0"/>
        <v>0</v>
      </c>
    </row>
    <row r="86" spans="109:193">
      <c r="DE86" s="117">
        <f t="shared" si="127"/>
        <v>2914.6424999999999</v>
      </c>
      <c r="DF86" s="118">
        <f t="shared" si="128"/>
        <v>0</v>
      </c>
      <c r="DG86" s="118">
        <f t="shared" si="129"/>
        <v>0</v>
      </c>
      <c r="DH86" s="118">
        <f t="shared" si="130"/>
        <v>0</v>
      </c>
      <c r="DI86" s="118">
        <f t="shared" si="131"/>
        <v>0</v>
      </c>
      <c r="DJ86" s="118">
        <f t="shared" si="132"/>
        <v>0</v>
      </c>
      <c r="DK86" s="118">
        <f t="shared" si="133"/>
        <v>0</v>
      </c>
      <c r="DL86" s="118">
        <f t="shared" si="134"/>
        <v>0</v>
      </c>
      <c r="DM86" s="118">
        <f t="shared" si="135"/>
        <v>0</v>
      </c>
      <c r="DN86" s="118">
        <f t="shared" si="136"/>
        <v>0</v>
      </c>
      <c r="DO86" s="118">
        <f t="shared" si="137"/>
        <v>0</v>
      </c>
      <c r="DP86" s="118">
        <f t="shared" si="138"/>
        <v>0</v>
      </c>
      <c r="DQ86" s="118">
        <f t="shared" si="139"/>
        <v>0</v>
      </c>
      <c r="DR86" s="118">
        <f t="shared" si="140"/>
        <v>0</v>
      </c>
      <c r="DS86" s="118">
        <f t="shared" si="141"/>
        <v>0</v>
      </c>
      <c r="DT86" s="118">
        <f t="shared" si="142"/>
        <v>0</v>
      </c>
      <c r="DU86" s="118">
        <f t="shared" si="143"/>
        <v>0</v>
      </c>
      <c r="DV86" s="118">
        <f t="shared" si="144"/>
        <v>0</v>
      </c>
      <c r="DW86" s="118">
        <f t="shared" si="145"/>
        <v>0</v>
      </c>
      <c r="DX86" s="118">
        <f t="shared" si="146"/>
        <v>0</v>
      </c>
      <c r="DY86" s="118">
        <f t="shared" si="147"/>
        <v>0</v>
      </c>
      <c r="DZ86" s="118">
        <f t="shared" si="148"/>
        <v>0</v>
      </c>
      <c r="EA86" s="118">
        <f t="shared" si="149"/>
        <v>0</v>
      </c>
      <c r="EB86" s="118">
        <f t="shared" si="150"/>
        <v>0</v>
      </c>
      <c r="EC86" s="118">
        <f t="shared" si="151"/>
        <v>0</v>
      </c>
      <c r="ED86" s="118">
        <f t="shared" si="152"/>
        <v>0</v>
      </c>
      <c r="EE86" s="118">
        <f t="shared" si="153"/>
        <v>0</v>
      </c>
      <c r="EF86" s="118">
        <f t="shared" si="154"/>
        <v>0</v>
      </c>
      <c r="EG86" s="118">
        <f t="shared" si="155"/>
        <v>0</v>
      </c>
      <c r="EH86" s="118">
        <f t="shared" si="156"/>
        <v>0</v>
      </c>
      <c r="EI86" s="118">
        <f t="shared" si="157"/>
        <v>0</v>
      </c>
      <c r="EJ86" s="118">
        <f t="shared" si="158"/>
        <v>0</v>
      </c>
      <c r="EK86" s="118">
        <f t="shared" si="159"/>
        <v>0</v>
      </c>
      <c r="EL86" s="118">
        <f t="shared" si="160"/>
        <v>0</v>
      </c>
      <c r="EM86" s="118">
        <f t="shared" si="161"/>
        <v>0</v>
      </c>
      <c r="EN86" s="118">
        <f t="shared" si="162"/>
        <v>0</v>
      </c>
      <c r="EO86" s="118">
        <f t="shared" si="163"/>
        <v>0</v>
      </c>
      <c r="EP86" s="118">
        <f t="shared" si="164"/>
        <v>0</v>
      </c>
      <c r="EQ86" s="118">
        <f t="shared" si="165"/>
        <v>0</v>
      </c>
      <c r="ER86" s="118">
        <f t="shared" si="166"/>
        <v>0</v>
      </c>
      <c r="ES86" s="118">
        <f t="shared" si="167"/>
        <v>0</v>
      </c>
      <c r="ET86" s="177">
        <f t="shared" si="168"/>
        <v>0</v>
      </c>
      <c r="EU86" s="72"/>
      <c r="EV86" s="117">
        <f t="shared" si="169"/>
        <v>2914.6424999999999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0"/>
        <v>0</v>
      </c>
    </row>
    <row r="87" spans="109:193">
      <c r="DE87" s="117">
        <f t="shared" si="127"/>
        <v>3002.0817750000001</v>
      </c>
      <c r="DF87" s="118">
        <f t="shared" si="128"/>
        <v>0</v>
      </c>
      <c r="DG87" s="118">
        <f t="shared" si="129"/>
        <v>0</v>
      </c>
      <c r="DH87" s="118">
        <f t="shared" si="130"/>
        <v>0</v>
      </c>
      <c r="DI87" s="118">
        <f t="shared" si="131"/>
        <v>0</v>
      </c>
      <c r="DJ87" s="118">
        <f t="shared" si="132"/>
        <v>0</v>
      </c>
      <c r="DK87" s="118">
        <f t="shared" si="133"/>
        <v>0</v>
      </c>
      <c r="DL87" s="118">
        <f t="shared" si="134"/>
        <v>0</v>
      </c>
      <c r="DM87" s="118">
        <f t="shared" si="135"/>
        <v>0</v>
      </c>
      <c r="DN87" s="118">
        <f t="shared" si="136"/>
        <v>0</v>
      </c>
      <c r="DO87" s="118">
        <f t="shared" si="137"/>
        <v>0</v>
      </c>
      <c r="DP87" s="118">
        <f t="shared" si="138"/>
        <v>0</v>
      </c>
      <c r="DQ87" s="118">
        <f t="shared" si="139"/>
        <v>0</v>
      </c>
      <c r="DR87" s="118">
        <f t="shared" si="140"/>
        <v>0</v>
      </c>
      <c r="DS87" s="118">
        <f t="shared" si="141"/>
        <v>0</v>
      </c>
      <c r="DT87" s="118">
        <f t="shared" si="142"/>
        <v>0</v>
      </c>
      <c r="DU87" s="118">
        <f t="shared" si="143"/>
        <v>0</v>
      </c>
      <c r="DV87" s="118">
        <f t="shared" si="144"/>
        <v>0</v>
      </c>
      <c r="DW87" s="118">
        <f t="shared" si="145"/>
        <v>0</v>
      </c>
      <c r="DX87" s="118">
        <f t="shared" si="146"/>
        <v>0</v>
      </c>
      <c r="DY87" s="118">
        <f t="shared" si="147"/>
        <v>0</v>
      </c>
      <c r="DZ87" s="118">
        <f t="shared" si="148"/>
        <v>0</v>
      </c>
      <c r="EA87" s="118">
        <f t="shared" si="149"/>
        <v>0</v>
      </c>
      <c r="EB87" s="118">
        <f t="shared" si="150"/>
        <v>0</v>
      </c>
      <c r="EC87" s="118">
        <f t="shared" si="151"/>
        <v>0</v>
      </c>
      <c r="ED87" s="118">
        <f t="shared" si="152"/>
        <v>0</v>
      </c>
      <c r="EE87" s="118">
        <f t="shared" si="153"/>
        <v>0</v>
      </c>
      <c r="EF87" s="118">
        <f t="shared" si="154"/>
        <v>0</v>
      </c>
      <c r="EG87" s="118">
        <f t="shared" si="155"/>
        <v>0</v>
      </c>
      <c r="EH87" s="118">
        <f t="shared" si="156"/>
        <v>0</v>
      </c>
      <c r="EI87" s="118">
        <f t="shared" si="157"/>
        <v>0</v>
      </c>
      <c r="EJ87" s="118">
        <f t="shared" si="158"/>
        <v>0</v>
      </c>
      <c r="EK87" s="118">
        <f t="shared" si="159"/>
        <v>0</v>
      </c>
      <c r="EL87" s="118">
        <f t="shared" si="160"/>
        <v>0</v>
      </c>
      <c r="EM87" s="118">
        <f t="shared" si="161"/>
        <v>0</v>
      </c>
      <c r="EN87" s="118">
        <f t="shared" si="162"/>
        <v>0</v>
      </c>
      <c r="EO87" s="118">
        <f t="shared" si="163"/>
        <v>0</v>
      </c>
      <c r="EP87" s="118">
        <f t="shared" si="164"/>
        <v>0</v>
      </c>
      <c r="EQ87" s="118">
        <f t="shared" si="165"/>
        <v>0</v>
      </c>
      <c r="ER87" s="118">
        <f t="shared" si="166"/>
        <v>0</v>
      </c>
      <c r="ES87" s="118">
        <f t="shared" si="167"/>
        <v>0</v>
      </c>
      <c r="ET87" s="177">
        <f t="shared" si="168"/>
        <v>0</v>
      </c>
      <c r="EU87" s="72"/>
      <c r="EV87" s="117">
        <f t="shared" si="169"/>
        <v>3002.0817750000001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0"/>
        <v>0</v>
      </c>
    </row>
    <row r="88" spans="109:193">
      <c r="DE88" s="117">
        <f t="shared" si="127"/>
        <v>3092.1442282500002</v>
      </c>
      <c r="DF88" s="118">
        <f t="shared" si="128"/>
        <v>0</v>
      </c>
      <c r="DG88" s="118">
        <f t="shared" si="129"/>
        <v>0</v>
      </c>
      <c r="DH88" s="118">
        <f t="shared" si="130"/>
        <v>0</v>
      </c>
      <c r="DI88" s="118">
        <f t="shared" si="131"/>
        <v>0</v>
      </c>
      <c r="DJ88" s="118">
        <f t="shared" si="132"/>
        <v>0</v>
      </c>
      <c r="DK88" s="118">
        <f t="shared" si="133"/>
        <v>0</v>
      </c>
      <c r="DL88" s="118">
        <f t="shared" si="134"/>
        <v>0</v>
      </c>
      <c r="DM88" s="118">
        <f t="shared" si="135"/>
        <v>0</v>
      </c>
      <c r="DN88" s="118">
        <f t="shared" si="136"/>
        <v>0</v>
      </c>
      <c r="DO88" s="118">
        <f t="shared" si="137"/>
        <v>0</v>
      </c>
      <c r="DP88" s="118">
        <f t="shared" si="138"/>
        <v>0</v>
      </c>
      <c r="DQ88" s="118">
        <f t="shared" si="139"/>
        <v>0</v>
      </c>
      <c r="DR88" s="118">
        <f t="shared" si="140"/>
        <v>0</v>
      </c>
      <c r="DS88" s="118">
        <f t="shared" si="141"/>
        <v>0</v>
      </c>
      <c r="DT88" s="118">
        <f t="shared" si="142"/>
        <v>0</v>
      </c>
      <c r="DU88" s="118">
        <f t="shared" si="143"/>
        <v>0</v>
      </c>
      <c r="DV88" s="118">
        <f t="shared" si="144"/>
        <v>0</v>
      </c>
      <c r="DW88" s="118">
        <f t="shared" si="145"/>
        <v>0</v>
      </c>
      <c r="DX88" s="118">
        <f t="shared" si="146"/>
        <v>0</v>
      </c>
      <c r="DY88" s="118">
        <f t="shared" si="147"/>
        <v>0</v>
      </c>
      <c r="DZ88" s="118">
        <f t="shared" si="148"/>
        <v>0</v>
      </c>
      <c r="EA88" s="118">
        <f t="shared" si="149"/>
        <v>0</v>
      </c>
      <c r="EB88" s="118">
        <f t="shared" si="150"/>
        <v>0</v>
      </c>
      <c r="EC88" s="118">
        <f t="shared" si="151"/>
        <v>0</v>
      </c>
      <c r="ED88" s="118">
        <f t="shared" si="152"/>
        <v>0</v>
      </c>
      <c r="EE88" s="118">
        <f t="shared" si="153"/>
        <v>0</v>
      </c>
      <c r="EF88" s="118">
        <f t="shared" si="154"/>
        <v>0</v>
      </c>
      <c r="EG88" s="118">
        <f t="shared" si="155"/>
        <v>0</v>
      </c>
      <c r="EH88" s="118">
        <f t="shared" si="156"/>
        <v>0</v>
      </c>
      <c r="EI88" s="118">
        <f t="shared" si="157"/>
        <v>0</v>
      </c>
      <c r="EJ88" s="118">
        <f t="shared" si="158"/>
        <v>0</v>
      </c>
      <c r="EK88" s="118">
        <f t="shared" si="159"/>
        <v>0</v>
      </c>
      <c r="EL88" s="118">
        <f t="shared" si="160"/>
        <v>0</v>
      </c>
      <c r="EM88" s="118">
        <f t="shared" si="161"/>
        <v>0</v>
      </c>
      <c r="EN88" s="118">
        <f t="shared" si="162"/>
        <v>0</v>
      </c>
      <c r="EO88" s="118">
        <f t="shared" si="163"/>
        <v>0</v>
      </c>
      <c r="EP88" s="118">
        <f t="shared" si="164"/>
        <v>0</v>
      </c>
      <c r="EQ88" s="118">
        <f t="shared" si="165"/>
        <v>0</v>
      </c>
      <c r="ER88" s="118">
        <f t="shared" si="166"/>
        <v>0</v>
      </c>
      <c r="ES88" s="118">
        <f t="shared" si="167"/>
        <v>0</v>
      </c>
      <c r="ET88" s="177">
        <f t="shared" si="168"/>
        <v>0</v>
      </c>
      <c r="EU88" s="72"/>
      <c r="EV88" s="117">
        <f t="shared" si="169"/>
        <v>3092.1442282500002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0"/>
        <v>0</v>
      </c>
    </row>
    <row r="89" spans="109:193">
      <c r="DE89" s="117">
        <f t="shared" si="127"/>
        <v>3184.9085550975001</v>
      </c>
      <c r="DF89" s="118">
        <f t="shared" si="128"/>
        <v>0</v>
      </c>
      <c r="DG89" s="118">
        <f t="shared" si="129"/>
        <v>0</v>
      </c>
      <c r="DH89" s="118">
        <f t="shared" si="130"/>
        <v>0</v>
      </c>
      <c r="DI89" s="118">
        <f t="shared" si="131"/>
        <v>0</v>
      </c>
      <c r="DJ89" s="118">
        <f t="shared" si="132"/>
        <v>0</v>
      </c>
      <c r="DK89" s="118">
        <f t="shared" si="133"/>
        <v>0</v>
      </c>
      <c r="DL89" s="118">
        <f t="shared" si="134"/>
        <v>0</v>
      </c>
      <c r="DM89" s="118">
        <f t="shared" si="135"/>
        <v>0</v>
      </c>
      <c r="DN89" s="118">
        <f t="shared" si="136"/>
        <v>0</v>
      </c>
      <c r="DO89" s="118">
        <f t="shared" si="137"/>
        <v>0</v>
      </c>
      <c r="DP89" s="118">
        <f t="shared" si="138"/>
        <v>0</v>
      </c>
      <c r="DQ89" s="118">
        <f t="shared" si="139"/>
        <v>0</v>
      </c>
      <c r="DR89" s="118">
        <f t="shared" si="140"/>
        <v>0</v>
      </c>
      <c r="DS89" s="118">
        <f t="shared" si="141"/>
        <v>0</v>
      </c>
      <c r="DT89" s="118">
        <f t="shared" si="142"/>
        <v>0</v>
      </c>
      <c r="DU89" s="118">
        <f t="shared" si="143"/>
        <v>0</v>
      </c>
      <c r="DV89" s="118">
        <f t="shared" si="144"/>
        <v>0</v>
      </c>
      <c r="DW89" s="118">
        <f t="shared" si="145"/>
        <v>0</v>
      </c>
      <c r="DX89" s="118">
        <f t="shared" si="146"/>
        <v>0</v>
      </c>
      <c r="DY89" s="118">
        <f t="shared" si="147"/>
        <v>0</v>
      </c>
      <c r="DZ89" s="118">
        <f t="shared" si="148"/>
        <v>0</v>
      </c>
      <c r="EA89" s="118">
        <f t="shared" si="149"/>
        <v>0</v>
      </c>
      <c r="EB89" s="118">
        <f t="shared" si="150"/>
        <v>0</v>
      </c>
      <c r="EC89" s="118">
        <f t="shared" si="151"/>
        <v>0</v>
      </c>
      <c r="ED89" s="118">
        <f t="shared" si="152"/>
        <v>0</v>
      </c>
      <c r="EE89" s="118">
        <f t="shared" si="153"/>
        <v>0</v>
      </c>
      <c r="EF89" s="118">
        <f t="shared" si="154"/>
        <v>0</v>
      </c>
      <c r="EG89" s="118">
        <f t="shared" si="155"/>
        <v>0</v>
      </c>
      <c r="EH89" s="118">
        <f t="shared" si="156"/>
        <v>0</v>
      </c>
      <c r="EI89" s="118">
        <f t="shared" si="157"/>
        <v>0</v>
      </c>
      <c r="EJ89" s="118">
        <f t="shared" si="158"/>
        <v>0</v>
      </c>
      <c r="EK89" s="118">
        <f t="shared" si="159"/>
        <v>0</v>
      </c>
      <c r="EL89" s="118">
        <f t="shared" si="160"/>
        <v>0</v>
      </c>
      <c r="EM89" s="118">
        <f t="shared" si="161"/>
        <v>0</v>
      </c>
      <c r="EN89" s="118">
        <f t="shared" si="162"/>
        <v>0</v>
      </c>
      <c r="EO89" s="118">
        <f t="shared" si="163"/>
        <v>0</v>
      </c>
      <c r="EP89" s="118">
        <f t="shared" si="164"/>
        <v>0</v>
      </c>
      <c r="EQ89" s="118">
        <f t="shared" si="165"/>
        <v>0</v>
      </c>
      <c r="ER89" s="118">
        <f t="shared" si="166"/>
        <v>0</v>
      </c>
      <c r="ES89" s="118">
        <f t="shared" si="167"/>
        <v>0</v>
      </c>
      <c r="ET89" s="177">
        <f t="shared" si="168"/>
        <v>0</v>
      </c>
      <c r="EU89" s="72"/>
      <c r="EV89" s="117">
        <f t="shared" si="169"/>
        <v>3184.9085550975001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0"/>
        <v>0</v>
      </c>
    </row>
    <row r="90" spans="109:193">
      <c r="DE90" s="117">
        <f t="shared" si="127"/>
        <v>3280.4558117504253</v>
      </c>
      <c r="DF90" s="118">
        <f t="shared" si="128"/>
        <v>0</v>
      </c>
      <c r="DG90" s="118">
        <f t="shared" si="129"/>
        <v>0</v>
      </c>
      <c r="DH90" s="118">
        <f t="shared" si="130"/>
        <v>0</v>
      </c>
      <c r="DI90" s="118">
        <f t="shared" si="131"/>
        <v>0</v>
      </c>
      <c r="DJ90" s="118">
        <f t="shared" si="132"/>
        <v>0</v>
      </c>
      <c r="DK90" s="118">
        <f t="shared" si="133"/>
        <v>0</v>
      </c>
      <c r="DL90" s="118">
        <f t="shared" si="134"/>
        <v>0</v>
      </c>
      <c r="DM90" s="118">
        <f t="shared" si="135"/>
        <v>0</v>
      </c>
      <c r="DN90" s="118">
        <f t="shared" si="136"/>
        <v>0</v>
      </c>
      <c r="DO90" s="118">
        <f t="shared" si="137"/>
        <v>0</v>
      </c>
      <c r="DP90" s="118">
        <f t="shared" si="138"/>
        <v>0</v>
      </c>
      <c r="DQ90" s="118">
        <f t="shared" si="139"/>
        <v>0</v>
      </c>
      <c r="DR90" s="118">
        <f t="shared" si="140"/>
        <v>0</v>
      </c>
      <c r="DS90" s="118">
        <f t="shared" si="141"/>
        <v>0</v>
      </c>
      <c r="DT90" s="118">
        <f t="shared" si="142"/>
        <v>0</v>
      </c>
      <c r="DU90" s="118">
        <f t="shared" si="143"/>
        <v>0</v>
      </c>
      <c r="DV90" s="118">
        <f t="shared" si="144"/>
        <v>0</v>
      </c>
      <c r="DW90" s="118">
        <f t="shared" si="145"/>
        <v>0</v>
      </c>
      <c r="DX90" s="118">
        <f t="shared" si="146"/>
        <v>0</v>
      </c>
      <c r="DY90" s="118">
        <f t="shared" si="147"/>
        <v>0</v>
      </c>
      <c r="DZ90" s="118">
        <f t="shared" si="148"/>
        <v>0</v>
      </c>
      <c r="EA90" s="118">
        <f t="shared" si="149"/>
        <v>0</v>
      </c>
      <c r="EB90" s="118">
        <f t="shared" si="150"/>
        <v>0</v>
      </c>
      <c r="EC90" s="118">
        <f t="shared" si="151"/>
        <v>0</v>
      </c>
      <c r="ED90" s="118">
        <f t="shared" si="152"/>
        <v>0</v>
      </c>
      <c r="EE90" s="118">
        <f t="shared" si="153"/>
        <v>0</v>
      </c>
      <c r="EF90" s="118">
        <f t="shared" si="154"/>
        <v>0</v>
      </c>
      <c r="EG90" s="118">
        <f t="shared" si="155"/>
        <v>0</v>
      </c>
      <c r="EH90" s="118">
        <f t="shared" si="156"/>
        <v>0</v>
      </c>
      <c r="EI90" s="118">
        <f t="shared" si="157"/>
        <v>0</v>
      </c>
      <c r="EJ90" s="118">
        <f t="shared" si="158"/>
        <v>0</v>
      </c>
      <c r="EK90" s="118">
        <f t="shared" si="159"/>
        <v>0</v>
      </c>
      <c r="EL90" s="118">
        <f t="shared" si="160"/>
        <v>0</v>
      </c>
      <c r="EM90" s="118">
        <f t="shared" si="161"/>
        <v>0</v>
      </c>
      <c r="EN90" s="118">
        <f t="shared" si="162"/>
        <v>0</v>
      </c>
      <c r="EO90" s="118">
        <f t="shared" si="163"/>
        <v>0</v>
      </c>
      <c r="EP90" s="118">
        <f t="shared" si="164"/>
        <v>0</v>
      </c>
      <c r="EQ90" s="118">
        <f t="shared" si="165"/>
        <v>0</v>
      </c>
      <c r="ER90" s="118">
        <f t="shared" si="166"/>
        <v>0</v>
      </c>
      <c r="ES90" s="118">
        <f t="shared" si="167"/>
        <v>0</v>
      </c>
      <c r="ET90" s="177">
        <f t="shared" si="168"/>
        <v>0</v>
      </c>
      <c r="EU90" s="72"/>
      <c r="EV90" s="117">
        <f t="shared" si="169"/>
        <v>3280.4558117504253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0"/>
        <v>0</v>
      </c>
    </row>
    <row r="91" spans="109:193">
      <c r="DE91" s="117">
        <f t="shared" si="127"/>
        <v>3378.869486102938</v>
      </c>
      <c r="DF91" s="118">
        <f t="shared" si="128"/>
        <v>0</v>
      </c>
      <c r="DG91" s="118">
        <f t="shared" si="129"/>
        <v>0</v>
      </c>
      <c r="DH91" s="118">
        <f t="shared" si="130"/>
        <v>0</v>
      </c>
      <c r="DI91" s="118">
        <f t="shared" si="131"/>
        <v>0</v>
      </c>
      <c r="DJ91" s="118">
        <f t="shared" si="132"/>
        <v>0</v>
      </c>
      <c r="DK91" s="118">
        <f t="shared" si="133"/>
        <v>0</v>
      </c>
      <c r="DL91" s="118">
        <f t="shared" si="134"/>
        <v>0</v>
      </c>
      <c r="DM91" s="118">
        <f t="shared" si="135"/>
        <v>0</v>
      </c>
      <c r="DN91" s="118">
        <f t="shared" si="136"/>
        <v>0</v>
      </c>
      <c r="DO91" s="118">
        <f t="shared" si="137"/>
        <v>0</v>
      </c>
      <c r="DP91" s="118">
        <f t="shared" si="138"/>
        <v>0</v>
      </c>
      <c r="DQ91" s="118">
        <f t="shared" si="139"/>
        <v>0</v>
      </c>
      <c r="DR91" s="118">
        <f t="shared" si="140"/>
        <v>0</v>
      </c>
      <c r="DS91" s="118">
        <f t="shared" si="141"/>
        <v>0</v>
      </c>
      <c r="DT91" s="118">
        <f t="shared" si="142"/>
        <v>0</v>
      </c>
      <c r="DU91" s="118">
        <f t="shared" si="143"/>
        <v>0</v>
      </c>
      <c r="DV91" s="118">
        <f t="shared" si="144"/>
        <v>0</v>
      </c>
      <c r="DW91" s="118">
        <f t="shared" si="145"/>
        <v>0</v>
      </c>
      <c r="DX91" s="118">
        <f t="shared" si="146"/>
        <v>0</v>
      </c>
      <c r="DY91" s="118">
        <f t="shared" si="147"/>
        <v>0</v>
      </c>
      <c r="DZ91" s="118">
        <f t="shared" si="148"/>
        <v>0</v>
      </c>
      <c r="EA91" s="118">
        <f t="shared" si="149"/>
        <v>0</v>
      </c>
      <c r="EB91" s="118">
        <f t="shared" si="150"/>
        <v>0</v>
      </c>
      <c r="EC91" s="118">
        <f t="shared" si="151"/>
        <v>0</v>
      </c>
      <c r="ED91" s="118">
        <f t="shared" si="152"/>
        <v>0</v>
      </c>
      <c r="EE91" s="118">
        <f t="shared" si="153"/>
        <v>0</v>
      </c>
      <c r="EF91" s="118">
        <f t="shared" si="154"/>
        <v>0</v>
      </c>
      <c r="EG91" s="118">
        <f t="shared" si="155"/>
        <v>0</v>
      </c>
      <c r="EH91" s="118">
        <f t="shared" si="156"/>
        <v>0</v>
      </c>
      <c r="EI91" s="118">
        <f t="shared" si="157"/>
        <v>0</v>
      </c>
      <c r="EJ91" s="118">
        <f t="shared" si="158"/>
        <v>0</v>
      </c>
      <c r="EK91" s="118">
        <f t="shared" si="159"/>
        <v>0</v>
      </c>
      <c r="EL91" s="118">
        <f t="shared" si="160"/>
        <v>0</v>
      </c>
      <c r="EM91" s="118">
        <f t="shared" si="161"/>
        <v>0</v>
      </c>
      <c r="EN91" s="118">
        <f t="shared" si="162"/>
        <v>0</v>
      </c>
      <c r="EO91" s="118">
        <f t="shared" si="163"/>
        <v>0</v>
      </c>
      <c r="EP91" s="118">
        <f t="shared" si="164"/>
        <v>0</v>
      </c>
      <c r="EQ91" s="118">
        <f t="shared" si="165"/>
        <v>0</v>
      </c>
      <c r="ER91" s="118">
        <f t="shared" si="166"/>
        <v>0</v>
      </c>
      <c r="ES91" s="118">
        <f t="shared" si="167"/>
        <v>0</v>
      </c>
      <c r="ET91" s="177">
        <f t="shared" si="168"/>
        <v>0</v>
      </c>
      <c r="EU91" s="72"/>
      <c r="EV91" s="117">
        <f t="shared" si="169"/>
        <v>3378.869486102938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0"/>
        <v>0</v>
      </c>
    </row>
    <row r="92" spans="109:193">
      <c r="DE92" s="117">
        <f t="shared" si="127"/>
        <v>3480.2355706860262</v>
      </c>
      <c r="DF92" s="118">
        <f t="shared" si="128"/>
        <v>0</v>
      </c>
      <c r="DG92" s="118">
        <f t="shared" si="129"/>
        <v>0</v>
      </c>
      <c r="DH92" s="118">
        <f t="shared" si="130"/>
        <v>0</v>
      </c>
      <c r="DI92" s="118">
        <f t="shared" si="131"/>
        <v>0</v>
      </c>
      <c r="DJ92" s="118">
        <f t="shared" si="132"/>
        <v>0</v>
      </c>
      <c r="DK92" s="118">
        <f t="shared" si="133"/>
        <v>0</v>
      </c>
      <c r="DL92" s="118">
        <f t="shared" si="134"/>
        <v>0</v>
      </c>
      <c r="DM92" s="118">
        <f t="shared" si="135"/>
        <v>0</v>
      </c>
      <c r="DN92" s="118">
        <f t="shared" si="136"/>
        <v>0</v>
      </c>
      <c r="DO92" s="118">
        <f t="shared" si="137"/>
        <v>0</v>
      </c>
      <c r="DP92" s="118">
        <f t="shared" si="138"/>
        <v>0</v>
      </c>
      <c r="DQ92" s="118">
        <f t="shared" si="139"/>
        <v>0</v>
      </c>
      <c r="DR92" s="118">
        <f t="shared" si="140"/>
        <v>0</v>
      </c>
      <c r="DS92" s="118">
        <f t="shared" si="141"/>
        <v>0</v>
      </c>
      <c r="DT92" s="118">
        <f t="shared" si="142"/>
        <v>0</v>
      </c>
      <c r="DU92" s="118">
        <f t="shared" si="143"/>
        <v>0</v>
      </c>
      <c r="DV92" s="118">
        <f t="shared" si="144"/>
        <v>0</v>
      </c>
      <c r="DW92" s="118">
        <f t="shared" si="145"/>
        <v>0</v>
      </c>
      <c r="DX92" s="118">
        <f t="shared" si="146"/>
        <v>0</v>
      </c>
      <c r="DY92" s="118">
        <f t="shared" si="147"/>
        <v>0</v>
      </c>
      <c r="DZ92" s="118">
        <f t="shared" si="148"/>
        <v>0</v>
      </c>
      <c r="EA92" s="118">
        <f t="shared" si="149"/>
        <v>0</v>
      </c>
      <c r="EB92" s="118">
        <f t="shared" si="150"/>
        <v>0</v>
      </c>
      <c r="EC92" s="118">
        <f t="shared" si="151"/>
        <v>0</v>
      </c>
      <c r="ED92" s="118">
        <f t="shared" si="152"/>
        <v>0</v>
      </c>
      <c r="EE92" s="118">
        <f t="shared" si="153"/>
        <v>0</v>
      </c>
      <c r="EF92" s="118">
        <f t="shared" si="154"/>
        <v>0</v>
      </c>
      <c r="EG92" s="118">
        <f t="shared" si="155"/>
        <v>0</v>
      </c>
      <c r="EH92" s="118">
        <f t="shared" si="156"/>
        <v>0</v>
      </c>
      <c r="EI92" s="118">
        <f t="shared" si="157"/>
        <v>0</v>
      </c>
      <c r="EJ92" s="118">
        <f t="shared" si="158"/>
        <v>0</v>
      </c>
      <c r="EK92" s="118">
        <f t="shared" si="159"/>
        <v>0</v>
      </c>
      <c r="EL92" s="118">
        <f t="shared" si="160"/>
        <v>0</v>
      </c>
      <c r="EM92" s="118">
        <f t="shared" si="161"/>
        <v>0</v>
      </c>
      <c r="EN92" s="118">
        <f t="shared" si="162"/>
        <v>0</v>
      </c>
      <c r="EO92" s="118">
        <f t="shared" si="163"/>
        <v>0</v>
      </c>
      <c r="EP92" s="118">
        <f t="shared" si="164"/>
        <v>0</v>
      </c>
      <c r="EQ92" s="118">
        <f t="shared" si="165"/>
        <v>0</v>
      </c>
      <c r="ER92" s="118">
        <f t="shared" si="166"/>
        <v>0</v>
      </c>
      <c r="ES92" s="118">
        <f t="shared" si="167"/>
        <v>0</v>
      </c>
      <c r="ET92" s="177">
        <f t="shared" si="168"/>
        <v>0</v>
      </c>
      <c r="EU92" s="72"/>
      <c r="EV92" s="117">
        <f t="shared" si="169"/>
        <v>3480.2355706860262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0"/>
        <v>0</v>
      </c>
    </row>
    <row r="93" spans="109:193">
      <c r="DE93" s="117">
        <f t="shared" si="127"/>
        <v>3584.6426378066071</v>
      </c>
      <c r="DF93" s="118">
        <f t="shared" si="128"/>
        <v>0</v>
      </c>
      <c r="DG93" s="118">
        <f t="shared" si="129"/>
        <v>0</v>
      </c>
      <c r="DH93" s="118">
        <f t="shared" si="130"/>
        <v>0</v>
      </c>
      <c r="DI93" s="118">
        <f t="shared" si="131"/>
        <v>0</v>
      </c>
      <c r="DJ93" s="118">
        <f t="shared" si="132"/>
        <v>0</v>
      </c>
      <c r="DK93" s="118">
        <f t="shared" si="133"/>
        <v>0</v>
      </c>
      <c r="DL93" s="118">
        <f t="shared" si="134"/>
        <v>0</v>
      </c>
      <c r="DM93" s="118">
        <f t="shared" si="135"/>
        <v>0</v>
      </c>
      <c r="DN93" s="118">
        <f t="shared" si="136"/>
        <v>0</v>
      </c>
      <c r="DO93" s="118">
        <f t="shared" si="137"/>
        <v>0</v>
      </c>
      <c r="DP93" s="118">
        <f t="shared" si="138"/>
        <v>0</v>
      </c>
      <c r="DQ93" s="118">
        <f t="shared" si="139"/>
        <v>0</v>
      </c>
      <c r="DR93" s="118">
        <f t="shared" si="140"/>
        <v>0</v>
      </c>
      <c r="DS93" s="118">
        <f t="shared" si="141"/>
        <v>0</v>
      </c>
      <c r="DT93" s="118">
        <f t="shared" si="142"/>
        <v>0</v>
      </c>
      <c r="DU93" s="118">
        <f t="shared" si="143"/>
        <v>0</v>
      </c>
      <c r="DV93" s="118">
        <f t="shared" si="144"/>
        <v>0</v>
      </c>
      <c r="DW93" s="118">
        <f t="shared" si="145"/>
        <v>0</v>
      </c>
      <c r="DX93" s="118">
        <f t="shared" si="146"/>
        <v>0</v>
      </c>
      <c r="DY93" s="118">
        <f t="shared" si="147"/>
        <v>0</v>
      </c>
      <c r="DZ93" s="118">
        <f t="shared" si="148"/>
        <v>0</v>
      </c>
      <c r="EA93" s="118">
        <f t="shared" si="149"/>
        <v>0</v>
      </c>
      <c r="EB93" s="118">
        <f t="shared" si="150"/>
        <v>0</v>
      </c>
      <c r="EC93" s="118">
        <f t="shared" si="151"/>
        <v>0</v>
      </c>
      <c r="ED93" s="118">
        <f t="shared" si="152"/>
        <v>0</v>
      </c>
      <c r="EE93" s="118">
        <f t="shared" si="153"/>
        <v>0</v>
      </c>
      <c r="EF93" s="118">
        <f t="shared" si="154"/>
        <v>0</v>
      </c>
      <c r="EG93" s="118">
        <f t="shared" si="155"/>
        <v>0</v>
      </c>
      <c r="EH93" s="118">
        <f t="shared" si="156"/>
        <v>0</v>
      </c>
      <c r="EI93" s="118">
        <f t="shared" si="157"/>
        <v>0</v>
      </c>
      <c r="EJ93" s="118">
        <f t="shared" si="158"/>
        <v>0</v>
      </c>
      <c r="EK93" s="118">
        <f t="shared" si="159"/>
        <v>0</v>
      </c>
      <c r="EL93" s="118">
        <f t="shared" si="160"/>
        <v>0</v>
      </c>
      <c r="EM93" s="118">
        <f t="shared" si="161"/>
        <v>0</v>
      </c>
      <c r="EN93" s="118">
        <f t="shared" si="162"/>
        <v>0</v>
      </c>
      <c r="EO93" s="118">
        <f t="shared" si="163"/>
        <v>0</v>
      </c>
      <c r="EP93" s="118">
        <f t="shared" si="164"/>
        <v>0</v>
      </c>
      <c r="EQ93" s="118">
        <f t="shared" si="165"/>
        <v>0</v>
      </c>
      <c r="ER93" s="118">
        <f t="shared" si="166"/>
        <v>0</v>
      </c>
      <c r="ES93" s="118">
        <f t="shared" si="167"/>
        <v>0</v>
      </c>
      <c r="ET93" s="177">
        <f t="shared" si="168"/>
        <v>0</v>
      </c>
      <c r="EU93" s="72"/>
      <c r="EV93" s="117">
        <f t="shared" si="169"/>
        <v>3584.6426378066071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0"/>
        <v>0</v>
      </c>
    </row>
    <row r="94" spans="109:193">
      <c r="DE94" s="117">
        <f t="shared" si="127"/>
        <v>3692.1819169408054</v>
      </c>
      <c r="DF94" s="118">
        <f t="shared" si="128"/>
        <v>0</v>
      </c>
      <c r="DG94" s="118">
        <f t="shared" si="129"/>
        <v>0</v>
      </c>
      <c r="DH94" s="118">
        <f t="shared" si="130"/>
        <v>0</v>
      </c>
      <c r="DI94" s="118">
        <f t="shared" si="131"/>
        <v>0</v>
      </c>
      <c r="DJ94" s="118">
        <f t="shared" si="132"/>
        <v>0</v>
      </c>
      <c r="DK94" s="118">
        <f t="shared" si="133"/>
        <v>0</v>
      </c>
      <c r="DL94" s="118">
        <f t="shared" si="134"/>
        <v>0</v>
      </c>
      <c r="DM94" s="118">
        <f t="shared" si="135"/>
        <v>0</v>
      </c>
      <c r="DN94" s="118">
        <f t="shared" si="136"/>
        <v>0</v>
      </c>
      <c r="DO94" s="118">
        <f t="shared" si="137"/>
        <v>0</v>
      </c>
      <c r="DP94" s="118">
        <f t="shared" si="138"/>
        <v>0</v>
      </c>
      <c r="DQ94" s="118">
        <f t="shared" si="139"/>
        <v>0</v>
      </c>
      <c r="DR94" s="118">
        <f t="shared" si="140"/>
        <v>0</v>
      </c>
      <c r="DS94" s="118">
        <f t="shared" si="141"/>
        <v>0</v>
      </c>
      <c r="DT94" s="118">
        <f t="shared" si="142"/>
        <v>0</v>
      </c>
      <c r="DU94" s="118">
        <f t="shared" si="143"/>
        <v>0</v>
      </c>
      <c r="DV94" s="118">
        <f t="shared" si="144"/>
        <v>0</v>
      </c>
      <c r="DW94" s="118">
        <f t="shared" si="145"/>
        <v>0</v>
      </c>
      <c r="DX94" s="118">
        <f t="shared" si="146"/>
        <v>0</v>
      </c>
      <c r="DY94" s="118">
        <f t="shared" si="147"/>
        <v>0</v>
      </c>
      <c r="DZ94" s="118">
        <f t="shared" si="148"/>
        <v>0</v>
      </c>
      <c r="EA94" s="118">
        <f t="shared" si="149"/>
        <v>0</v>
      </c>
      <c r="EB94" s="118">
        <f t="shared" si="150"/>
        <v>0</v>
      </c>
      <c r="EC94" s="118">
        <f t="shared" si="151"/>
        <v>0</v>
      </c>
      <c r="ED94" s="118">
        <f t="shared" si="152"/>
        <v>0</v>
      </c>
      <c r="EE94" s="118">
        <f t="shared" si="153"/>
        <v>0</v>
      </c>
      <c r="EF94" s="118">
        <f t="shared" si="154"/>
        <v>0</v>
      </c>
      <c r="EG94" s="118">
        <f t="shared" si="155"/>
        <v>0</v>
      </c>
      <c r="EH94" s="118">
        <f t="shared" si="156"/>
        <v>0</v>
      </c>
      <c r="EI94" s="118">
        <f t="shared" si="157"/>
        <v>0</v>
      </c>
      <c r="EJ94" s="118">
        <f t="shared" si="158"/>
        <v>0</v>
      </c>
      <c r="EK94" s="118">
        <f t="shared" si="159"/>
        <v>0</v>
      </c>
      <c r="EL94" s="118">
        <f t="shared" si="160"/>
        <v>0</v>
      </c>
      <c r="EM94" s="118">
        <f t="shared" si="161"/>
        <v>0</v>
      </c>
      <c r="EN94" s="118">
        <f t="shared" si="162"/>
        <v>0</v>
      </c>
      <c r="EO94" s="118">
        <f t="shared" si="163"/>
        <v>0</v>
      </c>
      <c r="EP94" s="118">
        <f t="shared" si="164"/>
        <v>0</v>
      </c>
      <c r="EQ94" s="118">
        <f t="shared" si="165"/>
        <v>0</v>
      </c>
      <c r="ER94" s="118">
        <f t="shared" si="166"/>
        <v>0</v>
      </c>
      <c r="ES94" s="118">
        <f t="shared" si="167"/>
        <v>0</v>
      </c>
      <c r="ET94" s="177">
        <f t="shared" si="168"/>
        <v>0</v>
      </c>
      <c r="EU94" s="72"/>
      <c r="EV94" s="117">
        <f t="shared" si="169"/>
        <v>3692.1819169408054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0"/>
        <v>0</v>
      </c>
    </row>
    <row r="95" spans="109:193">
      <c r="DE95" s="117">
        <f t="shared" si="127"/>
        <v>3802.9473744490297</v>
      </c>
      <c r="DF95" s="118">
        <f t="shared" si="128"/>
        <v>0</v>
      </c>
      <c r="DG95" s="118">
        <f t="shared" si="129"/>
        <v>0</v>
      </c>
      <c r="DH95" s="118">
        <f t="shared" si="130"/>
        <v>0</v>
      </c>
      <c r="DI95" s="118">
        <f t="shared" si="131"/>
        <v>0</v>
      </c>
      <c r="DJ95" s="118">
        <f t="shared" si="132"/>
        <v>0</v>
      </c>
      <c r="DK95" s="118">
        <f t="shared" si="133"/>
        <v>0</v>
      </c>
      <c r="DL95" s="118">
        <f t="shared" si="134"/>
        <v>0</v>
      </c>
      <c r="DM95" s="118">
        <f t="shared" si="135"/>
        <v>0</v>
      </c>
      <c r="DN95" s="118">
        <f t="shared" si="136"/>
        <v>0</v>
      </c>
      <c r="DO95" s="118">
        <f t="shared" si="137"/>
        <v>0</v>
      </c>
      <c r="DP95" s="118">
        <f t="shared" si="138"/>
        <v>0</v>
      </c>
      <c r="DQ95" s="118">
        <f t="shared" si="139"/>
        <v>0</v>
      </c>
      <c r="DR95" s="118">
        <f t="shared" si="140"/>
        <v>0</v>
      </c>
      <c r="DS95" s="118">
        <f t="shared" si="141"/>
        <v>0</v>
      </c>
      <c r="DT95" s="118">
        <f t="shared" si="142"/>
        <v>0</v>
      </c>
      <c r="DU95" s="118">
        <f t="shared" si="143"/>
        <v>0</v>
      </c>
      <c r="DV95" s="118">
        <f t="shared" si="144"/>
        <v>0</v>
      </c>
      <c r="DW95" s="118">
        <f t="shared" si="145"/>
        <v>0</v>
      </c>
      <c r="DX95" s="118">
        <f t="shared" si="146"/>
        <v>0</v>
      </c>
      <c r="DY95" s="118">
        <f t="shared" si="147"/>
        <v>0</v>
      </c>
      <c r="DZ95" s="118">
        <f t="shared" si="148"/>
        <v>0</v>
      </c>
      <c r="EA95" s="118">
        <f t="shared" si="149"/>
        <v>0</v>
      </c>
      <c r="EB95" s="118">
        <f t="shared" si="150"/>
        <v>0</v>
      </c>
      <c r="EC95" s="118">
        <f t="shared" si="151"/>
        <v>0</v>
      </c>
      <c r="ED95" s="118">
        <f t="shared" si="152"/>
        <v>0</v>
      </c>
      <c r="EE95" s="118">
        <f t="shared" si="153"/>
        <v>0</v>
      </c>
      <c r="EF95" s="118">
        <f t="shared" si="154"/>
        <v>0</v>
      </c>
      <c r="EG95" s="118">
        <f t="shared" si="155"/>
        <v>0</v>
      </c>
      <c r="EH95" s="118">
        <f t="shared" si="156"/>
        <v>0</v>
      </c>
      <c r="EI95" s="118">
        <f t="shared" si="157"/>
        <v>0</v>
      </c>
      <c r="EJ95" s="118">
        <f t="shared" si="158"/>
        <v>0</v>
      </c>
      <c r="EK95" s="118">
        <f t="shared" si="159"/>
        <v>0</v>
      </c>
      <c r="EL95" s="118">
        <f t="shared" si="160"/>
        <v>0</v>
      </c>
      <c r="EM95" s="118">
        <f t="shared" si="161"/>
        <v>0</v>
      </c>
      <c r="EN95" s="118">
        <f t="shared" si="162"/>
        <v>0</v>
      </c>
      <c r="EO95" s="118">
        <f t="shared" si="163"/>
        <v>0</v>
      </c>
      <c r="EP95" s="118">
        <f t="shared" si="164"/>
        <v>0</v>
      </c>
      <c r="EQ95" s="118">
        <f t="shared" si="165"/>
        <v>0</v>
      </c>
      <c r="ER95" s="118">
        <f t="shared" si="166"/>
        <v>0</v>
      </c>
      <c r="ES95" s="118">
        <f t="shared" si="167"/>
        <v>0</v>
      </c>
      <c r="ET95" s="177">
        <f t="shared" si="168"/>
        <v>0</v>
      </c>
      <c r="EU95" s="72"/>
      <c r="EV95" s="117">
        <f t="shared" si="169"/>
        <v>3802.9473744490297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0"/>
        <v>0</v>
      </c>
    </row>
    <row r="96" spans="109:193">
      <c r="DE96" s="117">
        <f t="shared" si="127"/>
        <v>3917.0357956825005</v>
      </c>
      <c r="DF96" s="118">
        <f t="shared" si="128"/>
        <v>0</v>
      </c>
      <c r="DG96" s="118">
        <f t="shared" si="129"/>
        <v>0</v>
      </c>
      <c r="DH96" s="118">
        <f t="shared" si="130"/>
        <v>0</v>
      </c>
      <c r="DI96" s="118">
        <f t="shared" si="131"/>
        <v>0</v>
      </c>
      <c r="DJ96" s="118">
        <f t="shared" si="132"/>
        <v>0</v>
      </c>
      <c r="DK96" s="118">
        <f t="shared" si="133"/>
        <v>0</v>
      </c>
      <c r="DL96" s="118">
        <f t="shared" si="134"/>
        <v>0</v>
      </c>
      <c r="DM96" s="118">
        <f t="shared" si="135"/>
        <v>0</v>
      </c>
      <c r="DN96" s="118">
        <f t="shared" si="136"/>
        <v>0</v>
      </c>
      <c r="DO96" s="118">
        <f t="shared" si="137"/>
        <v>0</v>
      </c>
      <c r="DP96" s="118">
        <f t="shared" si="138"/>
        <v>0</v>
      </c>
      <c r="DQ96" s="118">
        <f t="shared" si="139"/>
        <v>0</v>
      </c>
      <c r="DR96" s="118">
        <f t="shared" si="140"/>
        <v>0</v>
      </c>
      <c r="DS96" s="118">
        <f t="shared" si="141"/>
        <v>0</v>
      </c>
      <c r="DT96" s="118">
        <f t="shared" si="142"/>
        <v>0</v>
      </c>
      <c r="DU96" s="118">
        <f t="shared" si="143"/>
        <v>0</v>
      </c>
      <c r="DV96" s="118">
        <f t="shared" si="144"/>
        <v>0</v>
      </c>
      <c r="DW96" s="118">
        <f t="shared" si="145"/>
        <v>0</v>
      </c>
      <c r="DX96" s="118">
        <f t="shared" si="146"/>
        <v>0</v>
      </c>
      <c r="DY96" s="118">
        <f t="shared" si="147"/>
        <v>0</v>
      </c>
      <c r="DZ96" s="118">
        <f t="shared" si="148"/>
        <v>0</v>
      </c>
      <c r="EA96" s="118">
        <f t="shared" si="149"/>
        <v>0</v>
      </c>
      <c r="EB96" s="118">
        <f t="shared" si="150"/>
        <v>0</v>
      </c>
      <c r="EC96" s="118">
        <f t="shared" si="151"/>
        <v>0</v>
      </c>
      <c r="ED96" s="118">
        <f t="shared" si="152"/>
        <v>0</v>
      </c>
      <c r="EE96" s="118">
        <f t="shared" si="153"/>
        <v>0</v>
      </c>
      <c r="EF96" s="118">
        <f t="shared" si="154"/>
        <v>0</v>
      </c>
      <c r="EG96" s="118">
        <f t="shared" si="155"/>
        <v>0</v>
      </c>
      <c r="EH96" s="118">
        <f t="shared" si="156"/>
        <v>0</v>
      </c>
      <c r="EI96" s="118">
        <f t="shared" si="157"/>
        <v>0</v>
      </c>
      <c r="EJ96" s="118">
        <f t="shared" si="158"/>
        <v>0</v>
      </c>
      <c r="EK96" s="118">
        <f t="shared" si="159"/>
        <v>0</v>
      </c>
      <c r="EL96" s="118">
        <f t="shared" si="160"/>
        <v>0</v>
      </c>
      <c r="EM96" s="118">
        <f t="shared" si="161"/>
        <v>0</v>
      </c>
      <c r="EN96" s="118">
        <f t="shared" si="162"/>
        <v>0</v>
      </c>
      <c r="EO96" s="118">
        <f t="shared" si="163"/>
        <v>0</v>
      </c>
      <c r="EP96" s="118">
        <f t="shared" si="164"/>
        <v>0</v>
      </c>
      <c r="EQ96" s="118">
        <f t="shared" si="165"/>
        <v>0</v>
      </c>
      <c r="ER96" s="118">
        <f t="shared" si="166"/>
        <v>0</v>
      </c>
      <c r="ES96" s="118">
        <f t="shared" si="167"/>
        <v>0</v>
      </c>
      <c r="ET96" s="177">
        <f t="shared" si="168"/>
        <v>0</v>
      </c>
      <c r="EU96" s="72"/>
      <c r="EV96" s="117">
        <f t="shared" si="169"/>
        <v>3917.0357956825005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0"/>
        <v>0</v>
      </c>
    </row>
    <row r="97" spans="109:193">
      <c r="DE97" s="117">
        <f t="shared" si="127"/>
        <v>4034.5468695529757</v>
      </c>
      <c r="DF97" s="118">
        <f t="shared" si="128"/>
        <v>0</v>
      </c>
      <c r="DG97" s="118">
        <f t="shared" si="129"/>
        <v>0</v>
      </c>
      <c r="DH97" s="118">
        <f t="shared" si="130"/>
        <v>0</v>
      </c>
      <c r="DI97" s="118">
        <f t="shared" si="131"/>
        <v>0</v>
      </c>
      <c r="DJ97" s="118">
        <f t="shared" si="132"/>
        <v>0</v>
      </c>
      <c r="DK97" s="118">
        <f t="shared" si="133"/>
        <v>0</v>
      </c>
      <c r="DL97" s="118">
        <f t="shared" si="134"/>
        <v>0</v>
      </c>
      <c r="DM97" s="118">
        <f t="shared" si="135"/>
        <v>0</v>
      </c>
      <c r="DN97" s="118">
        <f t="shared" si="136"/>
        <v>0</v>
      </c>
      <c r="DO97" s="118">
        <f t="shared" si="137"/>
        <v>0</v>
      </c>
      <c r="DP97" s="118">
        <f t="shared" si="138"/>
        <v>0</v>
      </c>
      <c r="DQ97" s="118">
        <f t="shared" si="139"/>
        <v>0</v>
      </c>
      <c r="DR97" s="118">
        <f t="shared" si="140"/>
        <v>0</v>
      </c>
      <c r="DS97" s="118">
        <f t="shared" si="141"/>
        <v>0</v>
      </c>
      <c r="DT97" s="118">
        <f t="shared" si="142"/>
        <v>0</v>
      </c>
      <c r="DU97" s="118">
        <f t="shared" si="143"/>
        <v>0</v>
      </c>
      <c r="DV97" s="118">
        <f t="shared" si="144"/>
        <v>0</v>
      </c>
      <c r="DW97" s="118">
        <f t="shared" si="145"/>
        <v>0</v>
      </c>
      <c r="DX97" s="118">
        <f t="shared" si="146"/>
        <v>0</v>
      </c>
      <c r="DY97" s="118">
        <f t="shared" si="147"/>
        <v>0</v>
      </c>
      <c r="DZ97" s="118">
        <f t="shared" si="148"/>
        <v>0</v>
      </c>
      <c r="EA97" s="118">
        <f t="shared" si="149"/>
        <v>0</v>
      </c>
      <c r="EB97" s="118">
        <f t="shared" si="150"/>
        <v>0</v>
      </c>
      <c r="EC97" s="118">
        <f t="shared" si="151"/>
        <v>0</v>
      </c>
      <c r="ED97" s="118">
        <f t="shared" si="152"/>
        <v>0</v>
      </c>
      <c r="EE97" s="118">
        <f t="shared" si="153"/>
        <v>0</v>
      </c>
      <c r="EF97" s="118">
        <f t="shared" si="154"/>
        <v>0</v>
      </c>
      <c r="EG97" s="118">
        <f t="shared" si="155"/>
        <v>0</v>
      </c>
      <c r="EH97" s="118">
        <f t="shared" si="156"/>
        <v>0</v>
      </c>
      <c r="EI97" s="118">
        <f t="shared" si="157"/>
        <v>0</v>
      </c>
      <c r="EJ97" s="118">
        <f t="shared" si="158"/>
        <v>0</v>
      </c>
      <c r="EK97" s="118">
        <f t="shared" si="159"/>
        <v>0</v>
      </c>
      <c r="EL97" s="118">
        <f t="shared" si="160"/>
        <v>0</v>
      </c>
      <c r="EM97" s="118">
        <f t="shared" si="161"/>
        <v>0</v>
      </c>
      <c r="EN97" s="118">
        <f t="shared" si="162"/>
        <v>0</v>
      </c>
      <c r="EO97" s="118">
        <f t="shared" si="163"/>
        <v>0</v>
      </c>
      <c r="EP97" s="118">
        <f t="shared" si="164"/>
        <v>0</v>
      </c>
      <c r="EQ97" s="118">
        <f t="shared" si="165"/>
        <v>0</v>
      </c>
      <c r="ER97" s="118">
        <f t="shared" si="166"/>
        <v>0</v>
      </c>
      <c r="ES97" s="118">
        <f t="shared" si="167"/>
        <v>0</v>
      </c>
      <c r="ET97" s="177">
        <f t="shared" si="168"/>
        <v>0</v>
      </c>
      <c r="EU97" s="72"/>
      <c r="EV97" s="117">
        <f t="shared" si="169"/>
        <v>4034.5468695529757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0"/>
        <v>0</v>
      </c>
    </row>
    <row r="98" spans="109:193">
      <c r="DE98" s="117">
        <f t="shared" si="127"/>
        <v>4155.5832756395648</v>
      </c>
      <c r="DF98" s="118">
        <f t="shared" si="128"/>
        <v>0</v>
      </c>
      <c r="DG98" s="118">
        <f t="shared" si="129"/>
        <v>0</v>
      </c>
      <c r="DH98" s="118">
        <f t="shared" si="130"/>
        <v>0</v>
      </c>
      <c r="DI98" s="118">
        <f t="shared" si="131"/>
        <v>0</v>
      </c>
      <c r="DJ98" s="118">
        <f t="shared" si="132"/>
        <v>0</v>
      </c>
      <c r="DK98" s="118">
        <f t="shared" si="133"/>
        <v>0</v>
      </c>
      <c r="DL98" s="118">
        <f t="shared" si="134"/>
        <v>0</v>
      </c>
      <c r="DM98" s="118">
        <f t="shared" si="135"/>
        <v>0</v>
      </c>
      <c r="DN98" s="118">
        <f t="shared" si="136"/>
        <v>0</v>
      </c>
      <c r="DO98" s="118">
        <f t="shared" si="137"/>
        <v>0</v>
      </c>
      <c r="DP98" s="118">
        <f t="shared" si="138"/>
        <v>0</v>
      </c>
      <c r="DQ98" s="118">
        <f t="shared" si="139"/>
        <v>0</v>
      </c>
      <c r="DR98" s="118">
        <f t="shared" si="140"/>
        <v>0</v>
      </c>
      <c r="DS98" s="118">
        <f t="shared" si="141"/>
        <v>0</v>
      </c>
      <c r="DT98" s="118">
        <f t="shared" si="142"/>
        <v>0</v>
      </c>
      <c r="DU98" s="118">
        <f t="shared" si="143"/>
        <v>0</v>
      </c>
      <c r="DV98" s="118">
        <f t="shared" si="144"/>
        <v>0</v>
      </c>
      <c r="DW98" s="118">
        <f t="shared" si="145"/>
        <v>0</v>
      </c>
      <c r="DX98" s="118">
        <f t="shared" si="146"/>
        <v>0</v>
      </c>
      <c r="DY98" s="118">
        <f t="shared" si="147"/>
        <v>0</v>
      </c>
      <c r="DZ98" s="118">
        <f t="shared" si="148"/>
        <v>0</v>
      </c>
      <c r="EA98" s="118">
        <f t="shared" si="149"/>
        <v>0</v>
      </c>
      <c r="EB98" s="118">
        <f t="shared" si="150"/>
        <v>0</v>
      </c>
      <c r="EC98" s="118">
        <f t="shared" si="151"/>
        <v>0</v>
      </c>
      <c r="ED98" s="118">
        <f t="shared" si="152"/>
        <v>0</v>
      </c>
      <c r="EE98" s="118">
        <f t="shared" si="153"/>
        <v>0</v>
      </c>
      <c r="EF98" s="118">
        <f t="shared" si="154"/>
        <v>0</v>
      </c>
      <c r="EG98" s="118">
        <f t="shared" si="155"/>
        <v>0</v>
      </c>
      <c r="EH98" s="118">
        <f t="shared" si="156"/>
        <v>0</v>
      </c>
      <c r="EI98" s="118">
        <f t="shared" si="157"/>
        <v>0</v>
      </c>
      <c r="EJ98" s="118">
        <f t="shared" si="158"/>
        <v>0</v>
      </c>
      <c r="EK98" s="118">
        <f t="shared" si="159"/>
        <v>0</v>
      </c>
      <c r="EL98" s="118">
        <f t="shared" si="160"/>
        <v>0</v>
      </c>
      <c r="EM98" s="118">
        <f t="shared" si="161"/>
        <v>0</v>
      </c>
      <c r="EN98" s="118">
        <f t="shared" si="162"/>
        <v>0</v>
      </c>
      <c r="EO98" s="118">
        <f t="shared" si="163"/>
        <v>0</v>
      </c>
      <c r="EP98" s="118">
        <f t="shared" si="164"/>
        <v>0</v>
      </c>
      <c r="EQ98" s="118">
        <f t="shared" si="165"/>
        <v>0</v>
      </c>
      <c r="ER98" s="118">
        <f t="shared" si="166"/>
        <v>0</v>
      </c>
      <c r="ES98" s="118">
        <f t="shared" si="167"/>
        <v>0</v>
      </c>
      <c r="ET98" s="177">
        <f t="shared" si="168"/>
        <v>0</v>
      </c>
      <c r="EU98" s="72"/>
      <c r="EV98" s="117">
        <f t="shared" si="169"/>
        <v>4155.5832756395648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0"/>
        <v>0</v>
      </c>
    </row>
    <row r="99" spans="109:193">
      <c r="DE99" s="117">
        <f t="shared" si="127"/>
        <v>4280.2507739087523</v>
      </c>
      <c r="DF99" s="118">
        <f t="shared" si="128"/>
        <v>0</v>
      </c>
      <c r="DG99" s="118">
        <f t="shared" si="129"/>
        <v>0</v>
      </c>
      <c r="DH99" s="118">
        <f t="shared" si="130"/>
        <v>0</v>
      </c>
      <c r="DI99" s="118">
        <f t="shared" si="131"/>
        <v>0</v>
      </c>
      <c r="DJ99" s="118">
        <f t="shared" si="132"/>
        <v>0</v>
      </c>
      <c r="DK99" s="118">
        <f t="shared" si="133"/>
        <v>0</v>
      </c>
      <c r="DL99" s="118">
        <f t="shared" si="134"/>
        <v>0</v>
      </c>
      <c r="DM99" s="118">
        <f t="shared" si="135"/>
        <v>0</v>
      </c>
      <c r="DN99" s="118">
        <f t="shared" si="136"/>
        <v>0</v>
      </c>
      <c r="DO99" s="118">
        <f t="shared" si="137"/>
        <v>112351.08347225323</v>
      </c>
      <c r="DP99" s="118">
        <f t="shared" si="138"/>
        <v>0</v>
      </c>
      <c r="DQ99" s="118">
        <f t="shared" si="139"/>
        <v>0</v>
      </c>
      <c r="DR99" s="118">
        <f t="shared" si="140"/>
        <v>0</v>
      </c>
      <c r="DS99" s="118">
        <f t="shared" si="141"/>
        <v>0</v>
      </c>
      <c r="DT99" s="118">
        <f t="shared" si="142"/>
        <v>0</v>
      </c>
      <c r="DU99" s="118">
        <f t="shared" si="143"/>
        <v>0</v>
      </c>
      <c r="DV99" s="118">
        <f t="shared" si="144"/>
        <v>0</v>
      </c>
      <c r="DW99" s="118">
        <f t="shared" si="145"/>
        <v>0</v>
      </c>
      <c r="DX99" s="118">
        <f t="shared" si="146"/>
        <v>0</v>
      </c>
      <c r="DY99" s="118">
        <f t="shared" si="147"/>
        <v>0</v>
      </c>
      <c r="DZ99" s="118">
        <f t="shared" si="148"/>
        <v>0</v>
      </c>
      <c r="EA99" s="118">
        <f t="shared" si="149"/>
        <v>0</v>
      </c>
      <c r="EB99" s="118">
        <f t="shared" si="150"/>
        <v>0</v>
      </c>
      <c r="EC99" s="118">
        <f t="shared" si="151"/>
        <v>0</v>
      </c>
      <c r="ED99" s="118">
        <f t="shared" si="152"/>
        <v>0</v>
      </c>
      <c r="EE99" s="118">
        <f t="shared" si="153"/>
        <v>0</v>
      </c>
      <c r="EF99" s="118">
        <f t="shared" si="154"/>
        <v>0</v>
      </c>
      <c r="EG99" s="118">
        <f t="shared" si="155"/>
        <v>0</v>
      </c>
      <c r="EH99" s="118">
        <f t="shared" si="156"/>
        <v>0</v>
      </c>
      <c r="EI99" s="118">
        <f t="shared" si="157"/>
        <v>0</v>
      </c>
      <c r="EJ99" s="118">
        <f t="shared" si="158"/>
        <v>0</v>
      </c>
      <c r="EK99" s="118">
        <f t="shared" si="159"/>
        <v>0</v>
      </c>
      <c r="EL99" s="118">
        <f t="shared" si="160"/>
        <v>0</v>
      </c>
      <c r="EM99" s="118">
        <f t="shared" si="161"/>
        <v>0</v>
      </c>
      <c r="EN99" s="118">
        <f t="shared" si="162"/>
        <v>0</v>
      </c>
      <c r="EO99" s="118">
        <f t="shared" si="163"/>
        <v>0</v>
      </c>
      <c r="EP99" s="118">
        <f t="shared" si="164"/>
        <v>0</v>
      </c>
      <c r="EQ99" s="118">
        <f t="shared" si="165"/>
        <v>0</v>
      </c>
      <c r="ER99" s="118">
        <f t="shared" si="166"/>
        <v>0</v>
      </c>
      <c r="ES99" s="118">
        <f t="shared" si="167"/>
        <v>0</v>
      </c>
      <c r="ET99" s="177">
        <f t="shared" si="168"/>
        <v>112351.08347225323</v>
      </c>
      <c r="EU99" s="72"/>
      <c r="EV99" s="117">
        <f t="shared" si="169"/>
        <v>4280.2507739087523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0"/>
        <v>0</v>
      </c>
    </row>
    <row r="100" spans="109:193">
      <c r="DE100" s="117">
        <f t="shared" si="127"/>
        <v>4408.658297126015</v>
      </c>
      <c r="DF100" s="118">
        <f t="shared" si="128"/>
        <v>0</v>
      </c>
      <c r="DG100" s="118">
        <f t="shared" si="129"/>
        <v>0</v>
      </c>
      <c r="DH100" s="118">
        <f t="shared" si="130"/>
        <v>0</v>
      </c>
      <c r="DI100" s="118">
        <f t="shared" si="131"/>
        <v>0</v>
      </c>
      <c r="DJ100" s="118">
        <f t="shared" si="132"/>
        <v>0</v>
      </c>
      <c r="DK100" s="118">
        <f t="shared" si="133"/>
        <v>0</v>
      </c>
      <c r="DL100" s="118">
        <f t="shared" si="134"/>
        <v>0</v>
      </c>
      <c r="DM100" s="118">
        <f t="shared" si="135"/>
        <v>0</v>
      </c>
      <c r="DN100" s="118">
        <f t="shared" si="136"/>
        <v>0</v>
      </c>
      <c r="DO100" s="118">
        <f t="shared" si="137"/>
        <v>292121.61597642099</v>
      </c>
      <c r="DP100" s="118">
        <f t="shared" si="138"/>
        <v>0</v>
      </c>
      <c r="DQ100" s="118">
        <f t="shared" si="139"/>
        <v>0</v>
      </c>
      <c r="DR100" s="118">
        <f t="shared" si="140"/>
        <v>0</v>
      </c>
      <c r="DS100" s="118">
        <f t="shared" si="141"/>
        <v>0</v>
      </c>
      <c r="DT100" s="118">
        <f t="shared" si="142"/>
        <v>0</v>
      </c>
      <c r="DU100" s="118">
        <f t="shared" si="143"/>
        <v>0</v>
      </c>
      <c r="DV100" s="118">
        <f t="shared" si="144"/>
        <v>0</v>
      </c>
      <c r="DW100" s="118">
        <f t="shared" si="145"/>
        <v>0</v>
      </c>
      <c r="DX100" s="118">
        <f t="shared" si="146"/>
        <v>0</v>
      </c>
      <c r="DY100" s="118">
        <f t="shared" si="147"/>
        <v>0</v>
      </c>
      <c r="DZ100" s="118">
        <f t="shared" si="148"/>
        <v>0</v>
      </c>
      <c r="EA100" s="118">
        <f t="shared" si="149"/>
        <v>0</v>
      </c>
      <c r="EB100" s="118">
        <f t="shared" si="150"/>
        <v>0</v>
      </c>
      <c r="EC100" s="118">
        <f t="shared" si="151"/>
        <v>0</v>
      </c>
      <c r="ED100" s="118">
        <f t="shared" si="152"/>
        <v>0</v>
      </c>
      <c r="EE100" s="118">
        <f t="shared" si="153"/>
        <v>0</v>
      </c>
      <c r="EF100" s="118">
        <f t="shared" si="154"/>
        <v>0</v>
      </c>
      <c r="EG100" s="118">
        <f t="shared" si="155"/>
        <v>0</v>
      </c>
      <c r="EH100" s="118">
        <f t="shared" si="156"/>
        <v>0</v>
      </c>
      <c r="EI100" s="118">
        <f t="shared" si="157"/>
        <v>0</v>
      </c>
      <c r="EJ100" s="118">
        <f t="shared" si="158"/>
        <v>0</v>
      </c>
      <c r="EK100" s="118">
        <f t="shared" si="159"/>
        <v>0</v>
      </c>
      <c r="EL100" s="118">
        <f t="shared" si="160"/>
        <v>0</v>
      </c>
      <c r="EM100" s="118">
        <f t="shared" si="161"/>
        <v>0</v>
      </c>
      <c r="EN100" s="118">
        <f t="shared" si="162"/>
        <v>0</v>
      </c>
      <c r="EO100" s="118">
        <f t="shared" si="163"/>
        <v>0</v>
      </c>
      <c r="EP100" s="118">
        <f t="shared" si="164"/>
        <v>0</v>
      </c>
      <c r="EQ100" s="118">
        <f t="shared" si="165"/>
        <v>0</v>
      </c>
      <c r="ER100" s="118">
        <f t="shared" si="166"/>
        <v>0</v>
      </c>
      <c r="ES100" s="118">
        <f t="shared" si="167"/>
        <v>0</v>
      </c>
      <c r="ET100" s="177">
        <f t="shared" si="168"/>
        <v>292121.61597642099</v>
      </c>
      <c r="EU100" s="72"/>
      <c r="EV100" s="117">
        <f t="shared" si="169"/>
        <v>4408.658297126015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0"/>
        <v>0</v>
      </c>
    </row>
    <row r="101" spans="109:193">
      <c r="DE101" s="117">
        <f t="shared" si="127"/>
        <v>4540.9180460397956</v>
      </c>
      <c r="DF101" s="118">
        <f t="shared" si="128"/>
        <v>0</v>
      </c>
      <c r="DG101" s="118">
        <f t="shared" si="129"/>
        <v>0</v>
      </c>
      <c r="DH101" s="118">
        <f t="shared" si="130"/>
        <v>0</v>
      </c>
      <c r="DI101" s="118">
        <f t="shared" si="131"/>
        <v>0</v>
      </c>
      <c r="DJ101" s="118">
        <f t="shared" si="132"/>
        <v>0</v>
      </c>
      <c r="DK101" s="118">
        <f t="shared" si="133"/>
        <v>0</v>
      </c>
      <c r="DL101" s="118">
        <f t="shared" si="134"/>
        <v>0</v>
      </c>
      <c r="DM101" s="118">
        <f t="shared" si="135"/>
        <v>0</v>
      </c>
      <c r="DN101" s="118">
        <f t="shared" si="136"/>
        <v>0</v>
      </c>
      <c r="DO101" s="118">
        <f t="shared" si="137"/>
        <v>477285.26445571386</v>
      </c>
      <c r="DP101" s="118">
        <f t="shared" si="138"/>
        <v>0</v>
      </c>
      <c r="DQ101" s="118">
        <f t="shared" si="139"/>
        <v>0</v>
      </c>
      <c r="DR101" s="118">
        <f t="shared" si="140"/>
        <v>0</v>
      </c>
      <c r="DS101" s="118">
        <f t="shared" si="141"/>
        <v>0</v>
      </c>
      <c r="DT101" s="118">
        <f t="shared" si="142"/>
        <v>0</v>
      </c>
      <c r="DU101" s="118">
        <f t="shared" si="143"/>
        <v>0</v>
      </c>
      <c r="DV101" s="118">
        <f t="shared" si="144"/>
        <v>0</v>
      </c>
      <c r="DW101" s="118">
        <f t="shared" si="145"/>
        <v>0</v>
      </c>
      <c r="DX101" s="118">
        <f t="shared" si="146"/>
        <v>0</v>
      </c>
      <c r="DY101" s="118">
        <f t="shared" si="147"/>
        <v>0</v>
      </c>
      <c r="DZ101" s="118">
        <f t="shared" si="148"/>
        <v>0</v>
      </c>
      <c r="EA101" s="118">
        <f t="shared" si="149"/>
        <v>0</v>
      </c>
      <c r="EB101" s="118">
        <f t="shared" si="150"/>
        <v>0</v>
      </c>
      <c r="EC101" s="118">
        <f t="shared" si="151"/>
        <v>0</v>
      </c>
      <c r="ED101" s="118">
        <f t="shared" si="152"/>
        <v>0</v>
      </c>
      <c r="EE101" s="118">
        <f t="shared" si="153"/>
        <v>0</v>
      </c>
      <c r="EF101" s="118">
        <f t="shared" si="154"/>
        <v>0</v>
      </c>
      <c r="EG101" s="118">
        <f t="shared" si="155"/>
        <v>0</v>
      </c>
      <c r="EH101" s="118">
        <f t="shared" si="156"/>
        <v>0</v>
      </c>
      <c r="EI101" s="118">
        <f t="shared" si="157"/>
        <v>0</v>
      </c>
      <c r="EJ101" s="118">
        <f t="shared" si="158"/>
        <v>0</v>
      </c>
      <c r="EK101" s="118">
        <f t="shared" si="159"/>
        <v>0</v>
      </c>
      <c r="EL101" s="118">
        <f t="shared" si="160"/>
        <v>0</v>
      </c>
      <c r="EM101" s="118">
        <f t="shared" si="161"/>
        <v>0</v>
      </c>
      <c r="EN101" s="118">
        <f t="shared" si="162"/>
        <v>0</v>
      </c>
      <c r="EO101" s="118">
        <f t="shared" si="163"/>
        <v>0</v>
      </c>
      <c r="EP101" s="118">
        <f t="shared" si="164"/>
        <v>0</v>
      </c>
      <c r="EQ101" s="118">
        <f t="shared" si="165"/>
        <v>0</v>
      </c>
      <c r="ER101" s="118">
        <f t="shared" si="166"/>
        <v>0</v>
      </c>
      <c r="ES101" s="118">
        <f t="shared" si="167"/>
        <v>0</v>
      </c>
      <c r="ET101" s="177">
        <f t="shared" si="168"/>
        <v>477285.26445571386</v>
      </c>
      <c r="EU101" s="72"/>
      <c r="EV101" s="117">
        <f t="shared" si="169"/>
        <v>4540.9180460397956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0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1">DE3</f>
        <v>1791.9425524598291</v>
      </c>
      <c r="DF103" s="118">
        <f t="shared" ref="DF103:DF134" si="172">IF($DE103&lt;$AD$3,$AC$3*100*($AD$3-$DE103),0)</f>
        <v>0</v>
      </c>
      <c r="DG103" s="118">
        <f t="shared" ref="DG103:DG134" si="173">IF($DE103&lt;$AD$4,$AC$4*100*($AD$4-$DE103),0)</f>
        <v>0</v>
      </c>
      <c r="DH103" s="118">
        <f t="shared" ref="DH103:DH134" si="174">IF($DE103&lt;$AD$5,$AC$5*100*($AD$5-$DE103),0)</f>
        <v>0</v>
      </c>
      <c r="DI103" s="118">
        <f t="shared" ref="DI103:DI134" si="175">IF($DE103&lt;$AD$6,$AC$6*100*($AD$6-$DE103),0)</f>
        <v>0</v>
      </c>
      <c r="DJ103" s="118">
        <f t="shared" ref="DJ103:DJ134" si="176">IF($DE103&lt;$AD$7,$AC$7*100*($AD$7-$DE103),0)</f>
        <v>0</v>
      </c>
      <c r="DK103" s="118">
        <f t="shared" ref="DK103:DK134" si="177">IF($DE103&lt;$AD$8,$AC$8*100*($AD$8-$DE103),0)</f>
        <v>0</v>
      </c>
      <c r="DL103" s="118">
        <f t="shared" ref="DL103:DL134" si="178">IF($DE103&lt;$AD$9,$AC$9*100*($AD$9-$DE103),0)</f>
        <v>0</v>
      </c>
      <c r="DM103" s="118">
        <f t="shared" ref="DM103:DM134" si="179">IF($DE103&lt;$AD$10,$AC$10*100*($AD$10-$DE103),0)</f>
        <v>0</v>
      </c>
      <c r="DN103" s="118">
        <f t="shared" ref="DN103:DN134" si="180">IF($DE103&lt;$AD$11,$AC$11*100*($AD$11-$DE103),0)</f>
        <v>0</v>
      </c>
      <c r="DO103" s="118">
        <f t="shared" ref="DO103:DO134" si="181">IF($DE103&lt;$AD$12,$AC$12*100*($AD$12-$DE103),0)</f>
        <v>0</v>
      </c>
      <c r="DP103" s="118">
        <f t="shared" ref="DP103:DP134" si="182">IF($DE103&lt;$AD$13,$AC$13*100*($AD$13-$DE103),0)</f>
        <v>0</v>
      </c>
      <c r="DQ103" s="118">
        <f t="shared" ref="DQ103:DQ134" si="183">IF($DE103&lt;$AD$14,$AC$14*100*($AD$14-$DE103),0)</f>
        <v>0</v>
      </c>
      <c r="DR103" s="118">
        <f t="shared" ref="DR103:DR134" si="184">IF($DE103&lt;$AD$15,$AC$15*100*($AD$15-$DE103),0)</f>
        <v>0</v>
      </c>
      <c r="DS103" s="118">
        <f t="shared" ref="DS103:DS134" si="185">IF($DE103&lt;$AD$16,$AC$16*100*($AD$16-$DE103),0)</f>
        <v>0</v>
      </c>
      <c r="DT103" s="118">
        <f t="shared" ref="DT103:DT134" si="186">IF($DE103&lt;$AD$17,$AC$17*100*($AD$17-$DE103),0)</f>
        <v>0</v>
      </c>
      <c r="DU103" s="118">
        <f t="shared" ref="DU103:DU134" si="187">IF($DE103&lt;$AD$18,$AC$18*100*($AD$18-$DE103),0)</f>
        <v>0</v>
      </c>
      <c r="DV103" s="118">
        <f t="shared" ref="DV103:DV134" si="188">IF($DE103&lt;$AD$19,$AC$19*100*($AD$19-$DE103),0)</f>
        <v>0</v>
      </c>
      <c r="DW103" s="118">
        <f t="shared" ref="DW103:DW134" si="189">IF($DE103&lt;$AD$20,$AC$20*100*($AD$20-$DE103),0)</f>
        <v>0</v>
      </c>
      <c r="DX103" s="118">
        <f t="shared" ref="DX103:DX134" si="190">IF($DE103&lt;$AD$21,$AC$21*100*($AD$21-$DE103),0)</f>
        <v>0</v>
      </c>
      <c r="DY103" s="118">
        <f t="shared" ref="DY103:DY134" si="191">IF($DE103&lt;$AD$22,$AC$22*100*($AD$22-$DE103),0)</f>
        <v>0</v>
      </c>
      <c r="DZ103" s="118">
        <f t="shared" ref="DZ103:DZ134" si="192">IF($DE103&lt;$AD$23,$AC$23*100*($AD$23-$DE103),0)</f>
        <v>0</v>
      </c>
      <c r="EA103" s="118">
        <f t="shared" ref="EA103:EA134" si="193">IF($DE103&lt;$AD$24,$AC$24*100*($AD$24-$DE103),0)</f>
        <v>0</v>
      </c>
      <c r="EB103" s="118">
        <f t="shared" ref="EB103:EB134" si="194">IF($DE103&lt;$AD$25,$AC$25*100*($AD$25-$DE103),0)</f>
        <v>0</v>
      </c>
      <c r="EC103" s="118">
        <f t="shared" ref="EC103:EC134" si="195">IF($DE103&lt;$AD$26,$AC$26*100*($AD$26-$DE103),0)</f>
        <v>0</v>
      </c>
      <c r="ED103" s="118">
        <f t="shared" ref="ED103:ED134" si="196">IF($DE103&lt;$AD$27,$AC$27*100*($AD$27-$DE103),0)</f>
        <v>0</v>
      </c>
      <c r="EE103" s="118">
        <f t="shared" ref="EE103:EE134" si="197">IF($DE103&lt;$AD$28,$AC$28*100*($AD$28-$DE103),0)</f>
        <v>0</v>
      </c>
      <c r="EF103" s="118">
        <f t="shared" ref="EF103:EF134" si="198">IF($DE103&lt;$AD$29,$AC$29*100*($AD$29-$DE103),0)</f>
        <v>0</v>
      </c>
      <c r="EG103" s="118">
        <f t="shared" ref="EG103:EG134" si="199">IF($DE103&lt;$AD$30,$AC$30*100*($AD$30-$DE103),0)</f>
        <v>0</v>
      </c>
      <c r="EH103" s="118">
        <f t="shared" ref="EH103:EH134" si="200">IF($DE103&lt;$AD$31,$AC$31*100*($AD$31-$DE103),0)</f>
        <v>0</v>
      </c>
      <c r="EI103" s="118">
        <f t="shared" ref="EI103:EI134" si="201">IF($DE103&lt;$AD$32,$AC$32*100*($AD$32-$DE103),0)</f>
        <v>0</v>
      </c>
      <c r="EJ103" s="118">
        <f t="shared" ref="EJ103:EJ134" si="202">IF($DE103&lt;$AD$33,$AC$33*100*($AD$33-$DE103),0)</f>
        <v>0</v>
      </c>
      <c r="EK103" s="118">
        <f t="shared" ref="EK103:EK134" si="203">IF($DE103&lt;$AD$34,$AC$34*100*($AD$34-$DE103),0)</f>
        <v>0</v>
      </c>
      <c r="EL103" s="118">
        <f t="shared" ref="EL103:EL134" si="204">IF($DE103&lt;$AD$35,$AC$35*100*($AD$35-$DE103),0)</f>
        <v>0</v>
      </c>
      <c r="EM103" s="118">
        <f t="shared" ref="EM103:EM134" si="205">IF($DE103&lt;$AD$36,$AC$36*100*($AD$36-$DE103),0)</f>
        <v>0</v>
      </c>
      <c r="EN103" s="118">
        <f t="shared" ref="EN103:EN134" si="206">IF($DE103&lt;$AD$37,$AC$37*100*($AD$37-$DE103),0)</f>
        <v>0</v>
      </c>
      <c r="EO103" s="118">
        <f t="shared" ref="EO103:EO134" si="207">IF($DE103&lt;$AD$38,$AC$38*100*($AD$38-$DE103),0)</f>
        <v>0</v>
      </c>
      <c r="EP103" s="118">
        <f t="shared" ref="EP103:EP134" si="208">IF($DE103&lt;$AD$39,$AC$39*100*($AD$39-$DE103),0)</f>
        <v>0</v>
      </c>
      <c r="EQ103" s="118">
        <f t="shared" ref="EQ103:EQ134" si="209">IF($DE103&lt;$AD$40,$AC$40*100*($AD$40-$DE103),0)</f>
        <v>0</v>
      </c>
      <c r="ER103" s="118">
        <f t="shared" ref="ER103:ER134" si="210">IF($DE103&lt;$AD$41,$AC$41*100*($AD$41-$DE103),0)</f>
        <v>0</v>
      </c>
      <c r="ES103" s="118">
        <f t="shared" ref="ES103:ES134" si="211">IF($DE103&lt;$AD$42,$AC$42*100*($AD$42-$DE103),0)</f>
        <v>0</v>
      </c>
      <c r="ET103" s="177">
        <f t="shared" ref="ET103:ET134" si="212">SUM(DF103:ES103)</f>
        <v>0</v>
      </c>
      <c r="EU103" s="72"/>
      <c r="EV103" s="117">
        <f t="shared" ref="EV103:EV134" si="213">EV3</f>
        <v>1791.9425524598291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4">SUM(EW103:GJ103)</f>
        <v>0</v>
      </c>
    </row>
    <row r="104" spans="109:193">
      <c r="DE104" s="117">
        <f t="shared" si="171"/>
        <v>1847.3634561441538</v>
      </c>
      <c r="DF104" s="118">
        <f t="shared" si="172"/>
        <v>0</v>
      </c>
      <c r="DG104" s="118">
        <f t="shared" si="173"/>
        <v>0</v>
      </c>
      <c r="DH104" s="118">
        <f t="shared" si="174"/>
        <v>0</v>
      </c>
      <c r="DI104" s="118">
        <f t="shared" si="175"/>
        <v>0</v>
      </c>
      <c r="DJ104" s="118">
        <f t="shared" si="176"/>
        <v>0</v>
      </c>
      <c r="DK104" s="118">
        <f t="shared" si="177"/>
        <v>0</v>
      </c>
      <c r="DL104" s="118">
        <f t="shared" si="178"/>
        <v>0</v>
      </c>
      <c r="DM104" s="118">
        <f t="shared" si="179"/>
        <v>0</v>
      </c>
      <c r="DN104" s="118">
        <f t="shared" si="180"/>
        <v>0</v>
      </c>
      <c r="DO104" s="118">
        <f t="shared" si="181"/>
        <v>0</v>
      </c>
      <c r="DP104" s="118">
        <f t="shared" si="182"/>
        <v>0</v>
      </c>
      <c r="DQ104" s="118">
        <f t="shared" si="183"/>
        <v>0</v>
      </c>
      <c r="DR104" s="118">
        <f t="shared" si="184"/>
        <v>0</v>
      </c>
      <c r="DS104" s="118">
        <f t="shared" si="185"/>
        <v>0</v>
      </c>
      <c r="DT104" s="118">
        <f t="shared" si="186"/>
        <v>0</v>
      </c>
      <c r="DU104" s="118">
        <f t="shared" si="187"/>
        <v>0</v>
      </c>
      <c r="DV104" s="118">
        <f t="shared" si="188"/>
        <v>0</v>
      </c>
      <c r="DW104" s="118">
        <f t="shared" si="189"/>
        <v>0</v>
      </c>
      <c r="DX104" s="118">
        <f t="shared" si="190"/>
        <v>0</v>
      </c>
      <c r="DY104" s="118">
        <f t="shared" si="191"/>
        <v>0</v>
      </c>
      <c r="DZ104" s="118">
        <f t="shared" si="192"/>
        <v>0</v>
      </c>
      <c r="EA104" s="118">
        <f t="shared" si="193"/>
        <v>0</v>
      </c>
      <c r="EB104" s="118">
        <f t="shared" si="194"/>
        <v>0</v>
      </c>
      <c r="EC104" s="118">
        <f t="shared" si="195"/>
        <v>0</v>
      </c>
      <c r="ED104" s="118">
        <f t="shared" si="196"/>
        <v>0</v>
      </c>
      <c r="EE104" s="118">
        <f t="shared" si="197"/>
        <v>0</v>
      </c>
      <c r="EF104" s="118">
        <f t="shared" si="198"/>
        <v>0</v>
      </c>
      <c r="EG104" s="118">
        <f t="shared" si="199"/>
        <v>0</v>
      </c>
      <c r="EH104" s="118">
        <f t="shared" si="200"/>
        <v>0</v>
      </c>
      <c r="EI104" s="118">
        <f t="shared" si="201"/>
        <v>0</v>
      </c>
      <c r="EJ104" s="118">
        <f t="shared" si="202"/>
        <v>0</v>
      </c>
      <c r="EK104" s="118">
        <f t="shared" si="203"/>
        <v>0</v>
      </c>
      <c r="EL104" s="118">
        <f t="shared" si="204"/>
        <v>0</v>
      </c>
      <c r="EM104" s="118">
        <f t="shared" si="205"/>
        <v>0</v>
      </c>
      <c r="EN104" s="118">
        <f t="shared" si="206"/>
        <v>0</v>
      </c>
      <c r="EO104" s="118">
        <f t="shared" si="207"/>
        <v>0</v>
      </c>
      <c r="EP104" s="118">
        <f t="shared" si="208"/>
        <v>0</v>
      </c>
      <c r="EQ104" s="118">
        <f t="shared" si="209"/>
        <v>0</v>
      </c>
      <c r="ER104" s="118">
        <f t="shared" si="210"/>
        <v>0</v>
      </c>
      <c r="ES104" s="118">
        <f t="shared" si="211"/>
        <v>0</v>
      </c>
      <c r="ET104" s="177">
        <f t="shared" si="212"/>
        <v>0</v>
      </c>
      <c r="EU104" s="72"/>
      <c r="EV104" s="117">
        <f t="shared" si="213"/>
        <v>1847.3634561441538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4"/>
        <v>0</v>
      </c>
    </row>
    <row r="105" spans="109:193">
      <c r="DE105" s="117">
        <f t="shared" si="171"/>
        <v>1904.4984083960348</v>
      </c>
      <c r="DF105" s="118">
        <f t="shared" si="172"/>
        <v>0</v>
      </c>
      <c r="DG105" s="118">
        <f t="shared" si="173"/>
        <v>0</v>
      </c>
      <c r="DH105" s="118">
        <f t="shared" si="174"/>
        <v>0</v>
      </c>
      <c r="DI105" s="118">
        <f t="shared" si="175"/>
        <v>0</v>
      </c>
      <c r="DJ105" s="118">
        <f t="shared" si="176"/>
        <v>0</v>
      </c>
      <c r="DK105" s="118">
        <f t="shared" si="177"/>
        <v>0</v>
      </c>
      <c r="DL105" s="118">
        <f t="shared" si="178"/>
        <v>0</v>
      </c>
      <c r="DM105" s="118">
        <f t="shared" si="179"/>
        <v>0</v>
      </c>
      <c r="DN105" s="118">
        <f t="shared" si="180"/>
        <v>0</v>
      </c>
      <c r="DO105" s="118">
        <f t="shared" si="181"/>
        <v>0</v>
      </c>
      <c r="DP105" s="118">
        <f t="shared" si="182"/>
        <v>0</v>
      </c>
      <c r="DQ105" s="118">
        <f t="shared" si="183"/>
        <v>0</v>
      </c>
      <c r="DR105" s="118">
        <f t="shared" si="184"/>
        <v>0</v>
      </c>
      <c r="DS105" s="118">
        <f t="shared" si="185"/>
        <v>0</v>
      </c>
      <c r="DT105" s="118">
        <f t="shared" si="186"/>
        <v>0</v>
      </c>
      <c r="DU105" s="118">
        <f t="shared" si="187"/>
        <v>0</v>
      </c>
      <c r="DV105" s="118">
        <f t="shared" si="188"/>
        <v>0</v>
      </c>
      <c r="DW105" s="118">
        <f t="shared" si="189"/>
        <v>0</v>
      </c>
      <c r="DX105" s="118">
        <f t="shared" si="190"/>
        <v>0</v>
      </c>
      <c r="DY105" s="118">
        <f t="shared" si="191"/>
        <v>0</v>
      </c>
      <c r="DZ105" s="118">
        <f t="shared" si="192"/>
        <v>0</v>
      </c>
      <c r="EA105" s="118">
        <f t="shared" si="193"/>
        <v>0</v>
      </c>
      <c r="EB105" s="118">
        <f t="shared" si="194"/>
        <v>0</v>
      </c>
      <c r="EC105" s="118">
        <f t="shared" si="195"/>
        <v>0</v>
      </c>
      <c r="ED105" s="118">
        <f t="shared" si="196"/>
        <v>0</v>
      </c>
      <c r="EE105" s="118">
        <f t="shared" si="197"/>
        <v>0</v>
      </c>
      <c r="EF105" s="118">
        <f t="shared" si="198"/>
        <v>0</v>
      </c>
      <c r="EG105" s="118">
        <f t="shared" si="199"/>
        <v>0</v>
      </c>
      <c r="EH105" s="118">
        <f t="shared" si="200"/>
        <v>0</v>
      </c>
      <c r="EI105" s="118">
        <f t="shared" si="201"/>
        <v>0</v>
      </c>
      <c r="EJ105" s="118">
        <f t="shared" si="202"/>
        <v>0</v>
      </c>
      <c r="EK105" s="118">
        <f t="shared" si="203"/>
        <v>0</v>
      </c>
      <c r="EL105" s="118">
        <f t="shared" si="204"/>
        <v>0</v>
      </c>
      <c r="EM105" s="118">
        <f t="shared" si="205"/>
        <v>0</v>
      </c>
      <c r="EN105" s="118">
        <f t="shared" si="206"/>
        <v>0</v>
      </c>
      <c r="EO105" s="118">
        <f t="shared" si="207"/>
        <v>0</v>
      </c>
      <c r="EP105" s="118">
        <f t="shared" si="208"/>
        <v>0</v>
      </c>
      <c r="EQ105" s="118">
        <f t="shared" si="209"/>
        <v>0</v>
      </c>
      <c r="ER105" s="118">
        <f t="shared" si="210"/>
        <v>0</v>
      </c>
      <c r="ES105" s="118">
        <f t="shared" si="211"/>
        <v>0</v>
      </c>
      <c r="ET105" s="177">
        <f t="shared" si="212"/>
        <v>0</v>
      </c>
      <c r="EU105" s="72"/>
      <c r="EV105" s="117">
        <f t="shared" si="213"/>
        <v>1904.4984083960348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4"/>
        <v>0</v>
      </c>
    </row>
    <row r="106" spans="109:193">
      <c r="DE106" s="117">
        <f t="shared" si="171"/>
        <v>1963.4004210268401</v>
      </c>
      <c r="DF106" s="118">
        <f t="shared" si="172"/>
        <v>0</v>
      </c>
      <c r="DG106" s="118">
        <f t="shared" si="173"/>
        <v>0</v>
      </c>
      <c r="DH106" s="118">
        <f t="shared" si="174"/>
        <v>0</v>
      </c>
      <c r="DI106" s="118">
        <f t="shared" si="175"/>
        <v>0</v>
      </c>
      <c r="DJ106" s="118">
        <f t="shared" si="176"/>
        <v>0</v>
      </c>
      <c r="DK106" s="118">
        <f t="shared" si="177"/>
        <v>0</v>
      </c>
      <c r="DL106" s="118">
        <f t="shared" si="178"/>
        <v>0</v>
      </c>
      <c r="DM106" s="118">
        <f t="shared" si="179"/>
        <v>0</v>
      </c>
      <c r="DN106" s="118">
        <f t="shared" si="180"/>
        <v>0</v>
      </c>
      <c r="DO106" s="118">
        <f t="shared" si="181"/>
        <v>0</v>
      </c>
      <c r="DP106" s="118">
        <f t="shared" si="182"/>
        <v>0</v>
      </c>
      <c r="DQ106" s="118">
        <f t="shared" si="183"/>
        <v>0</v>
      </c>
      <c r="DR106" s="118">
        <f t="shared" si="184"/>
        <v>0</v>
      </c>
      <c r="DS106" s="118">
        <f t="shared" si="185"/>
        <v>0</v>
      </c>
      <c r="DT106" s="118">
        <f t="shared" si="186"/>
        <v>0</v>
      </c>
      <c r="DU106" s="118">
        <f t="shared" si="187"/>
        <v>0</v>
      </c>
      <c r="DV106" s="118">
        <f t="shared" si="188"/>
        <v>0</v>
      </c>
      <c r="DW106" s="118">
        <f t="shared" si="189"/>
        <v>0</v>
      </c>
      <c r="DX106" s="118">
        <f t="shared" si="190"/>
        <v>0</v>
      </c>
      <c r="DY106" s="118">
        <f t="shared" si="191"/>
        <v>0</v>
      </c>
      <c r="DZ106" s="118">
        <f t="shared" si="192"/>
        <v>0</v>
      </c>
      <c r="EA106" s="118">
        <f t="shared" si="193"/>
        <v>0</v>
      </c>
      <c r="EB106" s="118">
        <f t="shared" si="194"/>
        <v>0</v>
      </c>
      <c r="EC106" s="118">
        <f t="shared" si="195"/>
        <v>0</v>
      </c>
      <c r="ED106" s="118">
        <f t="shared" si="196"/>
        <v>0</v>
      </c>
      <c r="EE106" s="118">
        <f t="shared" si="197"/>
        <v>0</v>
      </c>
      <c r="EF106" s="118">
        <f t="shared" si="198"/>
        <v>0</v>
      </c>
      <c r="EG106" s="118">
        <f t="shared" si="199"/>
        <v>0</v>
      </c>
      <c r="EH106" s="118">
        <f t="shared" si="200"/>
        <v>0</v>
      </c>
      <c r="EI106" s="118">
        <f t="shared" si="201"/>
        <v>0</v>
      </c>
      <c r="EJ106" s="118">
        <f t="shared" si="202"/>
        <v>0</v>
      </c>
      <c r="EK106" s="118">
        <f t="shared" si="203"/>
        <v>0</v>
      </c>
      <c r="EL106" s="118">
        <f t="shared" si="204"/>
        <v>0</v>
      </c>
      <c r="EM106" s="118">
        <f t="shared" si="205"/>
        <v>0</v>
      </c>
      <c r="EN106" s="118">
        <f t="shared" si="206"/>
        <v>0</v>
      </c>
      <c r="EO106" s="118">
        <f t="shared" si="207"/>
        <v>0</v>
      </c>
      <c r="EP106" s="118">
        <f t="shared" si="208"/>
        <v>0</v>
      </c>
      <c r="EQ106" s="118">
        <f t="shared" si="209"/>
        <v>0</v>
      </c>
      <c r="ER106" s="118">
        <f t="shared" si="210"/>
        <v>0</v>
      </c>
      <c r="ES106" s="118">
        <f t="shared" si="211"/>
        <v>0</v>
      </c>
      <c r="ET106" s="177">
        <f t="shared" si="212"/>
        <v>0</v>
      </c>
      <c r="EU106" s="72"/>
      <c r="EV106" s="117">
        <f t="shared" si="213"/>
        <v>1963.4004210268401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4"/>
        <v>0</v>
      </c>
    </row>
    <row r="107" spans="109:193">
      <c r="DE107" s="117">
        <f t="shared" si="171"/>
        <v>2024.124145388495</v>
      </c>
      <c r="DF107" s="118">
        <f t="shared" si="172"/>
        <v>0</v>
      </c>
      <c r="DG107" s="118">
        <f t="shared" si="173"/>
        <v>0</v>
      </c>
      <c r="DH107" s="118">
        <f t="shared" si="174"/>
        <v>0</v>
      </c>
      <c r="DI107" s="118">
        <f t="shared" si="175"/>
        <v>0</v>
      </c>
      <c r="DJ107" s="118">
        <f t="shared" si="176"/>
        <v>0</v>
      </c>
      <c r="DK107" s="118">
        <f t="shared" si="177"/>
        <v>0</v>
      </c>
      <c r="DL107" s="118">
        <f t="shared" si="178"/>
        <v>0</v>
      </c>
      <c r="DM107" s="118">
        <f t="shared" si="179"/>
        <v>0</v>
      </c>
      <c r="DN107" s="118">
        <f t="shared" si="180"/>
        <v>0</v>
      </c>
      <c r="DO107" s="118">
        <f t="shared" si="181"/>
        <v>0</v>
      </c>
      <c r="DP107" s="118">
        <f t="shared" si="182"/>
        <v>0</v>
      </c>
      <c r="DQ107" s="118">
        <f t="shared" si="183"/>
        <v>0</v>
      </c>
      <c r="DR107" s="118">
        <f t="shared" si="184"/>
        <v>0</v>
      </c>
      <c r="DS107" s="118">
        <f t="shared" si="185"/>
        <v>0</v>
      </c>
      <c r="DT107" s="118">
        <f t="shared" si="186"/>
        <v>0</v>
      </c>
      <c r="DU107" s="118">
        <f t="shared" si="187"/>
        <v>0</v>
      </c>
      <c r="DV107" s="118">
        <f t="shared" si="188"/>
        <v>0</v>
      </c>
      <c r="DW107" s="118">
        <f t="shared" si="189"/>
        <v>0</v>
      </c>
      <c r="DX107" s="118">
        <f t="shared" si="190"/>
        <v>0</v>
      </c>
      <c r="DY107" s="118">
        <f t="shared" si="191"/>
        <v>0</v>
      </c>
      <c r="DZ107" s="118">
        <f t="shared" si="192"/>
        <v>0</v>
      </c>
      <c r="EA107" s="118">
        <f t="shared" si="193"/>
        <v>0</v>
      </c>
      <c r="EB107" s="118">
        <f t="shared" si="194"/>
        <v>0</v>
      </c>
      <c r="EC107" s="118">
        <f t="shared" si="195"/>
        <v>0</v>
      </c>
      <c r="ED107" s="118">
        <f t="shared" si="196"/>
        <v>0</v>
      </c>
      <c r="EE107" s="118">
        <f t="shared" si="197"/>
        <v>0</v>
      </c>
      <c r="EF107" s="118">
        <f t="shared" si="198"/>
        <v>0</v>
      </c>
      <c r="EG107" s="118">
        <f t="shared" si="199"/>
        <v>0</v>
      </c>
      <c r="EH107" s="118">
        <f t="shared" si="200"/>
        <v>0</v>
      </c>
      <c r="EI107" s="118">
        <f t="shared" si="201"/>
        <v>0</v>
      </c>
      <c r="EJ107" s="118">
        <f t="shared" si="202"/>
        <v>0</v>
      </c>
      <c r="EK107" s="118">
        <f t="shared" si="203"/>
        <v>0</v>
      </c>
      <c r="EL107" s="118">
        <f t="shared" si="204"/>
        <v>0</v>
      </c>
      <c r="EM107" s="118">
        <f t="shared" si="205"/>
        <v>0</v>
      </c>
      <c r="EN107" s="118">
        <f t="shared" si="206"/>
        <v>0</v>
      </c>
      <c r="EO107" s="118">
        <f t="shared" si="207"/>
        <v>0</v>
      </c>
      <c r="EP107" s="118">
        <f t="shared" si="208"/>
        <v>0</v>
      </c>
      <c r="EQ107" s="118">
        <f t="shared" si="209"/>
        <v>0</v>
      </c>
      <c r="ER107" s="118">
        <f t="shared" si="210"/>
        <v>0</v>
      </c>
      <c r="ES107" s="118">
        <f t="shared" si="211"/>
        <v>0</v>
      </c>
      <c r="ET107" s="177">
        <f t="shared" si="212"/>
        <v>0</v>
      </c>
      <c r="EU107" s="72"/>
      <c r="EV107" s="117">
        <f t="shared" si="213"/>
        <v>2024.124145388495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4"/>
        <v>0</v>
      </c>
    </row>
    <row r="108" spans="109:193">
      <c r="DE108" s="117">
        <f t="shared" si="171"/>
        <v>2086.7259230809227</v>
      </c>
      <c r="DF108" s="118">
        <f t="shared" si="172"/>
        <v>0</v>
      </c>
      <c r="DG108" s="118">
        <f t="shared" si="173"/>
        <v>0</v>
      </c>
      <c r="DH108" s="118">
        <f t="shared" si="174"/>
        <v>0</v>
      </c>
      <c r="DI108" s="118">
        <f t="shared" si="175"/>
        <v>0</v>
      </c>
      <c r="DJ108" s="118">
        <f t="shared" si="176"/>
        <v>0</v>
      </c>
      <c r="DK108" s="118">
        <f t="shared" si="177"/>
        <v>0</v>
      </c>
      <c r="DL108" s="118">
        <f t="shared" si="178"/>
        <v>0</v>
      </c>
      <c r="DM108" s="118">
        <f t="shared" si="179"/>
        <v>0</v>
      </c>
      <c r="DN108" s="118">
        <f t="shared" si="180"/>
        <v>0</v>
      </c>
      <c r="DO108" s="118">
        <f t="shared" si="181"/>
        <v>0</v>
      </c>
      <c r="DP108" s="118">
        <f t="shared" si="182"/>
        <v>0</v>
      </c>
      <c r="DQ108" s="118">
        <f t="shared" si="183"/>
        <v>0</v>
      </c>
      <c r="DR108" s="118">
        <f t="shared" si="184"/>
        <v>0</v>
      </c>
      <c r="DS108" s="118">
        <f t="shared" si="185"/>
        <v>0</v>
      </c>
      <c r="DT108" s="118">
        <f t="shared" si="186"/>
        <v>0</v>
      </c>
      <c r="DU108" s="118">
        <f t="shared" si="187"/>
        <v>0</v>
      </c>
      <c r="DV108" s="118">
        <f t="shared" si="188"/>
        <v>0</v>
      </c>
      <c r="DW108" s="118">
        <f t="shared" si="189"/>
        <v>0</v>
      </c>
      <c r="DX108" s="118">
        <f t="shared" si="190"/>
        <v>0</v>
      </c>
      <c r="DY108" s="118">
        <f t="shared" si="191"/>
        <v>0</v>
      </c>
      <c r="DZ108" s="118">
        <f t="shared" si="192"/>
        <v>0</v>
      </c>
      <c r="EA108" s="118">
        <f t="shared" si="193"/>
        <v>0</v>
      </c>
      <c r="EB108" s="118">
        <f t="shared" si="194"/>
        <v>0</v>
      </c>
      <c r="EC108" s="118">
        <f t="shared" si="195"/>
        <v>0</v>
      </c>
      <c r="ED108" s="118">
        <f t="shared" si="196"/>
        <v>0</v>
      </c>
      <c r="EE108" s="118">
        <f t="shared" si="197"/>
        <v>0</v>
      </c>
      <c r="EF108" s="118">
        <f t="shared" si="198"/>
        <v>0</v>
      </c>
      <c r="EG108" s="118">
        <f t="shared" si="199"/>
        <v>0</v>
      </c>
      <c r="EH108" s="118">
        <f t="shared" si="200"/>
        <v>0</v>
      </c>
      <c r="EI108" s="118">
        <f t="shared" si="201"/>
        <v>0</v>
      </c>
      <c r="EJ108" s="118">
        <f t="shared" si="202"/>
        <v>0</v>
      </c>
      <c r="EK108" s="118">
        <f t="shared" si="203"/>
        <v>0</v>
      </c>
      <c r="EL108" s="118">
        <f t="shared" si="204"/>
        <v>0</v>
      </c>
      <c r="EM108" s="118">
        <f t="shared" si="205"/>
        <v>0</v>
      </c>
      <c r="EN108" s="118">
        <f t="shared" si="206"/>
        <v>0</v>
      </c>
      <c r="EO108" s="118">
        <f t="shared" si="207"/>
        <v>0</v>
      </c>
      <c r="EP108" s="118">
        <f t="shared" si="208"/>
        <v>0</v>
      </c>
      <c r="EQ108" s="118">
        <f t="shared" si="209"/>
        <v>0</v>
      </c>
      <c r="ER108" s="118">
        <f t="shared" si="210"/>
        <v>0</v>
      </c>
      <c r="ES108" s="118">
        <f t="shared" si="211"/>
        <v>0</v>
      </c>
      <c r="ET108" s="177">
        <f t="shared" si="212"/>
        <v>0</v>
      </c>
      <c r="EU108" s="72"/>
      <c r="EV108" s="117">
        <f t="shared" si="213"/>
        <v>2086.7259230809227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4"/>
        <v>0</v>
      </c>
    </row>
    <row r="109" spans="109:193">
      <c r="DE109" s="117">
        <f t="shared" si="171"/>
        <v>2151.2638382277555</v>
      </c>
      <c r="DF109" s="118">
        <f t="shared" si="172"/>
        <v>0</v>
      </c>
      <c r="DG109" s="118">
        <f t="shared" si="173"/>
        <v>0</v>
      </c>
      <c r="DH109" s="118">
        <f t="shared" si="174"/>
        <v>0</v>
      </c>
      <c r="DI109" s="118">
        <f t="shared" si="175"/>
        <v>0</v>
      </c>
      <c r="DJ109" s="118">
        <f t="shared" si="176"/>
        <v>0</v>
      </c>
      <c r="DK109" s="118">
        <f t="shared" si="177"/>
        <v>0</v>
      </c>
      <c r="DL109" s="118">
        <f t="shared" si="178"/>
        <v>0</v>
      </c>
      <c r="DM109" s="118">
        <f t="shared" si="179"/>
        <v>0</v>
      </c>
      <c r="DN109" s="118">
        <f t="shared" si="180"/>
        <v>0</v>
      </c>
      <c r="DO109" s="118">
        <f t="shared" si="181"/>
        <v>0</v>
      </c>
      <c r="DP109" s="118">
        <f t="shared" si="182"/>
        <v>0</v>
      </c>
      <c r="DQ109" s="118">
        <f t="shared" si="183"/>
        <v>0</v>
      </c>
      <c r="DR109" s="118">
        <f t="shared" si="184"/>
        <v>0</v>
      </c>
      <c r="DS109" s="118">
        <f t="shared" si="185"/>
        <v>0</v>
      </c>
      <c r="DT109" s="118">
        <f t="shared" si="186"/>
        <v>0</v>
      </c>
      <c r="DU109" s="118">
        <f t="shared" si="187"/>
        <v>0</v>
      </c>
      <c r="DV109" s="118">
        <f t="shared" si="188"/>
        <v>0</v>
      </c>
      <c r="DW109" s="118">
        <f t="shared" si="189"/>
        <v>0</v>
      </c>
      <c r="DX109" s="118">
        <f t="shared" si="190"/>
        <v>0</v>
      </c>
      <c r="DY109" s="118">
        <f t="shared" si="191"/>
        <v>0</v>
      </c>
      <c r="DZ109" s="118">
        <f t="shared" si="192"/>
        <v>0</v>
      </c>
      <c r="EA109" s="118">
        <f t="shared" si="193"/>
        <v>0</v>
      </c>
      <c r="EB109" s="118">
        <f t="shared" si="194"/>
        <v>0</v>
      </c>
      <c r="EC109" s="118">
        <f t="shared" si="195"/>
        <v>0</v>
      </c>
      <c r="ED109" s="118">
        <f t="shared" si="196"/>
        <v>0</v>
      </c>
      <c r="EE109" s="118">
        <f t="shared" si="197"/>
        <v>0</v>
      </c>
      <c r="EF109" s="118">
        <f t="shared" si="198"/>
        <v>0</v>
      </c>
      <c r="EG109" s="118">
        <f t="shared" si="199"/>
        <v>0</v>
      </c>
      <c r="EH109" s="118">
        <f t="shared" si="200"/>
        <v>0</v>
      </c>
      <c r="EI109" s="118">
        <f t="shared" si="201"/>
        <v>0</v>
      </c>
      <c r="EJ109" s="118">
        <f t="shared" si="202"/>
        <v>0</v>
      </c>
      <c r="EK109" s="118">
        <f t="shared" si="203"/>
        <v>0</v>
      </c>
      <c r="EL109" s="118">
        <f t="shared" si="204"/>
        <v>0</v>
      </c>
      <c r="EM109" s="118">
        <f t="shared" si="205"/>
        <v>0</v>
      </c>
      <c r="EN109" s="118">
        <f t="shared" si="206"/>
        <v>0</v>
      </c>
      <c r="EO109" s="118">
        <f t="shared" si="207"/>
        <v>0</v>
      </c>
      <c r="EP109" s="118">
        <f t="shared" si="208"/>
        <v>0</v>
      </c>
      <c r="EQ109" s="118">
        <f t="shared" si="209"/>
        <v>0</v>
      </c>
      <c r="ER109" s="118">
        <f t="shared" si="210"/>
        <v>0</v>
      </c>
      <c r="ES109" s="118">
        <f t="shared" si="211"/>
        <v>0</v>
      </c>
      <c r="ET109" s="177">
        <f t="shared" si="212"/>
        <v>0</v>
      </c>
      <c r="EU109" s="72"/>
      <c r="EV109" s="117">
        <f t="shared" si="213"/>
        <v>2151.2638382277555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4"/>
        <v>0</v>
      </c>
    </row>
    <row r="110" spans="109:193">
      <c r="DE110" s="117">
        <f t="shared" si="171"/>
        <v>2217.7977713688201</v>
      </c>
      <c r="DF110" s="118">
        <f t="shared" si="172"/>
        <v>0</v>
      </c>
      <c r="DG110" s="118">
        <f t="shared" si="173"/>
        <v>0</v>
      </c>
      <c r="DH110" s="118">
        <f t="shared" si="174"/>
        <v>0</v>
      </c>
      <c r="DI110" s="118">
        <f t="shared" si="175"/>
        <v>0</v>
      </c>
      <c r="DJ110" s="118">
        <f t="shared" si="176"/>
        <v>0</v>
      </c>
      <c r="DK110" s="118">
        <f t="shared" si="177"/>
        <v>0</v>
      </c>
      <c r="DL110" s="118">
        <f t="shared" si="178"/>
        <v>0</v>
      </c>
      <c r="DM110" s="118">
        <f t="shared" si="179"/>
        <v>0</v>
      </c>
      <c r="DN110" s="118">
        <f t="shared" si="180"/>
        <v>0</v>
      </c>
      <c r="DO110" s="118">
        <f t="shared" si="181"/>
        <v>0</v>
      </c>
      <c r="DP110" s="118">
        <f t="shared" si="182"/>
        <v>0</v>
      </c>
      <c r="DQ110" s="118">
        <f t="shared" si="183"/>
        <v>0</v>
      </c>
      <c r="DR110" s="118">
        <f t="shared" si="184"/>
        <v>0</v>
      </c>
      <c r="DS110" s="118">
        <f t="shared" si="185"/>
        <v>0</v>
      </c>
      <c r="DT110" s="118">
        <f t="shared" si="186"/>
        <v>0</v>
      </c>
      <c r="DU110" s="118">
        <f t="shared" si="187"/>
        <v>0</v>
      </c>
      <c r="DV110" s="118">
        <f t="shared" si="188"/>
        <v>0</v>
      </c>
      <c r="DW110" s="118">
        <f t="shared" si="189"/>
        <v>0</v>
      </c>
      <c r="DX110" s="118">
        <f t="shared" si="190"/>
        <v>0</v>
      </c>
      <c r="DY110" s="118">
        <f t="shared" si="191"/>
        <v>0</v>
      </c>
      <c r="DZ110" s="118">
        <f t="shared" si="192"/>
        <v>0</v>
      </c>
      <c r="EA110" s="118">
        <f t="shared" si="193"/>
        <v>0</v>
      </c>
      <c r="EB110" s="118">
        <f t="shared" si="194"/>
        <v>0</v>
      </c>
      <c r="EC110" s="118">
        <f t="shared" si="195"/>
        <v>0</v>
      </c>
      <c r="ED110" s="118">
        <f t="shared" si="196"/>
        <v>0</v>
      </c>
      <c r="EE110" s="118">
        <f t="shared" si="197"/>
        <v>0</v>
      </c>
      <c r="EF110" s="118">
        <f t="shared" si="198"/>
        <v>0</v>
      </c>
      <c r="EG110" s="118">
        <f t="shared" si="199"/>
        <v>0</v>
      </c>
      <c r="EH110" s="118">
        <f t="shared" si="200"/>
        <v>0</v>
      </c>
      <c r="EI110" s="118">
        <f t="shared" si="201"/>
        <v>0</v>
      </c>
      <c r="EJ110" s="118">
        <f t="shared" si="202"/>
        <v>0</v>
      </c>
      <c r="EK110" s="118">
        <f t="shared" si="203"/>
        <v>0</v>
      </c>
      <c r="EL110" s="118">
        <f t="shared" si="204"/>
        <v>0</v>
      </c>
      <c r="EM110" s="118">
        <f t="shared" si="205"/>
        <v>0</v>
      </c>
      <c r="EN110" s="118">
        <f t="shared" si="206"/>
        <v>0</v>
      </c>
      <c r="EO110" s="118">
        <f t="shared" si="207"/>
        <v>0</v>
      </c>
      <c r="EP110" s="118">
        <f t="shared" si="208"/>
        <v>0</v>
      </c>
      <c r="EQ110" s="118">
        <f t="shared" si="209"/>
        <v>0</v>
      </c>
      <c r="ER110" s="118">
        <f t="shared" si="210"/>
        <v>0</v>
      </c>
      <c r="ES110" s="118">
        <f t="shared" si="211"/>
        <v>0</v>
      </c>
      <c r="ET110" s="177">
        <f t="shared" si="212"/>
        <v>0</v>
      </c>
      <c r="EU110" s="72"/>
      <c r="EV110" s="117">
        <f t="shared" si="213"/>
        <v>2217.7977713688201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4"/>
        <v>0</v>
      </c>
    </row>
    <row r="111" spans="109:193">
      <c r="DE111" s="117">
        <f t="shared" si="171"/>
        <v>2286.3894550194022</v>
      </c>
      <c r="DF111" s="118">
        <f t="shared" si="172"/>
        <v>0</v>
      </c>
      <c r="DG111" s="118">
        <f t="shared" si="173"/>
        <v>0</v>
      </c>
      <c r="DH111" s="118">
        <f t="shared" si="174"/>
        <v>0</v>
      </c>
      <c r="DI111" s="118">
        <f t="shared" si="175"/>
        <v>0</v>
      </c>
      <c r="DJ111" s="118">
        <f t="shared" si="176"/>
        <v>0</v>
      </c>
      <c r="DK111" s="118">
        <f t="shared" si="177"/>
        <v>0</v>
      </c>
      <c r="DL111" s="118">
        <f t="shared" si="178"/>
        <v>0</v>
      </c>
      <c r="DM111" s="118">
        <f t="shared" si="179"/>
        <v>0</v>
      </c>
      <c r="DN111" s="118">
        <f t="shared" si="180"/>
        <v>0</v>
      </c>
      <c r="DO111" s="118">
        <f t="shared" si="181"/>
        <v>0</v>
      </c>
      <c r="DP111" s="118">
        <f t="shared" si="182"/>
        <v>0</v>
      </c>
      <c r="DQ111" s="118">
        <f t="shared" si="183"/>
        <v>0</v>
      </c>
      <c r="DR111" s="118">
        <f t="shared" si="184"/>
        <v>0</v>
      </c>
      <c r="DS111" s="118">
        <f t="shared" si="185"/>
        <v>0</v>
      </c>
      <c r="DT111" s="118">
        <f t="shared" si="186"/>
        <v>0</v>
      </c>
      <c r="DU111" s="118">
        <f t="shared" si="187"/>
        <v>0</v>
      </c>
      <c r="DV111" s="118">
        <f t="shared" si="188"/>
        <v>0</v>
      </c>
      <c r="DW111" s="118">
        <f t="shared" si="189"/>
        <v>0</v>
      </c>
      <c r="DX111" s="118">
        <f t="shared" si="190"/>
        <v>0</v>
      </c>
      <c r="DY111" s="118">
        <f t="shared" si="191"/>
        <v>0</v>
      </c>
      <c r="DZ111" s="118">
        <f t="shared" si="192"/>
        <v>0</v>
      </c>
      <c r="EA111" s="118">
        <f t="shared" si="193"/>
        <v>0</v>
      </c>
      <c r="EB111" s="118">
        <f t="shared" si="194"/>
        <v>0</v>
      </c>
      <c r="EC111" s="118">
        <f t="shared" si="195"/>
        <v>0</v>
      </c>
      <c r="ED111" s="118">
        <f t="shared" si="196"/>
        <v>0</v>
      </c>
      <c r="EE111" s="118">
        <f t="shared" si="197"/>
        <v>0</v>
      </c>
      <c r="EF111" s="118">
        <f t="shared" si="198"/>
        <v>0</v>
      </c>
      <c r="EG111" s="118">
        <f t="shared" si="199"/>
        <v>0</v>
      </c>
      <c r="EH111" s="118">
        <f t="shared" si="200"/>
        <v>0</v>
      </c>
      <c r="EI111" s="118">
        <f t="shared" si="201"/>
        <v>0</v>
      </c>
      <c r="EJ111" s="118">
        <f t="shared" si="202"/>
        <v>0</v>
      </c>
      <c r="EK111" s="118">
        <f t="shared" si="203"/>
        <v>0</v>
      </c>
      <c r="EL111" s="118">
        <f t="shared" si="204"/>
        <v>0</v>
      </c>
      <c r="EM111" s="118">
        <f t="shared" si="205"/>
        <v>0</v>
      </c>
      <c r="EN111" s="118">
        <f t="shared" si="206"/>
        <v>0</v>
      </c>
      <c r="EO111" s="118">
        <f t="shared" si="207"/>
        <v>0</v>
      </c>
      <c r="EP111" s="118">
        <f t="shared" si="208"/>
        <v>0</v>
      </c>
      <c r="EQ111" s="118">
        <f t="shared" si="209"/>
        <v>0</v>
      </c>
      <c r="ER111" s="118">
        <f t="shared" si="210"/>
        <v>0</v>
      </c>
      <c r="ES111" s="118">
        <f t="shared" si="211"/>
        <v>0</v>
      </c>
      <c r="ET111" s="177">
        <f t="shared" si="212"/>
        <v>0</v>
      </c>
      <c r="EU111" s="72"/>
      <c r="EV111" s="117">
        <f t="shared" si="213"/>
        <v>2286.3894550194022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4"/>
        <v>0</v>
      </c>
    </row>
    <row r="112" spans="109:193">
      <c r="DE112" s="117">
        <f t="shared" si="171"/>
        <v>2357.1025309478373</v>
      </c>
      <c r="DF112" s="118">
        <f t="shared" si="172"/>
        <v>0</v>
      </c>
      <c r="DG112" s="118">
        <f t="shared" si="173"/>
        <v>0</v>
      </c>
      <c r="DH112" s="118">
        <f t="shared" si="174"/>
        <v>0</v>
      </c>
      <c r="DI112" s="118">
        <f t="shared" si="175"/>
        <v>0</v>
      </c>
      <c r="DJ112" s="118">
        <f t="shared" si="176"/>
        <v>0</v>
      </c>
      <c r="DK112" s="118">
        <f t="shared" si="177"/>
        <v>0</v>
      </c>
      <c r="DL112" s="118">
        <f t="shared" si="178"/>
        <v>0</v>
      </c>
      <c r="DM112" s="118">
        <f t="shared" si="179"/>
        <v>0</v>
      </c>
      <c r="DN112" s="118">
        <f t="shared" si="180"/>
        <v>0</v>
      </c>
      <c r="DO112" s="118">
        <f t="shared" si="181"/>
        <v>0</v>
      </c>
      <c r="DP112" s="118">
        <f t="shared" si="182"/>
        <v>0</v>
      </c>
      <c r="DQ112" s="118">
        <f t="shared" si="183"/>
        <v>0</v>
      </c>
      <c r="DR112" s="118">
        <f t="shared" si="184"/>
        <v>0</v>
      </c>
      <c r="DS112" s="118">
        <f t="shared" si="185"/>
        <v>0</v>
      </c>
      <c r="DT112" s="118">
        <f t="shared" si="186"/>
        <v>0</v>
      </c>
      <c r="DU112" s="118">
        <f t="shared" si="187"/>
        <v>0</v>
      </c>
      <c r="DV112" s="118">
        <f t="shared" si="188"/>
        <v>0</v>
      </c>
      <c r="DW112" s="118">
        <f t="shared" si="189"/>
        <v>0</v>
      </c>
      <c r="DX112" s="118">
        <f t="shared" si="190"/>
        <v>0</v>
      </c>
      <c r="DY112" s="118">
        <f t="shared" si="191"/>
        <v>0</v>
      </c>
      <c r="DZ112" s="118">
        <f t="shared" si="192"/>
        <v>0</v>
      </c>
      <c r="EA112" s="118">
        <f t="shared" si="193"/>
        <v>0</v>
      </c>
      <c r="EB112" s="118">
        <f t="shared" si="194"/>
        <v>0</v>
      </c>
      <c r="EC112" s="118">
        <f t="shared" si="195"/>
        <v>0</v>
      </c>
      <c r="ED112" s="118">
        <f t="shared" si="196"/>
        <v>0</v>
      </c>
      <c r="EE112" s="118">
        <f t="shared" si="197"/>
        <v>0</v>
      </c>
      <c r="EF112" s="118">
        <f t="shared" si="198"/>
        <v>0</v>
      </c>
      <c r="EG112" s="118">
        <f t="shared" si="199"/>
        <v>0</v>
      </c>
      <c r="EH112" s="118">
        <f t="shared" si="200"/>
        <v>0</v>
      </c>
      <c r="EI112" s="118">
        <f t="shared" si="201"/>
        <v>0</v>
      </c>
      <c r="EJ112" s="118">
        <f t="shared" si="202"/>
        <v>0</v>
      </c>
      <c r="EK112" s="118">
        <f t="shared" si="203"/>
        <v>0</v>
      </c>
      <c r="EL112" s="118">
        <f t="shared" si="204"/>
        <v>0</v>
      </c>
      <c r="EM112" s="118">
        <f t="shared" si="205"/>
        <v>0</v>
      </c>
      <c r="EN112" s="118">
        <f t="shared" si="206"/>
        <v>0</v>
      </c>
      <c r="EO112" s="118">
        <f t="shared" si="207"/>
        <v>0</v>
      </c>
      <c r="EP112" s="118">
        <f t="shared" si="208"/>
        <v>0</v>
      </c>
      <c r="EQ112" s="118">
        <f t="shared" si="209"/>
        <v>0</v>
      </c>
      <c r="ER112" s="118">
        <f t="shared" si="210"/>
        <v>0</v>
      </c>
      <c r="ES112" s="118">
        <f t="shared" si="211"/>
        <v>0</v>
      </c>
      <c r="ET112" s="177">
        <f t="shared" si="212"/>
        <v>0</v>
      </c>
      <c r="EU112" s="72"/>
      <c r="EV112" s="117">
        <f t="shared" si="213"/>
        <v>2357.1025309478373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4"/>
        <v>0</v>
      </c>
    </row>
    <row r="113" spans="109:193">
      <c r="DE113" s="117">
        <f t="shared" si="171"/>
        <v>2430.0026092245748</v>
      </c>
      <c r="DF113" s="118">
        <f t="shared" si="172"/>
        <v>0</v>
      </c>
      <c r="DG113" s="118">
        <f t="shared" si="173"/>
        <v>0</v>
      </c>
      <c r="DH113" s="118">
        <f t="shared" si="174"/>
        <v>0</v>
      </c>
      <c r="DI113" s="118">
        <f t="shared" si="175"/>
        <v>0</v>
      </c>
      <c r="DJ113" s="118">
        <f t="shared" si="176"/>
        <v>0</v>
      </c>
      <c r="DK113" s="118">
        <f t="shared" si="177"/>
        <v>0</v>
      </c>
      <c r="DL113" s="118">
        <f t="shared" si="178"/>
        <v>0</v>
      </c>
      <c r="DM113" s="118">
        <f t="shared" si="179"/>
        <v>0</v>
      </c>
      <c r="DN113" s="118">
        <f t="shared" si="180"/>
        <v>0</v>
      </c>
      <c r="DO113" s="118">
        <f t="shared" si="181"/>
        <v>0</v>
      </c>
      <c r="DP113" s="118">
        <f t="shared" si="182"/>
        <v>0</v>
      </c>
      <c r="DQ113" s="118">
        <f t="shared" si="183"/>
        <v>0</v>
      </c>
      <c r="DR113" s="118">
        <f t="shared" si="184"/>
        <v>0</v>
      </c>
      <c r="DS113" s="118">
        <f t="shared" si="185"/>
        <v>0</v>
      </c>
      <c r="DT113" s="118">
        <f t="shared" si="186"/>
        <v>0</v>
      </c>
      <c r="DU113" s="118">
        <f t="shared" si="187"/>
        <v>0</v>
      </c>
      <c r="DV113" s="118">
        <f t="shared" si="188"/>
        <v>0</v>
      </c>
      <c r="DW113" s="118">
        <f t="shared" si="189"/>
        <v>0</v>
      </c>
      <c r="DX113" s="118">
        <f t="shared" si="190"/>
        <v>0</v>
      </c>
      <c r="DY113" s="118">
        <f t="shared" si="191"/>
        <v>0</v>
      </c>
      <c r="DZ113" s="118">
        <f t="shared" si="192"/>
        <v>0</v>
      </c>
      <c r="EA113" s="118">
        <f t="shared" si="193"/>
        <v>0</v>
      </c>
      <c r="EB113" s="118">
        <f t="shared" si="194"/>
        <v>0</v>
      </c>
      <c r="EC113" s="118">
        <f t="shared" si="195"/>
        <v>0</v>
      </c>
      <c r="ED113" s="118">
        <f t="shared" si="196"/>
        <v>0</v>
      </c>
      <c r="EE113" s="118">
        <f t="shared" si="197"/>
        <v>0</v>
      </c>
      <c r="EF113" s="118">
        <f t="shared" si="198"/>
        <v>0</v>
      </c>
      <c r="EG113" s="118">
        <f t="shared" si="199"/>
        <v>0</v>
      </c>
      <c r="EH113" s="118">
        <f t="shared" si="200"/>
        <v>0</v>
      </c>
      <c r="EI113" s="118">
        <f t="shared" si="201"/>
        <v>0</v>
      </c>
      <c r="EJ113" s="118">
        <f t="shared" si="202"/>
        <v>0</v>
      </c>
      <c r="EK113" s="118">
        <f t="shared" si="203"/>
        <v>0</v>
      </c>
      <c r="EL113" s="118">
        <f t="shared" si="204"/>
        <v>0</v>
      </c>
      <c r="EM113" s="118">
        <f t="shared" si="205"/>
        <v>0</v>
      </c>
      <c r="EN113" s="118">
        <f t="shared" si="206"/>
        <v>0</v>
      </c>
      <c r="EO113" s="118">
        <f t="shared" si="207"/>
        <v>0</v>
      </c>
      <c r="EP113" s="118">
        <f t="shared" si="208"/>
        <v>0</v>
      </c>
      <c r="EQ113" s="118">
        <f t="shared" si="209"/>
        <v>0</v>
      </c>
      <c r="ER113" s="118">
        <f t="shared" si="210"/>
        <v>0</v>
      </c>
      <c r="ES113" s="118">
        <f t="shared" si="211"/>
        <v>0</v>
      </c>
      <c r="ET113" s="177">
        <f t="shared" si="212"/>
        <v>0</v>
      </c>
      <c r="EU113" s="72"/>
      <c r="EV113" s="117">
        <f t="shared" si="213"/>
        <v>2430.0026092245748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4"/>
        <v>0</v>
      </c>
    </row>
    <row r="114" spans="109:193">
      <c r="DE114" s="117">
        <f t="shared" si="171"/>
        <v>2505.1573290974998</v>
      </c>
      <c r="DF114" s="118">
        <f t="shared" si="172"/>
        <v>0</v>
      </c>
      <c r="DG114" s="118">
        <f t="shared" si="173"/>
        <v>0</v>
      </c>
      <c r="DH114" s="118">
        <f t="shared" si="174"/>
        <v>0</v>
      </c>
      <c r="DI114" s="118">
        <f t="shared" si="175"/>
        <v>0</v>
      </c>
      <c r="DJ114" s="118">
        <f t="shared" si="176"/>
        <v>0</v>
      </c>
      <c r="DK114" s="118">
        <f t="shared" si="177"/>
        <v>0</v>
      </c>
      <c r="DL114" s="118">
        <f t="shared" si="178"/>
        <v>0</v>
      </c>
      <c r="DM114" s="118">
        <f t="shared" si="179"/>
        <v>0</v>
      </c>
      <c r="DN114" s="118">
        <f t="shared" si="180"/>
        <v>0</v>
      </c>
      <c r="DO114" s="118">
        <f t="shared" si="181"/>
        <v>0</v>
      </c>
      <c r="DP114" s="118">
        <f t="shared" si="182"/>
        <v>0</v>
      </c>
      <c r="DQ114" s="118">
        <f t="shared" si="183"/>
        <v>0</v>
      </c>
      <c r="DR114" s="118">
        <f t="shared" si="184"/>
        <v>0</v>
      </c>
      <c r="DS114" s="118">
        <f t="shared" si="185"/>
        <v>0</v>
      </c>
      <c r="DT114" s="118">
        <f t="shared" si="186"/>
        <v>0</v>
      </c>
      <c r="DU114" s="118">
        <f t="shared" si="187"/>
        <v>0</v>
      </c>
      <c r="DV114" s="118">
        <f t="shared" si="188"/>
        <v>0</v>
      </c>
      <c r="DW114" s="118">
        <f t="shared" si="189"/>
        <v>0</v>
      </c>
      <c r="DX114" s="118">
        <f t="shared" si="190"/>
        <v>0</v>
      </c>
      <c r="DY114" s="118">
        <f t="shared" si="191"/>
        <v>0</v>
      </c>
      <c r="DZ114" s="118">
        <f t="shared" si="192"/>
        <v>0</v>
      </c>
      <c r="EA114" s="118">
        <f t="shared" si="193"/>
        <v>0</v>
      </c>
      <c r="EB114" s="118">
        <f t="shared" si="194"/>
        <v>0</v>
      </c>
      <c r="EC114" s="118">
        <f t="shared" si="195"/>
        <v>0</v>
      </c>
      <c r="ED114" s="118">
        <f t="shared" si="196"/>
        <v>0</v>
      </c>
      <c r="EE114" s="118">
        <f t="shared" si="197"/>
        <v>0</v>
      </c>
      <c r="EF114" s="118">
        <f t="shared" si="198"/>
        <v>0</v>
      </c>
      <c r="EG114" s="118">
        <f t="shared" si="199"/>
        <v>0</v>
      </c>
      <c r="EH114" s="118">
        <f t="shared" si="200"/>
        <v>0</v>
      </c>
      <c r="EI114" s="118">
        <f t="shared" si="201"/>
        <v>0</v>
      </c>
      <c r="EJ114" s="118">
        <f t="shared" si="202"/>
        <v>0</v>
      </c>
      <c r="EK114" s="118">
        <f t="shared" si="203"/>
        <v>0</v>
      </c>
      <c r="EL114" s="118">
        <f t="shared" si="204"/>
        <v>0</v>
      </c>
      <c r="EM114" s="118">
        <f t="shared" si="205"/>
        <v>0</v>
      </c>
      <c r="EN114" s="118">
        <f t="shared" si="206"/>
        <v>0</v>
      </c>
      <c r="EO114" s="118">
        <f t="shared" si="207"/>
        <v>0</v>
      </c>
      <c r="EP114" s="118">
        <f t="shared" si="208"/>
        <v>0</v>
      </c>
      <c r="EQ114" s="118">
        <f t="shared" si="209"/>
        <v>0</v>
      </c>
      <c r="ER114" s="118">
        <f t="shared" si="210"/>
        <v>0</v>
      </c>
      <c r="ES114" s="118">
        <f t="shared" si="211"/>
        <v>0</v>
      </c>
      <c r="ET114" s="177">
        <f t="shared" si="212"/>
        <v>0</v>
      </c>
      <c r="EU114" s="72"/>
      <c r="EV114" s="117">
        <f t="shared" si="213"/>
        <v>2505.1573290974998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4"/>
        <v>0</v>
      </c>
    </row>
    <row r="115" spans="109:193">
      <c r="DE115" s="117">
        <f t="shared" si="171"/>
        <v>2582.63642175</v>
      </c>
      <c r="DF115" s="118">
        <f t="shared" si="172"/>
        <v>0</v>
      </c>
      <c r="DG115" s="118">
        <f t="shared" si="173"/>
        <v>0</v>
      </c>
      <c r="DH115" s="118">
        <f t="shared" si="174"/>
        <v>0</v>
      </c>
      <c r="DI115" s="118">
        <f t="shared" si="175"/>
        <v>0</v>
      </c>
      <c r="DJ115" s="118">
        <f t="shared" si="176"/>
        <v>0</v>
      </c>
      <c r="DK115" s="118">
        <f t="shared" si="177"/>
        <v>0</v>
      </c>
      <c r="DL115" s="118">
        <f t="shared" si="178"/>
        <v>0</v>
      </c>
      <c r="DM115" s="118">
        <f t="shared" si="179"/>
        <v>0</v>
      </c>
      <c r="DN115" s="118">
        <f t="shared" si="180"/>
        <v>0</v>
      </c>
      <c r="DO115" s="118">
        <f t="shared" si="181"/>
        <v>0</v>
      </c>
      <c r="DP115" s="118">
        <f t="shared" si="182"/>
        <v>0</v>
      </c>
      <c r="DQ115" s="118">
        <f t="shared" si="183"/>
        <v>0</v>
      </c>
      <c r="DR115" s="118">
        <f t="shared" si="184"/>
        <v>0</v>
      </c>
      <c r="DS115" s="118">
        <f t="shared" si="185"/>
        <v>0</v>
      </c>
      <c r="DT115" s="118">
        <f t="shared" si="186"/>
        <v>0</v>
      </c>
      <c r="DU115" s="118">
        <f t="shared" si="187"/>
        <v>0</v>
      </c>
      <c r="DV115" s="118">
        <f t="shared" si="188"/>
        <v>0</v>
      </c>
      <c r="DW115" s="118">
        <f t="shared" si="189"/>
        <v>0</v>
      </c>
      <c r="DX115" s="118">
        <f t="shared" si="190"/>
        <v>0</v>
      </c>
      <c r="DY115" s="118">
        <f t="shared" si="191"/>
        <v>0</v>
      </c>
      <c r="DZ115" s="118">
        <f t="shared" si="192"/>
        <v>0</v>
      </c>
      <c r="EA115" s="118">
        <f t="shared" si="193"/>
        <v>0</v>
      </c>
      <c r="EB115" s="118">
        <f t="shared" si="194"/>
        <v>0</v>
      </c>
      <c r="EC115" s="118">
        <f t="shared" si="195"/>
        <v>0</v>
      </c>
      <c r="ED115" s="118">
        <f t="shared" si="196"/>
        <v>0</v>
      </c>
      <c r="EE115" s="118">
        <f t="shared" si="197"/>
        <v>0</v>
      </c>
      <c r="EF115" s="118">
        <f t="shared" si="198"/>
        <v>0</v>
      </c>
      <c r="EG115" s="118">
        <f t="shared" si="199"/>
        <v>0</v>
      </c>
      <c r="EH115" s="118">
        <f t="shared" si="200"/>
        <v>0</v>
      </c>
      <c r="EI115" s="118">
        <f t="shared" si="201"/>
        <v>0</v>
      </c>
      <c r="EJ115" s="118">
        <f t="shared" si="202"/>
        <v>0</v>
      </c>
      <c r="EK115" s="118">
        <f t="shared" si="203"/>
        <v>0</v>
      </c>
      <c r="EL115" s="118">
        <f t="shared" si="204"/>
        <v>0</v>
      </c>
      <c r="EM115" s="118">
        <f t="shared" si="205"/>
        <v>0</v>
      </c>
      <c r="EN115" s="118">
        <f t="shared" si="206"/>
        <v>0</v>
      </c>
      <c r="EO115" s="118">
        <f t="shared" si="207"/>
        <v>0</v>
      </c>
      <c r="EP115" s="118">
        <f t="shared" si="208"/>
        <v>0</v>
      </c>
      <c r="EQ115" s="118">
        <f t="shared" si="209"/>
        <v>0</v>
      </c>
      <c r="ER115" s="118">
        <f t="shared" si="210"/>
        <v>0</v>
      </c>
      <c r="ES115" s="118">
        <f t="shared" si="211"/>
        <v>0</v>
      </c>
      <c r="ET115" s="177">
        <f t="shared" si="212"/>
        <v>0</v>
      </c>
      <c r="EU115" s="72"/>
      <c r="EV115" s="117">
        <f t="shared" si="213"/>
        <v>2582.63642175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4"/>
        <v>0</v>
      </c>
    </row>
    <row r="116" spans="109:193">
      <c r="DE116" s="117">
        <f t="shared" si="171"/>
        <v>2662.5117749999999</v>
      </c>
      <c r="DF116" s="118">
        <f t="shared" si="172"/>
        <v>0</v>
      </c>
      <c r="DG116" s="118">
        <f t="shared" si="173"/>
        <v>0</v>
      </c>
      <c r="DH116" s="118">
        <f t="shared" si="174"/>
        <v>0</v>
      </c>
      <c r="DI116" s="118">
        <f t="shared" si="175"/>
        <v>0</v>
      </c>
      <c r="DJ116" s="118">
        <f t="shared" si="176"/>
        <v>0</v>
      </c>
      <c r="DK116" s="118">
        <f t="shared" si="177"/>
        <v>0</v>
      </c>
      <c r="DL116" s="118">
        <f t="shared" si="178"/>
        <v>0</v>
      </c>
      <c r="DM116" s="118">
        <f t="shared" si="179"/>
        <v>0</v>
      </c>
      <c r="DN116" s="118">
        <f t="shared" si="180"/>
        <v>0</v>
      </c>
      <c r="DO116" s="118">
        <f t="shared" si="181"/>
        <v>0</v>
      </c>
      <c r="DP116" s="118">
        <f t="shared" si="182"/>
        <v>0</v>
      </c>
      <c r="DQ116" s="118">
        <f t="shared" si="183"/>
        <v>0</v>
      </c>
      <c r="DR116" s="118">
        <f t="shared" si="184"/>
        <v>0</v>
      </c>
      <c r="DS116" s="118">
        <f t="shared" si="185"/>
        <v>0</v>
      </c>
      <c r="DT116" s="118">
        <f t="shared" si="186"/>
        <v>0</v>
      </c>
      <c r="DU116" s="118">
        <f t="shared" si="187"/>
        <v>0</v>
      </c>
      <c r="DV116" s="118">
        <f t="shared" si="188"/>
        <v>0</v>
      </c>
      <c r="DW116" s="118">
        <f t="shared" si="189"/>
        <v>0</v>
      </c>
      <c r="DX116" s="118">
        <f t="shared" si="190"/>
        <v>0</v>
      </c>
      <c r="DY116" s="118">
        <f t="shared" si="191"/>
        <v>0</v>
      </c>
      <c r="DZ116" s="118">
        <f t="shared" si="192"/>
        <v>0</v>
      </c>
      <c r="EA116" s="118">
        <f t="shared" si="193"/>
        <v>0</v>
      </c>
      <c r="EB116" s="118">
        <f t="shared" si="194"/>
        <v>0</v>
      </c>
      <c r="EC116" s="118">
        <f t="shared" si="195"/>
        <v>0</v>
      </c>
      <c r="ED116" s="118">
        <f t="shared" si="196"/>
        <v>0</v>
      </c>
      <c r="EE116" s="118">
        <f t="shared" si="197"/>
        <v>0</v>
      </c>
      <c r="EF116" s="118">
        <f t="shared" si="198"/>
        <v>0</v>
      </c>
      <c r="EG116" s="118">
        <f t="shared" si="199"/>
        <v>0</v>
      </c>
      <c r="EH116" s="118">
        <f t="shared" si="200"/>
        <v>0</v>
      </c>
      <c r="EI116" s="118">
        <f t="shared" si="201"/>
        <v>0</v>
      </c>
      <c r="EJ116" s="118">
        <f t="shared" si="202"/>
        <v>0</v>
      </c>
      <c r="EK116" s="118">
        <f t="shared" si="203"/>
        <v>0</v>
      </c>
      <c r="EL116" s="118">
        <f t="shared" si="204"/>
        <v>0</v>
      </c>
      <c r="EM116" s="118">
        <f t="shared" si="205"/>
        <v>0</v>
      </c>
      <c r="EN116" s="118">
        <f t="shared" si="206"/>
        <v>0</v>
      </c>
      <c r="EO116" s="118">
        <f t="shared" si="207"/>
        <v>0</v>
      </c>
      <c r="EP116" s="118">
        <f t="shared" si="208"/>
        <v>0</v>
      </c>
      <c r="EQ116" s="118">
        <f t="shared" si="209"/>
        <v>0</v>
      </c>
      <c r="ER116" s="118">
        <f t="shared" si="210"/>
        <v>0</v>
      </c>
      <c r="ES116" s="118">
        <f t="shared" si="211"/>
        <v>0</v>
      </c>
      <c r="ET116" s="177">
        <f t="shared" si="212"/>
        <v>0</v>
      </c>
      <c r="EU116" s="72"/>
      <c r="EV116" s="117">
        <f t="shared" si="213"/>
        <v>2662.5117749999999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4"/>
        <v>0</v>
      </c>
    </row>
    <row r="117" spans="109:193">
      <c r="DE117" s="117">
        <f t="shared" si="171"/>
        <v>2744.8575000000001</v>
      </c>
      <c r="DF117" s="118">
        <f t="shared" si="172"/>
        <v>0</v>
      </c>
      <c r="DG117" s="118">
        <f t="shared" si="173"/>
        <v>0</v>
      </c>
      <c r="DH117" s="118">
        <f t="shared" si="174"/>
        <v>0</v>
      </c>
      <c r="DI117" s="118">
        <f t="shared" si="175"/>
        <v>0</v>
      </c>
      <c r="DJ117" s="118">
        <f t="shared" si="176"/>
        <v>0</v>
      </c>
      <c r="DK117" s="118">
        <f t="shared" si="177"/>
        <v>0</v>
      </c>
      <c r="DL117" s="118">
        <f t="shared" si="178"/>
        <v>0</v>
      </c>
      <c r="DM117" s="118">
        <f t="shared" si="179"/>
        <v>0</v>
      </c>
      <c r="DN117" s="118">
        <f t="shared" si="180"/>
        <v>0</v>
      </c>
      <c r="DO117" s="118">
        <f t="shared" si="181"/>
        <v>0</v>
      </c>
      <c r="DP117" s="118">
        <f t="shared" si="182"/>
        <v>0</v>
      </c>
      <c r="DQ117" s="118">
        <f t="shared" si="183"/>
        <v>0</v>
      </c>
      <c r="DR117" s="118">
        <f t="shared" si="184"/>
        <v>0</v>
      </c>
      <c r="DS117" s="118">
        <f t="shared" si="185"/>
        <v>0</v>
      </c>
      <c r="DT117" s="118">
        <f t="shared" si="186"/>
        <v>0</v>
      </c>
      <c r="DU117" s="118">
        <f t="shared" si="187"/>
        <v>0</v>
      </c>
      <c r="DV117" s="118">
        <f t="shared" si="188"/>
        <v>0</v>
      </c>
      <c r="DW117" s="118">
        <f t="shared" si="189"/>
        <v>0</v>
      </c>
      <c r="DX117" s="118">
        <f t="shared" si="190"/>
        <v>0</v>
      </c>
      <c r="DY117" s="118">
        <f t="shared" si="191"/>
        <v>0</v>
      </c>
      <c r="DZ117" s="118">
        <f t="shared" si="192"/>
        <v>0</v>
      </c>
      <c r="EA117" s="118">
        <f t="shared" si="193"/>
        <v>0</v>
      </c>
      <c r="EB117" s="118">
        <f t="shared" si="194"/>
        <v>0</v>
      </c>
      <c r="EC117" s="118">
        <f t="shared" si="195"/>
        <v>0</v>
      </c>
      <c r="ED117" s="118">
        <f t="shared" si="196"/>
        <v>0</v>
      </c>
      <c r="EE117" s="118">
        <f t="shared" si="197"/>
        <v>0</v>
      </c>
      <c r="EF117" s="118">
        <f t="shared" si="198"/>
        <v>0</v>
      </c>
      <c r="EG117" s="118">
        <f t="shared" si="199"/>
        <v>0</v>
      </c>
      <c r="EH117" s="118">
        <f t="shared" si="200"/>
        <v>0</v>
      </c>
      <c r="EI117" s="118">
        <f t="shared" si="201"/>
        <v>0</v>
      </c>
      <c r="EJ117" s="118">
        <f t="shared" si="202"/>
        <v>0</v>
      </c>
      <c r="EK117" s="118">
        <f t="shared" si="203"/>
        <v>0</v>
      </c>
      <c r="EL117" s="118">
        <f t="shared" si="204"/>
        <v>0</v>
      </c>
      <c r="EM117" s="118">
        <f t="shared" si="205"/>
        <v>0</v>
      </c>
      <c r="EN117" s="118">
        <f t="shared" si="206"/>
        <v>0</v>
      </c>
      <c r="EO117" s="118">
        <f t="shared" si="207"/>
        <v>0</v>
      </c>
      <c r="EP117" s="118">
        <f t="shared" si="208"/>
        <v>0</v>
      </c>
      <c r="EQ117" s="118">
        <f t="shared" si="209"/>
        <v>0</v>
      </c>
      <c r="ER117" s="118">
        <f t="shared" si="210"/>
        <v>0</v>
      </c>
      <c r="ES117" s="118">
        <f t="shared" si="211"/>
        <v>0</v>
      </c>
      <c r="ET117" s="177">
        <f t="shared" si="212"/>
        <v>0</v>
      </c>
      <c r="EU117" s="72"/>
      <c r="EV117" s="117">
        <f t="shared" si="213"/>
        <v>2744.8575000000001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4"/>
        <v>0</v>
      </c>
    </row>
    <row r="118" spans="109:193">
      <c r="DE118" s="117">
        <f t="shared" si="171"/>
        <v>2829.75</v>
      </c>
      <c r="DF118" s="118">
        <f t="shared" si="172"/>
        <v>0</v>
      </c>
      <c r="DG118" s="118">
        <f t="shared" si="173"/>
        <v>0</v>
      </c>
      <c r="DH118" s="118">
        <f t="shared" si="174"/>
        <v>0</v>
      </c>
      <c r="DI118" s="118">
        <f t="shared" si="175"/>
        <v>0</v>
      </c>
      <c r="DJ118" s="118">
        <f t="shared" si="176"/>
        <v>0</v>
      </c>
      <c r="DK118" s="118">
        <f t="shared" si="177"/>
        <v>0</v>
      </c>
      <c r="DL118" s="118">
        <f t="shared" si="178"/>
        <v>0</v>
      </c>
      <c r="DM118" s="118">
        <f t="shared" si="179"/>
        <v>0</v>
      </c>
      <c r="DN118" s="118">
        <f t="shared" si="180"/>
        <v>0</v>
      </c>
      <c r="DO118" s="118">
        <f t="shared" si="181"/>
        <v>0</v>
      </c>
      <c r="DP118" s="118">
        <f t="shared" si="182"/>
        <v>0</v>
      </c>
      <c r="DQ118" s="118">
        <f t="shared" si="183"/>
        <v>0</v>
      </c>
      <c r="DR118" s="118">
        <f t="shared" si="184"/>
        <v>0</v>
      </c>
      <c r="DS118" s="118">
        <f t="shared" si="185"/>
        <v>0</v>
      </c>
      <c r="DT118" s="118">
        <f t="shared" si="186"/>
        <v>0</v>
      </c>
      <c r="DU118" s="118">
        <f t="shared" si="187"/>
        <v>0</v>
      </c>
      <c r="DV118" s="118">
        <f t="shared" si="188"/>
        <v>0</v>
      </c>
      <c r="DW118" s="118">
        <f t="shared" si="189"/>
        <v>0</v>
      </c>
      <c r="DX118" s="118">
        <f t="shared" si="190"/>
        <v>0</v>
      </c>
      <c r="DY118" s="118">
        <f t="shared" si="191"/>
        <v>0</v>
      </c>
      <c r="DZ118" s="118">
        <f t="shared" si="192"/>
        <v>0</v>
      </c>
      <c r="EA118" s="118">
        <f t="shared" si="193"/>
        <v>0</v>
      </c>
      <c r="EB118" s="118">
        <f t="shared" si="194"/>
        <v>0</v>
      </c>
      <c r="EC118" s="118">
        <f t="shared" si="195"/>
        <v>0</v>
      </c>
      <c r="ED118" s="118">
        <f t="shared" si="196"/>
        <v>0</v>
      </c>
      <c r="EE118" s="118">
        <f t="shared" si="197"/>
        <v>0</v>
      </c>
      <c r="EF118" s="118">
        <f t="shared" si="198"/>
        <v>0</v>
      </c>
      <c r="EG118" s="118">
        <f t="shared" si="199"/>
        <v>0</v>
      </c>
      <c r="EH118" s="118">
        <f t="shared" si="200"/>
        <v>0</v>
      </c>
      <c r="EI118" s="118">
        <f t="shared" si="201"/>
        <v>0</v>
      </c>
      <c r="EJ118" s="118">
        <f t="shared" si="202"/>
        <v>0</v>
      </c>
      <c r="EK118" s="118">
        <f t="shared" si="203"/>
        <v>0</v>
      </c>
      <c r="EL118" s="118">
        <f t="shared" si="204"/>
        <v>0</v>
      </c>
      <c r="EM118" s="118">
        <f t="shared" si="205"/>
        <v>0</v>
      </c>
      <c r="EN118" s="118">
        <f t="shared" si="206"/>
        <v>0</v>
      </c>
      <c r="EO118" s="118">
        <f t="shared" si="207"/>
        <v>0</v>
      </c>
      <c r="EP118" s="118">
        <f t="shared" si="208"/>
        <v>0</v>
      </c>
      <c r="EQ118" s="118">
        <f t="shared" si="209"/>
        <v>0</v>
      </c>
      <c r="ER118" s="118">
        <f t="shared" si="210"/>
        <v>0</v>
      </c>
      <c r="ES118" s="118">
        <f t="shared" si="211"/>
        <v>0</v>
      </c>
      <c r="ET118" s="177">
        <f t="shared" si="212"/>
        <v>0</v>
      </c>
      <c r="EU118" s="72"/>
      <c r="EV118" s="117">
        <f t="shared" si="213"/>
        <v>2829.75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4"/>
        <v>0</v>
      </c>
    </row>
    <row r="119" spans="109:193">
      <c r="DE119" s="117">
        <f t="shared" si="171"/>
        <v>2914.6424999999999</v>
      </c>
      <c r="DF119" s="118">
        <f t="shared" si="172"/>
        <v>0</v>
      </c>
      <c r="DG119" s="118">
        <f t="shared" si="173"/>
        <v>0</v>
      </c>
      <c r="DH119" s="118">
        <f t="shared" si="174"/>
        <v>0</v>
      </c>
      <c r="DI119" s="118">
        <f t="shared" si="175"/>
        <v>0</v>
      </c>
      <c r="DJ119" s="118">
        <f t="shared" si="176"/>
        <v>0</v>
      </c>
      <c r="DK119" s="118">
        <f t="shared" si="177"/>
        <v>0</v>
      </c>
      <c r="DL119" s="118">
        <f t="shared" si="178"/>
        <v>0</v>
      </c>
      <c r="DM119" s="118">
        <f t="shared" si="179"/>
        <v>0</v>
      </c>
      <c r="DN119" s="118">
        <f t="shared" si="180"/>
        <v>0</v>
      </c>
      <c r="DO119" s="118">
        <f t="shared" si="181"/>
        <v>0</v>
      </c>
      <c r="DP119" s="118">
        <f t="shared" si="182"/>
        <v>0</v>
      </c>
      <c r="DQ119" s="118">
        <f t="shared" si="183"/>
        <v>0</v>
      </c>
      <c r="DR119" s="118">
        <f t="shared" si="184"/>
        <v>0</v>
      </c>
      <c r="DS119" s="118">
        <f t="shared" si="185"/>
        <v>0</v>
      </c>
      <c r="DT119" s="118">
        <f t="shared" si="186"/>
        <v>0</v>
      </c>
      <c r="DU119" s="118">
        <f t="shared" si="187"/>
        <v>0</v>
      </c>
      <c r="DV119" s="118">
        <f t="shared" si="188"/>
        <v>0</v>
      </c>
      <c r="DW119" s="118">
        <f t="shared" si="189"/>
        <v>0</v>
      </c>
      <c r="DX119" s="118">
        <f t="shared" si="190"/>
        <v>0</v>
      </c>
      <c r="DY119" s="118">
        <f t="shared" si="191"/>
        <v>0</v>
      </c>
      <c r="DZ119" s="118">
        <f t="shared" si="192"/>
        <v>0</v>
      </c>
      <c r="EA119" s="118">
        <f t="shared" si="193"/>
        <v>0</v>
      </c>
      <c r="EB119" s="118">
        <f t="shared" si="194"/>
        <v>0</v>
      </c>
      <c r="EC119" s="118">
        <f t="shared" si="195"/>
        <v>0</v>
      </c>
      <c r="ED119" s="118">
        <f t="shared" si="196"/>
        <v>0</v>
      </c>
      <c r="EE119" s="118">
        <f t="shared" si="197"/>
        <v>0</v>
      </c>
      <c r="EF119" s="118">
        <f t="shared" si="198"/>
        <v>0</v>
      </c>
      <c r="EG119" s="118">
        <f t="shared" si="199"/>
        <v>0</v>
      </c>
      <c r="EH119" s="118">
        <f t="shared" si="200"/>
        <v>0</v>
      </c>
      <c r="EI119" s="118">
        <f t="shared" si="201"/>
        <v>0</v>
      </c>
      <c r="EJ119" s="118">
        <f t="shared" si="202"/>
        <v>0</v>
      </c>
      <c r="EK119" s="118">
        <f t="shared" si="203"/>
        <v>0</v>
      </c>
      <c r="EL119" s="118">
        <f t="shared" si="204"/>
        <v>0</v>
      </c>
      <c r="EM119" s="118">
        <f t="shared" si="205"/>
        <v>0</v>
      </c>
      <c r="EN119" s="118">
        <f t="shared" si="206"/>
        <v>0</v>
      </c>
      <c r="EO119" s="118">
        <f t="shared" si="207"/>
        <v>0</v>
      </c>
      <c r="EP119" s="118">
        <f t="shared" si="208"/>
        <v>0</v>
      </c>
      <c r="EQ119" s="118">
        <f t="shared" si="209"/>
        <v>0</v>
      </c>
      <c r="ER119" s="118">
        <f t="shared" si="210"/>
        <v>0</v>
      </c>
      <c r="ES119" s="118">
        <f t="shared" si="211"/>
        <v>0</v>
      </c>
      <c r="ET119" s="177">
        <f t="shared" si="212"/>
        <v>0</v>
      </c>
      <c r="EU119" s="72"/>
      <c r="EV119" s="117">
        <f t="shared" si="213"/>
        <v>2914.6424999999999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4"/>
        <v>0</v>
      </c>
    </row>
    <row r="120" spans="109:193">
      <c r="DE120" s="117">
        <f t="shared" si="171"/>
        <v>3002.0817750000001</v>
      </c>
      <c r="DF120" s="118">
        <f t="shared" si="172"/>
        <v>0</v>
      </c>
      <c r="DG120" s="118">
        <f t="shared" si="173"/>
        <v>0</v>
      </c>
      <c r="DH120" s="118">
        <f t="shared" si="174"/>
        <v>0</v>
      </c>
      <c r="DI120" s="118">
        <f t="shared" si="175"/>
        <v>0</v>
      </c>
      <c r="DJ120" s="118">
        <f t="shared" si="176"/>
        <v>0</v>
      </c>
      <c r="DK120" s="118">
        <f t="shared" si="177"/>
        <v>0</v>
      </c>
      <c r="DL120" s="118">
        <f t="shared" si="178"/>
        <v>0</v>
      </c>
      <c r="DM120" s="118">
        <f t="shared" si="179"/>
        <v>0</v>
      </c>
      <c r="DN120" s="118">
        <f t="shared" si="180"/>
        <v>0</v>
      </c>
      <c r="DO120" s="118">
        <f t="shared" si="181"/>
        <v>0</v>
      </c>
      <c r="DP120" s="118">
        <f t="shared" si="182"/>
        <v>0</v>
      </c>
      <c r="DQ120" s="118">
        <f t="shared" si="183"/>
        <v>0</v>
      </c>
      <c r="DR120" s="118">
        <f t="shared" si="184"/>
        <v>0</v>
      </c>
      <c r="DS120" s="118">
        <f t="shared" si="185"/>
        <v>0</v>
      </c>
      <c r="DT120" s="118">
        <f t="shared" si="186"/>
        <v>0</v>
      </c>
      <c r="DU120" s="118">
        <f t="shared" si="187"/>
        <v>0</v>
      </c>
      <c r="DV120" s="118">
        <f t="shared" si="188"/>
        <v>0</v>
      </c>
      <c r="DW120" s="118">
        <f t="shared" si="189"/>
        <v>0</v>
      </c>
      <c r="DX120" s="118">
        <f t="shared" si="190"/>
        <v>0</v>
      </c>
      <c r="DY120" s="118">
        <f t="shared" si="191"/>
        <v>0</v>
      </c>
      <c r="DZ120" s="118">
        <f t="shared" si="192"/>
        <v>0</v>
      </c>
      <c r="EA120" s="118">
        <f t="shared" si="193"/>
        <v>0</v>
      </c>
      <c r="EB120" s="118">
        <f t="shared" si="194"/>
        <v>0</v>
      </c>
      <c r="EC120" s="118">
        <f t="shared" si="195"/>
        <v>0</v>
      </c>
      <c r="ED120" s="118">
        <f t="shared" si="196"/>
        <v>0</v>
      </c>
      <c r="EE120" s="118">
        <f t="shared" si="197"/>
        <v>0</v>
      </c>
      <c r="EF120" s="118">
        <f t="shared" si="198"/>
        <v>0</v>
      </c>
      <c r="EG120" s="118">
        <f t="shared" si="199"/>
        <v>0</v>
      </c>
      <c r="EH120" s="118">
        <f t="shared" si="200"/>
        <v>0</v>
      </c>
      <c r="EI120" s="118">
        <f t="shared" si="201"/>
        <v>0</v>
      </c>
      <c r="EJ120" s="118">
        <f t="shared" si="202"/>
        <v>0</v>
      </c>
      <c r="EK120" s="118">
        <f t="shared" si="203"/>
        <v>0</v>
      </c>
      <c r="EL120" s="118">
        <f t="shared" si="204"/>
        <v>0</v>
      </c>
      <c r="EM120" s="118">
        <f t="shared" si="205"/>
        <v>0</v>
      </c>
      <c r="EN120" s="118">
        <f t="shared" si="206"/>
        <v>0</v>
      </c>
      <c r="EO120" s="118">
        <f t="shared" si="207"/>
        <v>0</v>
      </c>
      <c r="EP120" s="118">
        <f t="shared" si="208"/>
        <v>0</v>
      </c>
      <c r="EQ120" s="118">
        <f t="shared" si="209"/>
        <v>0</v>
      </c>
      <c r="ER120" s="118">
        <f t="shared" si="210"/>
        <v>0</v>
      </c>
      <c r="ES120" s="118">
        <f t="shared" si="211"/>
        <v>0</v>
      </c>
      <c r="ET120" s="177">
        <f t="shared" si="212"/>
        <v>0</v>
      </c>
      <c r="EU120" s="72"/>
      <c r="EV120" s="117">
        <f t="shared" si="213"/>
        <v>3002.0817750000001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4"/>
        <v>0</v>
      </c>
    </row>
    <row r="121" spans="109:193">
      <c r="DE121" s="117">
        <f t="shared" si="171"/>
        <v>3092.1442282500002</v>
      </c>
      <c r="DF121" s="118">
        <f t="shared" si="172"/>
        <v>0</v>
      </c>
      <c r="DG121" s="118">
        <f t="shared" si="173"/>
        <v>0</v>
      </c>
      <c r="DH121" s="118">
        <f t="shared" si="174"/>
        <v>0</v>
      </c>
      <c r="DI121" s="118">
        <f t="shared" si="175"/>
        <v>0</v>
      </c>
      <c r="DJ121" s="118">
        <f t="shared" si="176"/>
        <v>0</v>
      </c>
      <c r="DK121" s="118">
        <f t="shared" si="177"/>
        <v>0</v>
      </c>
      <c r="DL121" s="118">
        <f t="shared" si="178"/>
        <v>0</v>
      </c>
      <c r="DM121" s="118">
        <f t="shared" si="179"/>
        <v>0</v>
      </c>
      <c r="DN121" s="118">
        <f t="shared" si="180"/>
        <v>0</v>
      </c>
      <c r="DO121" s="118">
        <f t="shared" si="181"/>
        <v>0</v>
      </c>
      <c r="DP121" s="118">
        <f t="shared" si="182"/>
        <v>0</v>
      </c>
      <c r="DQ121" s="118">
        <f t="shared" si="183"/>
        <v>0</v>
      </c>
      <c r="DR121" s="118">
        <f t="shared" si="184"/>
        <v>0</v>
      </c>
      <c r="DS121" s="118">
        <f t="shared" si="185"/>
        <v>0</v>
      </c>
      <c r="DT121" s="118">
        <f t="shared" si="186"/>
        <v>0</v>
      </c>
      <c r="DU121" s="118">
        <f t="shared" si="187"/>
        <v>0</v>
      </c>
      <c r="DV121" s="118">
        <f t="shared" si="188"/>
        <v>0</v>
      </c>
      <c r="DW121" s="118">
        <f t="shared" si="189"/>
        <v>0</v>
      </c>
      <c r="DX121" s="118">
        <f t="shared" si="190"/>
        <v>0</v>
      </c>
      <c r="DY121" s="118">
        <f t="shared" si="191"/>
        <v>0</v>
      </c>
      <c r="DZ121" s="118">
        <f t="shared" si="192"/>
        <v>0</v>
      </c>
      <c r="EA121" s="118">
        <f t="shared" si="193"/>
        <v>0</v>
      </c>
      <c r="EB121" s="118">
        <f t="shared" si="194"/>
        <v>0</v>
      </c>
      <c r="EC121" s="118">
        <f t="shared" si="195"/>
        <v>0</v>
      </c>
      <c r="ED121" s="118">
        <f t="shared" si="196"/>
        <v>0</v>
      </c>
      <c r="EE121" s="118">
        <f t="shared" si="197"/>
        <v>0</v>
      </c>
      <c r="EF121" s="118">
        <f t="shared" si="198"/>
        <v>0</v>
      </c>
      <c r="EG121" s="118">
        <f t="shared" si="199"/>
        <v>0</v>
      </c>
      <c r="EH121" s="118">
        <f t="shared" si="200"/>
        <v>0</v>
      </c>
      <c r="EI121" s="118">
        <f t="shared" si="201"/>
        <v>0</v>
      </c>
      <c r="EJ121" s="118">
        <f t="shared" si="202"/>
        <v>0</v>
      </c>
      <c r="EK121" s="118">
        <f t="shared" si="203"/>
        <v>0</v>
      </c>
      <c r="EL121" s="118">
        <f t="shared" si="204"/>
        <v>0</v>
      </c>
      <c r="EM121" s="118">
        <f t="shared" si="205"/>
        <v>0</v>
      </c>
      <c r="EN121" s="118">
        <f t="shared" si="206"/>
        <v>0</v>
      </c>
      <c r="EO121" s="118">
        <f t="shared" si="207"/>
        <v>0</v>
      </c>
      <c r="EP121" s="118">
        <f t="shared" si="208"/>
        <v>0</v>
      </c>
      <c r="EQ121" s="118">
        <f t="shared" si="209"/>
        <v>0</v>
      </c>
      <c r="ER121" s="118">
        <f t="shared" si="210"/>
        <v>0</v>
      </c>
      <c r="ES121" s="118">
        <f t="shared" si="211"/>
        <v>0</v>
      </c>
      <c r="ET121" s="177">
        <f t="shared" si="212"/>
        <v>0</v>
      </c>
      <c r="EU121" s="72"/>
      <c r="EV121" s="117">
        <f t="shared" si="213"/>
        <v>3092.1442282500002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4"/>
        <v>0</v>
      </c>
    </row>
    <row r="122" spans="109:193">
      <c r="DE122" s="117">
        <f t="shared" si="171"/>
        <v>3184.9085550975001</v>
      </c>
      <c r="DF122" s="118">
        <f t="shared" si="172"/>
        <v>0</v>
      </c>
      <c r="DG122" s="118">
        <f t="shared" si="173"/>
        <v>0</v>
      </c>
      <c r="DH122" s="118">
        <f t="shared" si="174"/>
        <v>0</v>
      </c>
      <c r="DI122" s="118">
        <f t="shared" si="175"/>
        <v>0</v>
      </c>
      <c r="DJ122" s="118">
        <f t="shared" si="176"/>
        <v>0</v>
      </c>
      <c r="DK122" s="118">
        <f t="shared" si="177"/>
        <v>0</v>
      </c>
      <c r="DL122" s="118">
        <f t="shared" si="178"/>
        <v>0</v>
      </c>
      <c r="DM122" s="118">
        <f t="shared" si="179"/>
        <v>0</v>
      </c>
      <c r="DN122" s="118">
        <f t="shared" si="180"/>
        <v>0</v>
      </c>
      <c r="DO122" s="118">
        <f t="shared" si="181"/>
        <v>0</v>
      </c>
      <c r="DP122" s="118">
        <f t="shared" si="182"/>
        <v>0</v>
      </c>
      <c r="DQ122" s="118">
        <f t="shared" si="183"/>
        <v>0</v>
      </c>
      <c r="DR122" s="118">
        <f t="shared" si="184"/>
        <v>0</v>
      </c>
      <c r="DS122" s="118">
        <f t="shared" si="185"/>
        <v>0</v>
      </c>
      <c r="DT122" s="118">
        <f t="shared" si="186"/>
        <v>0</v>
      </c>
      <c r="DU122" s="118">
        <f t="shared" si="187"/>
        <v>0</v>
      </c>
      <c r="DV122" s="118">
        <f t="shared" si="188"/>
        <v>0</v>
      </c>
      <c r="DW122" s="118">
        <f t="shared" si="189"/>
        <v>0</v>
      </c>
      <c r="DX122" s="118">
        <f t="shared" si="190"/>
        <v>0</v>
      </c>
      <c r="DY122" s="118">
        <f t="shared" si="191"/>
        <v>0</v>
      </c>
      <c r="DZ122" s="118">
        <f t="shared" si="192"/>
        <v>0</v>
      </c>
      <c r="EA122" s="118">
        <f t="shared" si="193"/>
        <v>0</v>
      </c>
      <c r="EB122" s="118">
        <f t="shared" si="194"/>
        <v>0</v>
      </c>
      <c r="EC122" s="118">
        <f t="shared" si="195"/>
        <v>0</v>
      </c>
      <c r="ED122" s="118">
        <f t="shared" si="196"/>
        <v>0</v>
      </c>
      <c r="EE122" s="118">
        <f t="shared" si="197"/>
        <v>0</v>
      </c>
      <c r="EF122" s="118">
        <f t="shared" si="198"/>
        <v>0</v>
      </c>
      <c r="EG122" s="118">
        <f t="shared" si="199"/>
        <v>0</v>
      </c>
      <c r="EH122" s="118">
        <f t="shared" si="200"/>
        <v>0</v>
      </c>
      <c r="EI122" s="118">
        <f t="shared" si="201"/>
        <v>0</v>
      </c>
      <c r="EJ122" s="118">
        <f t="shared" si="202"/>
        <v>0</v>
      </c>
      <c r="EK122" s="118">
        <f t="shared" si="203"/>
        <v>0</v>
      </c>
      <c r="EL122" s="118">
        <f t="shared" si="204"/>
        <v>0</v>
      </c>
      <c r="EM122" s="118">
        <f t="shared" si="205"/>
        <v>0</v>
      </c>
      <c r="EN122" s="118">
        <f t="shared" si="206"/>
        <v>0</v>
      </c>
      <c r="EO122" s="118">
        <f t="shared" si="207"/>
        <v>0</v>
      </c>
      <c r="EP122" s="118">
        <f t="shared" si="208"/>
        <v>0</v>
      </c>
      <c r="EQ122" s="118">
        <f t="shared" si="209"/>
        <v>0</v>
      </c>
      <c r="ER122" s="118">
        <f t="shared" si="210"/>
        <v>0</v>
      </c>
      <c r="ES122" s="118">
        <f t="shared" si="211"/>
        <v>0</v>
      </c>
      <c r="ET122" s="177">
        <f t="shared" si="212"/>
        <v>0</v>
      </c>
      <c r="EU122" s="72"/>
      <c r="EV122" s="117">
        <f t="shared" si="213"/>
        <v>3184.9085550975001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4"/>
        <v>0</v>
      </c>
    </row>
    <row r="123" spans="109:193">
      <c r="DE123" s="117">
        <f t="shared" si="171"/>
        <v>3280.4558117504253</v>
      </c>
      <c r="DF123" s="118">
        <f t="shared" si="172"/>
        <v>0</v>
      </c>
      <c r="DG123" s="118">
        <f t="shared" si="173"/>
        <v>0</v>
      </c>
      <c r="DH123" s="118">
        <f t="shared" si="174"/>
        <v>0</v>
      </c>
      <c r="DI123" s="118">
        <f t="shared" si="175"/>
        <v>0</v>
      </c>
      <c r="DJ123" s="118">
        <f t="shared" si="176"/>
        <v>0</v>
      </c>
      <c r="DK123" s="118">
        <f t="shared" si="177"/>
        <v>0</v>
      </c>
      <c r="DL123" s="118">
        <f t="shared" si="178"/>
        <v>0</v>
      </c>
      <c r="DM123" s="118">
        <f t="shared" si="179"/>
        <v>0</v>
      </c>
      <c r="DN123" s="118">
        <f t="shared" si="180"/>
        <v>0</v>
      </c>
      <c r="DO123" s="118">
        <f t="shared" si="181"/>
        <v>0</v>
      </c>
      <c r="DP123" s="118">
        <f t="shared" si="182"/>
        <v>0</v>
      </c>
      <c r="DQ123" s="118">
        <f t="shared" si="183"/>
        <v>0</v>
      </c>
      <c r="DR123" s="118">
        <f t="shared" si="184"/>
        <v>0</v>
      </c>
      <c r="DS123" s="118">
        <f t="shared" si="185"/>
        <v>0</v>
      </c>
      <c r="DT123" s="118">
        <f t="shared" si="186"/>
        <v>0</v>
      </c>
      <c r="DU123" s="118">
        <f t="shared" si="187"/>
        <v>0</v>
      </c>
      <c r="DV123" s="118">
        <f t="shared" si="188"/>
        <v>0</v>
      </c>
      <c r="DW123" s="118">
        <f t="shared" si="189"/>
        <v>0</v>
      </c>
      <c r="DX123" s="118">
        <f t="shared" si="190"/>
        <v>0</v>
      </c>
      <c r="DY123" s="118">
        <f t="shared" si="191"/>
        <v>0</v>
      </c>
      <c r="DZ123" s="118">
        <f t="shared" si="192"/>
        <v>0</v>
      </c>
      <c r="EA123" s="118">
        <f t="shared" si="193"/>
        <v>0</v>
      </c>
      <c r="EB123" s="118">
        <f t="shared" si="194"/>
        <v>0</v>
      </c>
      <c r="EC123" s="118">
        <f t="shared" si="195"/>
        <v>0</v>
      </c>
      <c r="ED123" s="118">
        <f t="shared" si="196"/>
        <v>0</v>
      </c>
      <c r="EE123" s="118">
        <f t="shared" si="197"/>
        <v>0</v>
      </c>
      <c r="EF123" s="118">
        <f t="shared" si="198"/>
        <v>0</v>
      </c>
      <c r="EG123" s="118">
        <f t="shared" si="199"/>
        <v>0</v>
      </c>
      <c r="EH123" s="118">
        <f t="shared" si="200"/>
        <v>0</v>
      </c>
      <c r="EI123" s="118">
        <f t="shared" si="201"/>
        <v>0</v>
      </c>
      <c r="EJ123" s="118">
        <f t="shared" si="202"/>
        <v>0</v>
      </c>
      <c r="EK123" s="118">
        <f t="shared" si="203"/>
        <v>0</v>
      </c>
      <c r="EL123" s="118">
        <f t="shared" si="204"/>
        <v>0</v>
      </c>
      <c r="EM123" s="118">
        <f t="shared" si="205"/>
        <v>0</v>
      </c>
      <c r="EN123" s="118">
        <f t="shared" si="206"/>
        <v>0</v>
      </c>
      <c r="EO123" s="118">
        <f t="shared" si="207"/>
        <v>0</v>
      </c>
      <c r="EP123" s="118">
        <f t="shared" si="208"/>
        <v>0</v>
      </c>
      <c r="EQ123" s="118">
        <f t="shared" si="209"/>
        <v>0</v>
      </c>
      <c r="ER123" s="118">
        <f t="shared" si="210"/>
        <v>0</v>
      </c>
      <c r="ES123" s="118">
        <f t="shared" si="211"/>
        <v>0</v>
      </c>
      <c r="ET123" s="177">
        <f t="shared" si="212"/>
        <v>0</v>
      </c>
      <c r="EU123" s="72"/>
      <c r="EV123" s="117">
        <f t="shared" si="213"/>
        <v>3280.4558117504253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4"/>
        <v>0</v>
      </c>
    </row>
    <row r="124" spans="109:193">
      <c r="DE124" s="117">
        <f t="shared" si="171"/>
        <v>3378.869486102938</v>
      </c>
      <c r="DF124" s="118">
        <f t="shared" si="172"/>
        <v>0</v>
      </c>
      <c r="DG124" s="118">
        <f t="shared" si="173"/>
        <v>0</v>
      </c>
      <c r="DH124" s="118">
        <f t="shared" si="174"/>
        <v>0</v>
      </c>
      <c r="DI124" s="118">
        <f t="shared" si="175"/>
        <v>0</v>
      </c>
      <c r="DJ124" s="118">
        <f t="shared" si="176"/>
        <v>0</v>
      </c>
      <c r="DK124" s="118">
        <f t="shared" si="177"/>
        <v>0</v>
      </c>
      <c r="DL124" s="118">
        <f t="shared" si="178"/>
        <v>0</v>
      </c>
      <c r="DM124" s="118">
        <f t="shared" si="179"/>
        <v>0</v>
      </c>
      <c r="DN124" s="118">
        <f t="shared" si="180"/>
        <v>0</v>
      </c>
      <c r="DO124" s="118">
        <f t="shared" si="181"/>
        <v>0</v>
      </c>
      <c r="DP124" s="118">
        <f t="shared" si="182"/>
        <v>0</v>
      </c>
      <c r="DQ124" s="118">
        <f t="shared" si="183"/>
        <v>0</v>
      </c>
      <c r="DR124" s="118">
        <f t="shared" si="184"/>
        <v>0</v>
      </c>
      <c r="DS124" s="118">
        <f t="shared" si="185"/>
        <v>0</v>
      </c>
      <c r="DT124" s="118">
        <f t="shared" si="186"/>
        <v>0</v>
      </c>
      <c r="DU124" s="118">
        <f t="shared" si="187"/>
        <v>0</v>
      </c>
      <c r="DV124" s="118">
        <f t="shared" si="188"/>
        <v>0</v>
      </c>
      <c r="DW124" s="118">
        <f t="shared" si="189"/>
        <v>0</v>
      </c>
      <c r="DX124" s="118">
        <f t="shared" si="190"/>
        <v>0</v>
      </c>
      <c r="DY124" s="118">
        <f t="shared" si="191"/>
        <v>0</v>
      </c>
      <c r="DZ124" s="118">
        <f t="shared" si="192"/>
        <v>0</v>
      </c>
      <c r="EA124" s="118">
        <f t="shared" si="193"/>
        <v>0</v>
      </c>
      <c r="EB124" s="118">
        <f t="shared" si="194"/>
        <v>0</v>
      </c>
      <c r="EC124" s="118">
        <f t="shared" si="195"/>
        <v>0</v>
      </c>
      <c r="ED124" s="118">
        <f t="shared" si="196"/>
        <v>0</v>
      </c>
      <c r="EE124" s="118">
        <f t="shared" si="197"/>
        <v>0</v>
      </c>
      <c r="EF124" s="118">
        <f t="shared" si="198"/>
        <v>0</v>
      </c>
      <c r="EG124" s="118">
        <f t="shared" si="199"/>
        <v>0</v>
      </c>
      <c r="EH124" s="118">
        <f t="shared" si="200"/>
        <v>0</v>
      </c>
      <c r="EI124" s="118">
        <f t="shared" si="201"/>
        <v>0</v>
      </c>
      <c r="EJ124" s="118">
        <f t="shared" si="202"/>
        <v>0</v>
      </c>
      <c r="EK124" s="118">
        <f t="shared" si="203"/>
        <v>0</v>
      </c>
      <c r="EL124" s="118">
        <f t="shared" si="204"/>
        <v>0</v>
      </c>
      <c r="EM124" s="118">
        <f t="shared" si="205"/>
        <v>0</v>
      </c>
      <c r="EN124" s="118">
        <f t="shared" si="206"/>
        <v>0</v>
      </c>
      <c r="EO124" s="118">
        <f t="shared" si="207"/>
        <v>0</v>
      </c>
      <c r="EP124" s="118">
        <f t="shared" si="208"/>
        <v>0</v>
      </c>
      <c r="EQ124" s="118">
        <f t="shared" si="209"/>
        <v>0</v>
      </c>
      <c r="ER124" s="118">
        <f t="shared" si="210"/>
        <v>0</v>
      </c>
      <c r="ES124" s="118">
        <f t="shared" si="211"/>
        <v>0</v>
      </c>
      <c r="ET124" s="177">
        <f t="shared" si="212"/>
        <v>0</v>
      </c>
      <c r="EU124" s="72"/>
      <c r="EV124" s="117">
        <f t="shared" si="213"/>
        <v>3378.869486102938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4"/>
        <v>0</v>
      </c>
    </row>
    <row r="125" spans="109:193">
      <c r="DE125" s="117">
        <f t="shared" si="171"/>
        <v>3480.2355706860262</v>
      </c>
      <c r="DF125" s="118">
        <f t="shared" si="172"/>
        <v>0</v>
      </c>
      <c r="DG125" s="118">
        <f t="shared" si="173"/>
        <v>0</v>
      </c>
      <c r="DH125" s="118">
        <f t="shared" si="174"/>
        <v>0</v>
      </c>
      <c r="DI125" s="118">
        <f t="shared" si="175"/>
        <v>0</v>
      </c>
      <c r="DJ125" s="118">
        <f t="shared" si="176"/>
        <v>0</v>
      </c>
      <c r="DK125" s="118">
        <f t="shared" si="177"/>
        <v>0</v>
      </c>
      <c r="DL125" s="118">
        <f t="shared" si="178"/>
        <v>0</v>
      </c>
      <c r="DM125" s="118">
        <f t="shared" si="179"/>
        <v>0</v>
      </c>
      <c r="DN125" s="118">
        <f t="shared" si="180"/>
        <v>0</v>
      </c>
      <c r="DO125" s="118">
        <f t="shared" si="181"/>
        <v>0</v>
      </c>
      <c r="DP125" s="118">
        <f t="shared" si="182"/>
        <v>0</v>
      </c>
      <c r="DQ125" s="118">
        <f t="shared" si="183"/>
        <v>0</v>
      </c>
      <c r="DR125" s="118">
        <f t="shared" si="184"/>
        <v>0</v>
      </c>
      <c r="DS125" s="118">
        <f t="shared" si="185"/>
        <v>0</v>
      </c>
      <c r="DT125" s="118">
        <f t="shared" si="186"/>
        <v>0</v>
      </c>
      <c r="DU125" s="118">
        <f t="shared" si="187"/>
        <v>0</v>
      </c>
      <c r="DV125" s="118">
        <f t="shared" si="188"/>
        <v>0</v>
      </c>
      <c r="DW125" s="118">
        <f t="shared" si="189"/>
        <v>0</v>
      </c>
      <c r="DX125" s="118">
        <f t="shared" si="190"/>
        <v>0</v>
      </c>
      <c r="DY125" s="118">
        <f t="shared" si="191"/>
        <v>0</v>
      </c>
      <c r="DZ125" s="118">
        <f t="shared" si="192"/>
        <v>0</v>
      </c>
      <c r="EA125" s="118">
        <f t="shared" si="193"/>
        <v>0</v>
      </c>
      <c r="EB125" s="118">
        <f t="shared" si="194"/>
        <v>0</v>
      </c>
      <c r="EC125" s="118">
        <f t="shared" si="195"/>
        <v>0</v>
      </c>
      <c r="ED125" s="118">
        <f t="shared" si="196"/>
        <v>0</v>
      </c>
      <c r="EE125" s="118">
        <f t="shared" si="197"/>
        <v>0</v>
      </c>
      <c r="EF125" s="118">
        <f t="shared" si="198"/>
        <v>0</v>
      </c>
      <c r="EG125" s="118">
        <f t="shared" si="199"/>
        <v>0</v>
      </c>
      <c r="EH125" s="118">
        <f t="shared" si="200"/>
        <v>0</v>
      </c>
      <c r="EI125" s="118">
        <f t="shared" si="201"/>
        <v>0</v>
      </c>
      <c r="EJ125" s="118">
        <f t="shared" si="202"/>
        <v>0</v>
      </c>
      <c r="EK125" s="118">
        <f t="shared" si="203"/>
        <v>0</v>
      </c>
      <c r="EL125" s="118">
        <f t="shared" si="204"/>
        <v>0</v>
      </c>
      <c r="EM125" s="118">
        <f t="shared" si="205"/>
        <v>0</v>
      </c>
      <c r="EN125" s="118">
        <f t="shared" si="206"/>
        <v>0</v>
      </c>
      <c r="EO125" s="118">
        <f t="shared" si="207"/>
        <v>0</v>
      </c>
      <c r="EP125" s="118">
        <f t="shared" si="208"/>
        <v>0</v>
      </c>
      <c r="EQ125" s="118">
        <f t="shared" si="209"/>
        <v>0</v>
      </c>
      <c r="ER125" s="118">
        <f t="shared" si="210"/>
        <v>0</v>
      </c>
      <c r="ES125" s="118">
        <f t="shared" si="211"/>
        <v>0</v>
      </c>
      <c r="ET125" s="177">
        <f t="shared" si="212"/>
        <v>0</v>
      </c>
      <c r="EU125" s="72"/>
      <c r="EV125" s="117">
        <f t="shared" si="213"/>
        <v>3480.2355706860262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4"/>
        <v>0</v>
      </c>
    </row>
    <row r="126" spans="109:193">
      <c r="DE126" s="117">
        <f t="shared" si="171"/>
        <v>3584.6426378066071</v>
      </c>
      <c r="DF126" s="118">
        <f t="shared" si="172"/>
        <v>0</v>
      </c>
      <c r="DG126" s="118">
        <f t="shared" si="173"/>
        <v>0</v>
      </c>
      <c r="DH126" s="118">
        <f t="shared" si="174"/>
        <v>0</v>
      </c>
      <c r="DI126" s="118">
        <f t="shared" si="175"/>
        <v>0</v>
      </c>
      <c r="DJ126" s="118">
        <f t="shared" si="176"/>
        <v>0</v>
      </c>
      <c r="DK126" s="118">
        <f t="shared" si="177"/>
        <v>0</v>
      </c>
      <c r="DL126" s="118">
        <f t="shared" si="178"/>
        <v>0</v>
      </c>
      <c r="DM126" s="118">
        <f t="shared" si="179"/>
        <v>0</v>
      </c>
      <c r="DN126" s="118">
        <f t="shared" si="180"/>
        <v>0</v>
      </c>
      <c r="DO126" s="118">
        <f t="shared" si="181"/>
        <v>0</v>
      </c>
      <c r="DP126" s="118">
        <f t="shared" si="182"/>
        <v>0</v>
      </c>
      <c r="DQ126" s="118">
        <f t="shared" si="183"/>
        <v>0</v>
      </c>
      <c r="DR126" s="118">
        <f t="shared" si="184"/>
        <v>0</v>
      </c>
      <c r="DS126" s="118">
        <f t="shared" si="185"/>
        <v>0</v>
      </c>
      <c r="DT126" s="118">
        <f t="shared" si="186"/>
        <v>0</v>
      </c>
      <c r="DU126" s="118">
        <f t="shared" si="187"/>
        <v>0</v>
      </c>
      <c r="DV126" s="118">
        <f t="shared" si="188"/>
        <v>0</v>
      </c>
      <c r="DW126" s="118">
        <f t="shared" si="189"/>
        <v>0</v>
      </c>
      <c r="DX126" s="118">
        <f t="shared" si="190"/>
        <v>0</v>
      </c>
      <c r="DY126" s="118">
        <f t="shared" si="191"/>
        <v>0</v>
      </c>
      <c r="DZ126" s="118">
        <f t="shared" si="192"/>
        <v>0</v>
      </c>
      <c r="EA126" s="118">
        <f t="shared" si="193"/>
        <v>0</v>
      </c>
      <c r="EB126" s="118">
        <f t="shared" si="194"/>
        <v>0</v>
      </c>
      <c r="EC126" s="118">
        <f t="shared" si="195"/>
        <v>0</v>
      </c>
      <c r="ED126" s="118">
        <f t="shared" si="196"/>
        <v>0</v>
      </c>
      <c r="EE126" s="118">
        <f t="shared" si="197"/>
        <v>0</v>
      </c>
      <c r="EF126" s="118">
        <f t="shared" si="198"/>
        <v>0</v>
      </c>
      <c r="EG126" s="118">
        <f t="shared" si="199"/>
        <v>0</v>
      </c>
      <c r="EH126" s="118">
        <f t="shared" si="200"/>
        <v>0</v>
      </c>
      <c r="EI126" s="118">
        <f t="shared" si="201"/>
        <v>0</v>
      </c>
      <c r="EJ126" s="118">
        <f t="shared" si="202"/>
        <v>0</v>
      </c>
      <c r="EK126" s="118">
        <f t="shared" si="203"/>
        <v>0</v>
      </c>
      <c r="EL126" s="118">
        <f t="shared" si="204"/>
        <v>0</v>
      </c>
      <c r="EM126" s="118">
        <f t="shared" si="205"/>
        <v>0</v>
      </c>
      <c r="EN126" s="118">
        <f t="shared" si="206"/>
        <v>0</v>
      </c>
      <c r="EO126" s="118">
        <f t="shared" si="207"/>
        <v>0</v>
      </c>
      <c r="EP126" s="118">
        <f t="shared" si="208"/>
        <v>0</v>
      </c>
      <c r="EQ126" s="118">
        <f t="shared" si="209"/>
        <v>0</v>
      </c>
      <c r="ER126" s="118">
        <f t="shared" si="210"/>
        <v>0</v>
      </c>
      <c r="ES126" s="118">
        <f t="shared" si="211"/>
        <v>0</v>
      </c>
      <c r="ET126" s="177">
        <f t="shared" si="212"/>
        <v>0</v>
      </c>
      <c r="EU126" s="72"/>
      <c r="EV126" s="117">
        <f t="shared" si="213"/>
        <v>3584.6426378066071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4"/>
        <v>0</v>
      </c>
    </row>
    <row r="127" spans="109:193">
      <c r="DE127" s="117">
        <f t="shared" si="171"/>
        <v>3692.1819169408054</v>
      </c>
      <c r="DF127" s="118">
        <f t="shared" si="172"/>
        <v>0</v>
      </c>
      <c r="DG127" s="118">
        <f t="shared" si="173"/>
        <v>0</v>
      </c>
      <c r="DH127" s="118">
        <f t="shared" si="174"/>
        <v>0</v>
      </c>
      <c r="DI127" s="118">
        <f t="shared" si="175"/>
        <v>0</v>
      </c>
      <c r="DJ127" s="118">
        <f t="shared" si="176"/>
        <v>0</v>
      </c>
      <c r="DK127" s="118">
        <f t="shared" si="177"/>
        <v>0</v>
      </c>
      <c r="DL127" s="118">
        <f t="shared" si="178"/>
        <v>0</v>
      </c>
      <c r="DM127" s="118">
        <f t="shared" si="179"/>
        <v>0</v>
      </c>
      <c r="DN127" s="118">
        <f t="shared" si="180"/>
        <v>0</v>
      </c>
      <c r="DO127" s="118">
        <f t="shared" si="181"/>
        <v>0</v>
      </c>
      <c r="DP127" s="118">
        <f t="shared" si="182"/>
        <v>0</v>
      </c>
      <c r="DQ127" s="118">
        <f t="shared" si="183"/>
        <v>0</v>
      </c>
      <c r="DR127" s="118">
        <f t="shared" si="184"/>
        <v>0</v>
      </c>
      <c r="DS127" s="118">
        <f t="shared" si="185"/>
        <v>0</v>
      </c>
      <c r="DT127" s="118">
        <f t="shared" si="186"/>
        <v>0</v>
      </c>
      <c r="DU127" s="118">
        <f t="shared" si="187"/>
        <v>0</v>
      </c>
      <c r="DV127" s="118">
        <f t="shared" si="188"/>
        <v>0</v>
      </c>
      <c r="DW127" s="118">
        <f t="shared" si="189"/>
        <v>0</v>
      </c>
      <c r="DX127" s="118">
        <f t="shared" si="190"/>
        <v>0</v>
      </c>
      <c r="DY127" s="118">
        <f t="shared" si="191"/>
        <v>0</v>
      </c>
      <c r="DZ127" s="118">
        <f t="shared" si="192"/>
        <v>0</v>
      </c>
      <c r="EA127" s="118">
        <f t="shared" si="193"/>
        <v>0</v>
      </c>
      <c r="EB127" s="118">
        <f t="shared" si="194"/>
        <v>0</v>
      </c>
      <c r="EC127" s="118">
        <f t="shared" si="195"/>
        <v>0</v>
      </c>
      <c r="ED127" s="118">
        <f t="shared" si="196"/>
        <v>0</v>
      </c>
      <c r="EE127" s="118">
        <f t="shared" si="197"/>
        <v>0</v>
      </c>
      <c r="EF127" s="118">
        <f t="shared" si="198"/>
        <v>0</v>
      </c>
      <c r="EG127" s="118">
        <f t="shared" si="199"/>
        <v>0</v>
      </c>
      <c r="EH127" s="118">
        <f t="shared" si="200"/>
        <v>0</v>
      </c>
      <c r="EI127" s="118">
        <f t="shared" si="201"/>
        <v>0</v>
      </c>
      <c r="EJ127" s="118">
        <f t="shared" si="202"/>
        <v>0</v>
      </c>
      <c r="EK127" s="118">
        <f t="shared" si="203"/>
        <v>0</v>
      </c>
      <c r="EL127" s="118">
        <f t="shared" si="204"/>
        <v>0</v>
      </c>
      <c r="EM127" s="118">
        <f t="shared" si="205"/>
        <v>0</v>
      </c>
      <c r="EN127" s="118">
        <f t="shared" si="206"/>
        <v>0</v>
      </c>
      <c r="EO127" s="118">
        <f t="shared" si="207"/>
        <v>0</v>
      </c>
      <c r="EP127" s="118">
        <f t="shared" si="208"/>
        <v>0</v>
      </c>
      <c r="EQ127" s="118">
        <f t="shared" si="209"/>
        <v>0</v>
      </c>
      <c r="ER127" s="118">
        <f t="shared" si="210"/>
        <v>0</v>
      </c>
      <c r="ES127" s="118">
        <f t="shared" si="211"/>
        <v>0</v>
      </c>
      <c r="ET127" s="177">
        <f t="shared" si="212"/>
        <v>0</v>
      </c>
      <c r="EU127" s="72"/>
      <c r="EV127" s="117">
        <f t="shared" si="213"/>
        <v>3692.1819169408054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4"/>
        <v>0</v>
      </c>
    </row>
    <row r="128" spans="109:193">
      <c r="DE128" s="117">
        <f t="shared" si="171"/>
        <v>3802.9473744490297</v>
      </c>
      <c r="DF128" s="118">
        <f t="shared" si="172"/>
        <v>0</v>
      </c>
      <c r="DG128" s="118">
        <f t="shared" si="173"/>
        <v>0</v>
      </c>
      <c r="DH128" s="118">
        <f t="shared" si="174"/>
        <v>0</v>
      </c>
      <c r="DI128" s="118">
        <f t="shared" si="175"/>
        <v>0</v>
      </c>
      <c r="DJ128" s="118">
        <f t="shared" si="176"/>
        <v>0</v>
      </c>
      <c r="DK128" s="118">
        <f t="shared" si="177"/>
        <v>0</v>
      </c>
      <c r="DL128" s="118">
        <f t="shared" si="178"/>
        <v>0</v>
      </c>
      <c r="DM128" s="118">
        <f t="shared" si="179"/>
        <v>0</v>
      </c>
      <c r="DN128" s="118">
        <f t="shared" si="180"/>
        <v>0</v>
      </c>
      <c r="DO128" s="118">
        <f t="shared" si="181"/>
        <v>0</v>
      </c>
      <c r="DP128" s="118">
        <f t="shared" si="182"/>
        <v>0</v>
      </c>
      <c r="DQ128" s="118">
        <f t="shared" si="183"/>
        <v>0</v>
      </c>
      <c r="DR128" s="118">
        <f t="shared" si="184"/>
        <v>0</v>
      </c>
      <c r="DS128" s="118">
        <f t="shared" si="185"/>
        <v>0</v>
      </c>
      <c r="DT128" s="118">
        <f t="shared" si="186"/>
        <v>0</v>
      </c>
      <c r="DU128" s="118">
        <f t="shared" si="187"/>
        <v>0</v>
      </c>
      <c r="DV128" s="118">
        <f t="shared" si="188"/>
        <v>0</v>
      </c>
      <c r="DW128" s="118">
        <f t="shared" si="189"/>
        <v>0</v>
      </c>
      <c r="DX128" s="118">
        <f t="shared" si="190"/>
        <v>0</v>
      </c>
      <c r="DY128" s="118">
        <f t="shared" si="191"/>
        <v>0</v>
      </c>
      <c r="DZ128" s="118">
        <f t="shared" si="192"/>
        <v>0</v>
      </c>
      <c r="EA128" s="118">
        <f t="shared" si="193"/>
        <v>0</v>
      </c>
      <c r="EB128" s="118">
        <f t="shared" si="194"/>
        <v>0</v>
      </c>
      <c r="EC128" s="118">
        <f t="shared" si="195"/>
        <v>0</v>
      </c>
      <c r="ED128" s="118">
        <f t="shared" si="196"/>
        <v>0</v>
      </c>
      <c r="EE128" s="118">
        <f t="shared" si="197"/>
        <v>0</v>
      </c>
      <c r="EF128" s="118">
        <f t="shared" si="198"/>
        <v>0</v>
      </c>
      <c r="EG128" s="118">
        <f t="shared" si="199"/>
        <v>0</v>
      </c>
      <c r="EH128" s="118">
        <f t="shared" si="200"/>
        <v>0</v>
      </c>
      <c r="EI128" s="118">
        <f t="shared" si="201"/>
        <v>0</v>
      </c>
      <c r="EJ128" s="118">
        <f t="shared" si="202"/>
        <v>0</v>
      </c>
      <c r="EK128" s="118">
        <f t="shared" si="203"/>
        <v>0</v>
      </c>
      <c r="EL128" s="118">
        <f t="shared" si="204"/>
        <v>0</v>
      </c>
      <c r="EM128" s="118">
        <f t="shared" si="205"/>
        <v>0</v>
      </c>
      <c r="EN128" s="118">
        <f t="shared" si="206"/>
        <v>0</v>
      </c>
      <c r="EO128" s="118">
        <f t="shared" si="207"/>
        <v>0</v>
      </c>
      <c r="EP128" s="118">
        <f t="shared" si="208"/>
        <v>0</v>
      </c>
      <c r="EQ128" s="118">
        <f t="shared" si="209"/>
        <v>0</v>
      </c>
      <c r="ER128" s="118">
        <f t="shared" si="210"/>
        <v>0</v>
      </c>
      <c r="ES128" s="118">
        <f t="shared" si="211"/>
        <v>0</v>
      </c>
      <c r="ET128" s="177">
        <f t="shared" si="212"/>
        <v>0</v>
      </c>
      <c r="EU128" s="72"/>
      <c r="EV128" s="117">
        <f t="shared" si="213"/>
        <v>3802.9473744490297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4"/>
        <v>0</v>
      </c>
    </row>
    <row r="129" spans="109:193">
      <c r="DE129" s="117">
        <f t="shared" si="171"/>
        <v>3917.0357956825005</v>
      </c>
      <c r="DF129" s="118">
        <f t="shared" si="172"/>
        <v>0</v>
      </c>
      <c r="DG129" s="118">
        <f t="shared" si="173"/>
        <v>0</v>
      </c>
      <c r="DH129" s="118">
        <f t="shared" si="174"/>
        <v>0</v>
      </c>
      <c r="DI129" s="118">
        <f t="shared" si="175"/>
        <v>0</v>
      </c>
      <c r="DJ129" s="118">
        <f t="shared" si="176"/>
        <v>0</v>
      </c>
      <c r="DK129" s="118">
        <f t="shared" si="177"/>
        <v>0</v>
      </c>
      <c r="DL129" s="118">
        <f t="shared" si="178"/>
        <v>0</v>
      </c>
      <c r="DM129" s="118">
        <f t="shared" si="179"/>
        <v>0</v>
      </c>
      <c r="DN129" s="118">
        <f t="shared" si="180"/>
        <v>0</v>
      </c>
      <c r="DO129" s="118">
        <f t="shared" si="181"/>
        <v>0</v>
      </c>
      <c r="DP129" s="118">
        <f t="shared" si="182"/>
        <v>0</v>
      </c>
      <c r="DQ129" s="118">
        <f t="shared" si="183"/>
        <v>0</v>
      </c>
      <c r="DR129" s="118">
        <f t="shared" si="184"/>
        <v>0</v>
      </c>
      <c r="DS129" s="118">
        <f t="shared" si="185"/>
        <v>0</v>
      </c>
      <c r="DT129" s="118">
        <f t="shared" si="186"/>
        <v>0</v>
      </c>
      <c r="DU129" s="118">
        <f t="shared" si="187"/>
        <v>0</v>
      </c>
      <c r="DV129" s="118">
        <f t="shared" si="188"/>
        <v>0</v>
      </c>
      <c r="DW129" s="118">
        <f t="shared" si="189"/>
        <v>0</v>
      </c>
      <c r="DX129" s="118">
        <f t="shared" si="190"/>
        <v>0</v>
      </c>
      <c r="DY129" s="118">
        <f t="shared" si="191"/>
        <v>0</v>
      </c>
      <c r="DZ129" s="118">
        <f t="shared" si="192"/>
        <v>0</v>
      </c>
      <c r="EA129" s="118">
        <f t="shared" si="193"/>
        <v>0</v>
      </c>
      <c r="EB129" s="118">
        <f t="shared" si="194"/>
        <v>0</v>
      </c>
      <c r="EC129" s="118">
        <f t="shared" si="195"/>
        <v>0</v>
      </c>
      <c r="ED129" s="118">
        <f t="shared" si="196"/>
        <v>0</v>
      </c>
      <c r="EE129" s="118">
        <f t="shared" si="197"/>
        <v>0</v>
      </c>
      <c r="EF129" s="118">
        <f t="shared" si="198"/>
        <v>0</v>
      </c>
      <c r="EG129" s="118">
        <f t="shared" si="199"/>
        <v>0</v>
      </c>
      <c r="EH129" s="118">
        <f t="shared" si="200"/>
        <v>0</v>
      </c>
      <c r="EI129" s="118">
        <f t="shared" si="201"/>
        <v>0</v>
      </c>
      <c r="EJ129" s="118">
        <f t="shared" si="202"/>
        <v>0</v>
      </c>
      <c r="EK129" s="118">
        <f t="shared" si="203"/>
        <v>0</v>
      </c>
      <c r="EL129" s="118">
        <f t="shared" si="204"/>
        <v>0</v>
      </c>
      <c r="EM129" s="118">
        <f t="shared" si="205"/>
        <v>0</v>
      </c>
      <c r="EN129" s="118">
        <f t="shared" si="206"/>
        <v>0</v>
      </c>
      <c r="EO129" s="118">
        <f t="shared" si="207"/>
        <v>0</v>
      </c>
      <c r="EP129" s="118">
        <f t="shared" si="208"/>
        <v>0</v>
      </c>
      <c r="EQ129" s="118">
        <f t="shared" si="209"/>
        <v>0</v>
      </c>
      <c r="ER129" s="118">
        <f t="shared" si="210"/>
        <v>0</v>
      </c>
      <c r="ES129" s="118">
        <f t="shared" si="211"/>
        <v>0</v>
      </c>
      <c r="ET129" s="177">
        <f t="shared" si="212"/>
        <v>0</v>
      </c>
      <c r="EU129" s="72"/>
      <c r="EV129" s="117">
        <f t="shared" si="213"/>
        <v>3917.0357956825005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4"/>
        <v>0</v>
      </c>
    </row>
    <row r="130" spans="109:193">
      <c r="DE130" s="117">
        <f t="shared" si="171"/>
        <v>4034.5468695529757</v>
      </c>
      <c r="DF130" s="118">
        <f t="shared" si="172"/>
        <v>0</v>
      </c>
      <c r="DG130" s="118">
        <f t="shared" si="173"/>
        <v>0</v>
      </c>
      <c r="DH130" s="118">
        <f t="shared" si="174"/>
        <v>0</v>
      </c>
      <c r="DI130" s="118">
        <f t="shared" si="175"/>
        <v>0</v>
      </c>
      <c r="DJ130" s="118">
        <f t="shared" si="176"/>
        <v>0</v>
      </c>
      <c r="DK130" s="118">
        <f t="shared" si="177"/>
        <v>0</v>
      </c>
      <c r="DL130" s="118">
        <f t="shared" si="178"/>
        <v>0</v>
      </c>
      <c r="DM130" s="118">
        <f t="shared" si="179"/>
        <v>0</v>
      </c>
      <c r="DN130" s="118">
        <f t="shared" si="180"/>
        <v>0</v>
      </c>
      <c r="DO130" s="118">
        <f t="shared" si="181"/>
        <v>0</v>
      </c>
      <c r="DP130" s="118">
        <f t="shared" si="182"/>
        <v>0</v>
      </c>
      <c r="DQ130" s="118">
        <f t="shared" si="183"/>
        <v>0</v>
      </c>
      <c r="DR130" s="118">
        <f t="shared" si="184"/>
        <v>0</v>
      </c>
      <c r="DS130" s="118">
        <f t="shared" si="185"/>
        <v>0</v>
      </c>
      <c r="DT130" s="118">
        <f t="shared" si="186"/>
        <v>0</v>
      </c>
      <c r="DU130" s="118">
        <f t="shared" si="187"/>
        <v>0</v>
      </c>
      <c r="DV130" s="118">
        <f t="shared" si="188"/>
        <v>0</v>
      </c>
      <c r="DW130" s="118">
        <f t="shared" si="189"/>
        <v>0</v>
      </c>
      <c r="DX130" s="118">
        <f t="shared" si="190"/>
        <v>0</v>
      </c>
      <c r="DY130" s="118">
        <f t="shared" si="191"/>
        <v>0</v>
      </c>
      <c r="DZ130" s="118">
        <f t="shared" si="192"/>
        <v>0</v>
      </c>
      <c r="EA130" s="118">
        <f t="shared" si="193"/>
        <v>0</v>
      </c>
      <c r="EB130" s="118">
        <f t="shared" si="194"/>
        <v>0</v>
      </c>
      <c r="EC130" s="118">
        <f t="shared" si="195"/>
        <v>0</v>
      </c>
      <c r="ED130" s="118">
        <f t="shared" si="196"/>
        <v>0</v>
      </c>
      <c r="EE130" s="118">
        <f t="shared" si="197"/>
        <v>0</v>
      </c>
      <c r="EF130" s="118">
        <f t="shared" si="198"/>
        <v>0</v>
      </c>
      <c r="EG130" s="118">
        <f t="shared" si="199"/>
        <v>0</v>
      </c>
      <c r="EH130" s="118">
        <f t="shared" si="200"/>
        <v>0</v>
      </c>
      <c r="EI130" s="118">
        <f t="shared" si="201"/>
        <v>0</v>
      </c>
      <c r="EJ130" s="118">
        <f t="shared" si="202"/>
        <v>0</v>
      </c>
      <c r="EK130" s="118">
        <f t="shared" si="203"/>
        <v>0</v>
      </c>
      <c r="EL130" s="118">
        <f t="shared" si="204"/>
        <v>0</v>
      </c>
      <c r="EM130" s="118">
        <f t="shared" si="205"/>
        <v>0</v>
      </c>
      <c r="EN130" s="118">
        <f t="shared" si="206"/>
        <v>0</v>
      </c>
      <c r="EO130" s="118">
        <f t="shared" si="207"/>
        <v>0</v>
      </c>
      <c r="EP130" s="118">
        <f t="shared" si="208"/>
        <v>0</v>
      </c>
      <c r="EQ130" s="118">
        <f t="shared" si="209"/>
        <v>0</v>
      </c>
      <c r="ER130" s="118">
        <f t="shared" si="210"/>
        <v>0</v>
      </c>
      <c r="ES130" s="118">
        <f t="shared" si="211"/>
        <v>0</v>
      </c>
      <c r="ET130" s="177">
        <f t="shared" si="212"/>
        <v>0</v>
      </c>
      <c r="EU130" s="72"/>
      <c r="EV130" s="117">
        <f t="shared" si="213"/>
        <v>4034.5468695529757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4"/>
        <v>0</v>
      </c>
    </row>
    <row r="131" spans="109:193">
      <c r="DE131" s="117">
        <f t="shared" si="171"/>
        <v>4155.5832756395648</v>
      </c>
      <c r="DF131" s="118">
        <f t="shared" si="172"/>
        <v>0</v>
      </c>
      <c r="DG131" s="118">
        <f t="shared" si="173"/>
        <v>0</v>
      </c>
      <c r="DH131" s="118">
        <f t="shared" si="174"/>
        <v>0</v>
      </c>
      <c r="DI131" s="118">
        <f t="shared" si="175"/>
        <v>0</v>
      </c>
      <c r="DJ131" s="118">
        <f t="shared" si="176"/>
        <v>0</v>
      </c>
      <c r="DK131" s="118">
        <f t="shared" si="177"/>
        <v>0</v>
      </c>
      <c r="DL131" s="118">
        <f t="shared" si="178"/>
        <v>0</v>
      </c>
      <c r="DM131" s="118">
        <f t="shared" si="179"/>
        <v>0</v>
      </c>
      <c r="DN131" s="118">
        <f t="shared" si="180"/>
        <v>0</v>
      </c>
      <c r="DO131" s="118">
        <f t="shared" si="181"/>
        <v>0</v>
      </c>
      <c r="DP131" s="118">
        <f t="shared" si="182"/>
        <v>0</v>
      </c>
      <c r="DQ131" s="118">
        <f t="shared" si="183"/>
        <v>0</v>
      </c>
      <c r="DR131" s="118">
        <f t="shared" si="184"/>
        <v>0</v>
      </c>
      <c r="DS131" s="118">
        <f t="shared" si="185"/>
        <v>0</v>
      </c>
      <c r="DT131" s="118">
        <f t="shared" si="186"/>
        <v>0</v>
      </c>
      <c r="DU131" s="118">
        <f t="shared" si="187"/>
        <v>0</v>
      </c>
      <c r="DV131" s="118">
        <f t="shared" si="188"/>
        <v>0</v>
      </c>
      <c r="DW131" s="118">
        <f t="shared" si="189"/>
        <v>0</v>
      </c>
      <c r="DX131" s="118">
        <f t="shared" si="190"/>
        <v>0</v>
      </c>
      <c r="DY131" s="118">
        <f t="shared" si="191"/>
        <v>0</v>
      </c>
      <c r="DZ131" s="118">
        <f t="shared" si="192"/>
        <v>0</v>
      </c>
      <c r="EA131" s="118">
        <f t="shared" si="193"/>
        <v>0</v>
      </c>
      <c r="EB131" s="118">
        <f t="shared" si="194"/>
        <v>0</v>
      </c>
      <c r="EC131" s="118">
        <f t="shared" si="195"/>
        <v>0</v>
      </c>
      <c r="ED131" s="118">
        <f t="shared" si="196"/>
        <v>0</v>
      </c>
      <c r="EE131" s="118">
        <f t="shared" si="197"/>
        <v>0</v>
      </c>
      <c r="EF131" s="118">
        <f t="shared" si="198"/>
        <v>0</v>
      </c>
      <c r="EG131" s="118">
        <f t="shared" si="199"/>
        <v>0</v>
      </c>
      <c r="EH131" s="118">
        <f t="shared" si="200"/>
        <v>0</v>
      </c>
      <c r="EI131" s="118">
        <f t="shared" si="201"/>
        <v>0</v>
      </c>
      <c r="EJ131" s="118">
        <f t="shared" si="202"/>
        <v>0</v>
      </c>
      <c r="EK131" s="118">
        <f t="shared" si="203"/>
        <v>0</v>
      </c>
      <c r="EL131" s="118">
        <f t="shared" si="204"/>
        <v>0</v>
      </c>
      <c r="EM131" s="118">
        <f t="shared" si="205"/>
        <v>0</v>
      </c>
      <c r="EN131" s="118">
        <f t="shared" si="206"/>
        <v>0</v>
      </c>
      <c r="EO131" s="118">
        <f t="shared" si="207"/>
        <v>0</v>
      </c>
      <c r="EP131" s="118">
        <f t="shared" si="208"/>
        <v>0</v>
      </c>
      <c r="EQ131" s="118">
        <f t="shared" si="209"/>
        <v>0</v>
      </c>
      <c r="ER131" s="118">
        <f t="shared" si="210"/>
        <v>0</v>
      </c>
      <c r="ES131" s="118">
        <f t="shared" si="211"/>
        <v>0</v>
      </c>
      <c r="ET131" s="177">
        <f t="shared" si="212"/>
        <v>0</v>
      </c>
      <c r="EU131" s="72"/>
      <c r="EV131" s="117">
        <f t="shared" si="213"/>
        <v>4155.5832756395648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4"/>
        <v>0</v>
      </c>
    </row>
    <row r="132" spans="109:193">
      <c r="DE132" s="117">
        <f t="shared" si="171"/>
        <v>4280.2507739087523</v>
      </c>
      <c r="DF132" s="118">
        <f t="shared" si="172"/>
        <v>0</v>
      </c>
      <c r="DG132" s="118">
        <f t="shared" si="173"/>
        <v>0</v>
      </c>
      <c r="DH132" s="118">
        <f t="shared" si="174"/>
        <v>0</v>
      </c>
      <c r="DI132" s="118">
        <f t="shared" si="175"/>
        <v>0</v>
      </c>
      <c r="DJ132" s="118">
        <f t="shared" si="176"/>
        <v>0</v>
      </c>
      <c r="DK132" s="118">
        <f t="shared" si="177"/>
        <v>0</v>
      </c>
      <c r="DL132" s="118">
        <f t="shared" si="178"/>
        <v>0</v>
      </c>
      <c r="DM132" s="118">
        <f t="shared" si="179"/>
        <v>0</v>
      </c>
      <c r="DN132" s="118">
        <f t="shared" si="180"/>
        <v>0</v>
      </c>
      <c r="DO132" s="118">
        <f t="shared" si="181"/>
        <v>0</v>
      </c>
      <c r="DP132" s="118">
        <f t="shared" si="182"/>
        <v>0</v>
      </c>
      <c r="DQ132" s="118">
        <f t="shared" si="183"/>
        <v>0</v>
      </c>
      <c r="DR132" s="118">
        <f t="shared" si="184"/>
        <v>0</v>
      </c>
      <c r="DS132" s="118">
        <f t="shared" si="185"/>
        <v>0</v>
      </c>
      <c r="DT132" s="118">
        <f t="shared" si="186"/>
        <v>0</v>
      </c>
      <c r="DU132" s="118">
        <f t="shared" si="187"/>
        <v>0</v>
      </c>
      <c r="DV132" s="118">
        <f t="shared" si="188"/>
        <v>0</v>
      </c>
      <c r="DW132" s="118">
        <f t="shared" si="189"/>
        <v>0</v>
      </c>
      <c r="DX132" s="118">
        <f t="shared" si="190"/>
        <v>0</v>
      </c>
      <c r="DY132" s="118">
        <f t="shared" si="191"/>
        <v>0</v>
      </c>
      <c r="DZ132" s="118">
        <f t="shared" si="192"/>
        <v>0</v>
      </c>
      <c r="EA132" s="118">
        <f t="shared" si="193"/>
        <v>0</v>
      </c>
      <c r="EB132" s="118">
        <f t="shared" si="194"/>
        <v>0</v>
      </c>
      <c r="EC132" s="118">
        <f t="shared" si="195"/>
        <v>0</v>
      </c>
      <c r="ED132" s="118">
        <f t="shared" si="196"/>
        <v>0</v>
      </c>
      <c r="EE132" s="118">
        <f t="shared" si="197"/>
        <v>0</v>
      </c>
      <c r="EF132" s="118">
        <f t="shared" si="198"/>
        <v>0</v>
      </c>
      <c r="EG132" s="118">
        <f t="shared" si="199"/>
        <v>0</v>
      </c>
      <c r="EH132" s="118">
        <f t="shared" si="200"/>
        <v>0</v>
      </c>
      <c r="EI132" s="118">
        <f t="shared" si="201"/>
        <v>0</v>
      </c>
      <c r="EJ132" s="118">
        <f t="shared" si="202"/>
        <v>0</v>
      </c>
      <c r="EK132" s="118">
        <f t="shared" si="203"/>
        <v>0</v>
      </c>
      <c r="EL132" s="118">
        <f t="shared" si="204"/>
        <v>0</v>
      </c>
      <c r="EM132" s="118">
        <f t="shared" si="205"/>
        <v>0</v>
      </c>
      <c r="EN132" s="118">
        <f t="shared" si="206"/>
        <v>0</v>
      </c>
      <c r="EO132" s="118">
        <f t="shared" si="207"/>
        <v>0</v>
      </c>
      <c r="EP132" s="118">
        <f t="shared" si="208"/>
        <v>0</v>
      </c>
      <c r="EQ132" s="118">
        <f t="shared" si="209"/>
        <v>0</v>
      </c>
      <c r="ER132" s="118">
        <f t="shared" si="210"/>
        <v>0</v>
      </c>
      <c r="ES132" s="118">
        <f t="shared" si="211"/>
        <v>0</v>
      </c>
      <c r="ET132" s="177">
        <f t="shared" si="212"/>
        <v>0</v>
      </c>
      <c r="EU132" s="72"/>
      <c r="EV132" s="117">
        <f t="shared" si="213"/>
        <v>4280.2507739087523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4"/>
        <v>0</v>
      </c>
    </row>
    <row r="133" spans="109:193">
      <c r="DE133" s="117">
        <f t="shared" si="171"/>
        <v>4408.658297126015</v>
      </c>
      <c r="DF133" s="118">
        <f t="shared" si="172"/>
        <v>0</v>
      </c>
      <c r="DG133" s="118">
        <f t="shared" si="173"/>
        <v>0</v>
      </c>
      <c r="DH133" s="118">
        <f t="shared" si="174"/>
        <v>0</v>
      </c>
      <c r="DI133" s="118">
        <f t="shared" si="175"/>
        <v>0</v>
      </c>
      <c r="DJ133" s="118">
        <f t="shared" si="176"/>
        <v>0</v>
      </c>
      <c r="DK133" s="118">
        <f t="shared" si="177"/>
        <v>0</v>
      </c>
      <c r="DL133" s="118">
        <f t="shared" si="178"/>
        <v>0</v>
      </c>
      <c r="DM133" s="118">
        <f t="shared" si="179"/>
        <v>0</v>
      </c>
      <c r="DN133" s="118">
        <f t="shared" si="180"/>
        <v>0</v>
      </c>
      <c r="DO133" s="118">
        <f t="shared" si="181"/>
        <v>0</v>
      </c>
      <c r="DP133" s="118">
        <f t="shared" si="182"/>
        <v>0</v>
      </c>
      <c r="DQ133" s="118">
        <f t="shared" si="183"/>
        <v>0</v>
      </c>
      <c r="DR133" s="118">
        <f t="shared" si="184"/>
        <v>0</v>
      </c>
      <c r="DS133" s="118">
        <f t="shared" si="185"/>
        <v>0</v>
      </c>
      <c r="DT133" s="118">
        <f t="shared" si="186"/>
        <v>0</v>
      </c>
      <c r="DU133" s="118">
        <f t="shared" si="187"/>
        <v>0</v>
      </c>
      <c r="DV133" s="118">
        <f t="shared" si="188"/>
        <v>0</v>
      </c>
      <c r="DW133" s="118">
        <f t="shared" si="189"/>
        <v>0</v>
      </c>
      <c r="DX133" s="118">
        <f t="shared" si="190"/>
        <v>0</v>
      </c>
      <c r="DY133" s="118">
        <f t="shared" si="191"/>
        <v>0</v>
      </c>
      <c r="DZ133" s="118">
        <f t="shared" si="192"/>
        <v>0</v>
      </c>
      <c r="EA133" s="118">
        <f t="shared" si="193"/>
        <v>0</v>
      </c>
      <c r="EB133" s="118">
        <f t="shared" si="194"/>
        <v>0</v>
      </c>
      <c r="EC133" s="118">
        <f t="shared" si="195"/>
        <v>0</v>
      </c>
      <c r="ED133" s="118">
        <f t="shared" si="196"/>
        <v>0</v>
      </c>
      <c r="EE133" s="118">
        <f t="shared" si="197"/>
        <v>0</v>
      </c>
      <c r="EF133" s="118">
        <f t="shared" si="198"/>
        <v>0</v>
      </c>
      <c r="EG133" s="118">
        <f t="shared" si="199"/>
        <v>0</v>
      </c>
      <c r="EH133" s="118">
        <f t="shared" si="200"/>
        <v>0</v>
      </c>
      <c r="EI133" s="118">
        <f t="shared" si="201"/>
        <v>0</v>
      </c>
      <c r="EJ133" s="118">
        <f t="shared" si="202"/>
        <v>0</v>
      </c>
      <c r="EK133" s="118">
        <f t="shared" si="203"/>
        <v>0</v>
      </c>
      <c r="EL133" s="118">
        <f t="shared" si="204"/>
        <v>0</v>
      </c>
      <c r="EM133" s="118">
        <f t="shared" si="205"/>
        <v>0</v>
      </c>
      <c r="EN133" s="118">
        <f t="shared" si="206"/>
        <v>0</v>
      </c>
      <c r="EO133" s="118">
        <f t="shared" si="207"/>
        <v>0</v>
      </c>
      <c r="EP133" s="118">
        <f t="shared" si="208"/>
        <v>0</v>
      </c>
      <c r="EQ133" s="118">
        <f t="shared" si="209"/>
        <v>0</v>
      </c>
      <c r="ER133" s="118">
        <f t="shared" si="210"/>
        <v>0</v>
      </c>
      <c r="ES133" s="118">
        <f t="shared" si="211"/>
        <v>0</v>
      </c>
      <c r="ET133" s="177">
        <f t="shared" si="212"/>
        <v>0</v>
      </c>
      <c r="EU133" s="72"/>
      <c r="EV133" s="117">
        <f t="shared" si="213"/>
        <v>4408.658297126015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4"/>
        <v>0</v>
      </c>
    </row>
    <row r="134" spans="109:193">
      <c r="DE134" s="167">
        <f t="shared" si="171"/>
        <v>4540.9180460397956</v>
      </c>
      <c r="DF134" s="168">
        <f t="shared" si="172"/>
        <v>0</v>
      </c>
      <c r="DG134" s="168">
        <f t="shared" si="173"/>
        <v>0</v>
      </c>
      <c r="DH134" s="168">
        <f t="shared" si="174"/>
        <v>0</v>
      </c>
      <c r="DI134" s="168">
        <f t="shared" si="175"/>
        <v>0</v>
      </c>
      <c r="DJ134" s="168">
        <f t="shared" si="176"/>
        <v>0</v>
      </c>
      <c r="DK134" s="168">
        <f t="shared" si="177"/>
        <v>0</v>
      </c>
      <c r="DL134" s="168">
        <f t="shared" si="178"/>
        <v>0</v>
      </c>
      <c r="DM134" s="168">
        <f t="shared" si="179"/>
        <v>0</v>
      </c>
      <c r="DN134" s="168">
        <f t="shared" si="180"/>
        <v>0</v>
      </c>
      <c r="DO134" s="168">
        <f t="shared" si="181"/>
        <v>0</v>
      </c>
      <c r="DP134" s="168">
        <f t="shared" si="182"/>
        <v>0</v>
      </c>
      <c r="DQ134" s="168">
        <f t="shared" si="183"/>
        <v>0</v>
      </c>
      <c r="DR134" s="168">
        <f t="shared" si="184"/>
        <v>0</v>
      </c>
      <c r="DS134" s="168">
        <f t="shared" si="185"/>
        <v>0</v>
      </c>
      <c r="DT134" s="168">
        <f t="shared" si="186"/>
        <v>0</v>
      </c>
      <c r="DU134" s="168">
        <f t="shared" si="187"/>
        <v>0</v>
      </c>
      <c r="DV134" s="168">
        <f t="shared" si="188"/>
        <v>0</v>
      </c>
      <c r="DW134" s="168">
        <f t="shared" si="189"/>
        <v>0</v>
      </c>
      <c r="DX134" s="168">
        <f t="shared" si="190"/>
        <v>0</v>
      </c>
      <c r="DY134" s="168">
        <f t="shared" si="191"/>
        <v>0</v>
      </c>
      <c r="DZ134" s="168">
        <f t="shared" si="192"/>
        <v>0</v>
      </c>
      <c r="EA134" s="168">
        <f t="shared" si="193"/>
        <v>0</v>
      </c>
      <c r="EB134" s="168">
        <f t="shared" si="194"/>
        <v>0</v>
      </c>
      <c r="EC134" s="168">
        <f t="shared" si="195"/>
        <v>0</v>
      </c>
      <c r="ED134" s="168">
        <f t="shared" si="196"/>
        <v>0</v>
      </c>
      <c r="EE134" s="168">
        <f t="shared" si="197"/>
        <v>0</v>
      </c>
      <c r="EF134" s="168">
        <f t="shared" si="198"/>
        <v>0</v>
      </c>
      <c r="EG134" s="168">
        <f t="shared" si="199"/>
        <v>0</v>
      </c>
      <c r="EH134" s="168">
        <f t="shared" si="200"/>
        <v>0</v>
      </c>
      <c r="EI134" s="168">
        <f t="shared" si="201"/>
        <v>0</v>
      </c>
      <c r="EJ134" s="168">
        <f t="shared" si="202"/>
        <v>0</v>
      </c>
      <c r="EK134" s="168">
        <f t="shared" si="203"/>
        <v>0</v>
      </c>
      <c r="EL134" s="168">
        <f t="shared" si="204"/>
        <v>0</v>
      </c>
      <c r="EM134" s="168">
        <f t="shared" si="205"/>
        <v>0</v>
      </c>
      <c r="EN134" s="168">
        <f t="shared" si="206"/>
        <v>0</v>
      </c>
      <c r="EO134" s="168">
        <f t="shared" si="207"/>
        <v>0</v>
      </c>
      <c r="EP134" s="168">
        <f t="shared" si="208"/>
        <v>0</v>
      </c>
      <c r="EQ134" s="168">
        <f t="shared" si="209"/>
        <v>0</v>
      </c>
      <c r="ER134" s="168">
        <f t="shared" si="210"/>
        <v>0</v>
      </c>
      <c r="ES134" s="168">
        <f t="shared" si="211"/>
        <v>0</v>
      </c>
      <c r="ET134" s="191">
        <f t="shared" si="212"/>
        <v>0</v>
      </c>
      <c r="EU134" s="72"/>
      <c r="EV134" s="167">
        <f t="shared" si="213"/>
        <v>4540.9180460397956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4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956" priority="453">
      <formula>AC3&gt;0</formula>
    </cfRule>
  </conditionalFormatting>
  <conditionalFormatting sqref="AD3 AD27:AD42">
    <cfRule type="expression" dxfId="955" priority="454">
      <formula>AC3&lt;0</formula>
    </cfRule>
  </conditionalFormatting>
  <conditionalFormatting sqref="M3:N34">
    <cfRule type="cellIs" dxfId="954" priority="455" operator="greaterThan">
      <formula>0</formula>
    </cfRule>
  </conditionalFormatting>
  <conditionalFormatting sqref="M3:N34">
    <cfRule type="cellIs" dxfId="953" priority="456" operator="lessThan">
      <formula>0</formula>
    </cfRule>
  </conditionalFormatting>
  <conditionalFormatting sqref="B73:B74 B17:B18 B20:B30 AC3:AC17">
    <cfRule type="cellIs" dxfId="952" priority="457" operator="greaterThan">
      <formula>0</formula>
    </cfRule>
  </conditionalFormatting>
  <conditionalFormatting sqref="B73:B74 B17:B18 B20:B30 AC3:AC17">
    <cfRule type="cellIs" dxfId="951" priority="458" operator="lessThan">
      <formula>0</formula>
    </cfRule>
  </conditionalFormatting>
  <conditionalFormatting sqref="BA61:BA76">
    <cfRule type="cellIs" dxfId="950" priority="459" operator="greaterThan">
      <formula>0</formula>
    </cfRule>
  </conditionalFormatting>
  <conditionalFormatting sqref="BA61:BA76">
    <cfRule type="cellIs" dxfId="949" priority="460" operator="lessThan">
      <formula>0</formula>
    </cfRule>
  </conditionalFormatting>
  <conditionalFormatting sqref="BA6:BA8">
    <cfRule type="cellIs" dxfId="948" priority="461" operator="greaterThan">
      <formula>0</formula>
    </cfRule>
  </conditionalFormatting>
  <conditionalFormatting sqref="BA6:BA8">
    <cfRule type="cellIs" dxfId="947" priority="462" operator="lessThan">
      <formula>0</formula>
    </cfRule>
  </conditionalFormatting>
  <conditionalFormatting sqref="B43 B17:B18 B41 B20:B30 Q3 AC3:AC42">
    <cfRule type="cellIs" dxfId="946" priority="463" operator="greaterThan">
      <formula>0</formula>
    </cfRule>
  </conditionalFormatting>
  <conditionalFormatting sqref="B43 B17:B18 B41 B20:B30 Q3 AC3:AC42">
    <cfRule type="cellIs" dxfId="945" priority="464" operator="lessThan">
      <formula>0</formula>
    </cfRule>
  </conditionalFormatting>
  <conditionalFormatting sqref="B30">
    <cfRule type="cellIs" dxfId="944" priority="465" operator="greaterThan">
      <formula>0</formula>
    </cfRule>
  </conditionalFormatting>
  <conditionalFormatting sqref="B30">
    <cfRule type="cellIs" dxfId="943" priority="466" operator="lessThan">
      <formula>0</formula>
    </cfRule>
  </conditionalFormatting>
  <conditionalFormatting sqref="B75">
    <cfRule type="cellIs" dxfId="942" priority="467" operator="greaterThan">
      <formula>0</formula>
    </cfRule>
  </conditionalFormatting>
  <conditionalFormatting sqref="B75">
    <cfRule type="cellIs" dxfId="941" priority="468" operator="lessThan">
      <formula>0</formula>
    </cfRule>
  </conditionalFormatting>
  <conditionalFormatting sqref="BA9">
    <cfRule type="cellIs" dxfId="940" priority="469" operator="greaterThan">
      <formula>0</formula>
    </cfRule>
  </conditionalFormatting>
  <conditionalFormatting sqref="BA9">
    <cfRule type="cellIs" dxfId="939" priority="470" operator="lessThan">
      <formula>0</formula>
    </cfRule>
  </conditionalFormatting>
  <conditionalFormatting sqref="AU14:AU16">
    <cfRule type="cellIs" dxfId="938" priority="471" operator="greaterThan">
      <formula>0</formula>
    </cfRule>
  </conditionalFormatting>
  <conditionalFormatting sqref="AU14:AU16">
    <cfRule type="cellIs" dxfId="937" priority="472" operator="lessThan">
      <formula>0</formula>
    </cfRule>
  </conditionalFormatting>
  <conditionalFormatting sqref="AU28">
    <cfRule type="cellIs" dxfId="936" priority="473" operator="greaterThan">
      <formula>0</formula>
    </cfRule>
  </conditionalFormatting>
  <conditionalFormatting sqref="AU28">
    <cfRule type="cellIs" dxfId="935" priority="474" operator="lessThan">
      <formula>0</formula>
    </cfRule>
  </conditionalFormatting>
  <conditionalFormatting sqref="BA27">
    <cfRule type="cellIs" dxfId="934" priority="475" operator="greaterThan">
      <formula>0</formula>
    </cfRule>
  </conditionalFormatting>
  <conditionalFormatting sqref="BA27">
    <cfRule type="cellIs" dxfId="933" priority="476" operator="lessThan">
      <formula>0</formula>
    </cfRule>
  </conditionalFormatting>
  <conditionalFormatting sqref="BA22">
    <cfRule type="cellIs" dxfId="932" priority="477" operator="greaterThan">
      <formula>0</formula>
    </cfRule>
  </conditionalFormatting>
  <conditionalFormatting sqref="BA22">
    <cfRule type="cellIs" dxfId="931" priority="478" operator="lessThan">
      <formula>0</formula>
    </cfRule>
  </conditionalFormatting>
  <conditionalFormatting sqref="AU16:AU42">
    <cfRule type="cellIs" dxfId="930" priority="479" operator="greaterThan">
      <formula>0</formula>
    </cfRule>
  </conditionalFormatting>
  <conditionalFormatting sqref="AU16:AU42">
    <cfRule type="cellIs" dxfId="929" priority="480" operator="lessThan">
      <formula>0</formula>
    </cfRule>
  </conditionalFormatting>
  <conditionalFormatting sqref="AU24:AU27">
    <cfRule type="cellIs" dxfId="928" priority="481" operator="greaterThan">
      <formula>0</formula>
    </cfRule>
  </conditionalFormatting>
  <conditionalFormatting sqref="AU24:AU27">
    <cfRule type="cellIs" dxfId="927" priority="482" operator="lessThan">
      <formula>0</formula>
    </cfRule>
  </conditionalFormatting>
  <conditionalFormatting sqref="BA10:BA11 BA16:BA18 BA20:BA42">
    <cfRule type="cellIs" dxfId="926" priority="483" operator="greaterThan">
      <formula>0</formula>
    </cfRule>
  </conditionalFormatting>
  <conditionalFormatting sqref="BA10:BA11 BA16:BA18 BA20:BA42">
    <cfRule type="cellIs" dxfId="925" priority="484" operator="lessThan">
      <formula>0</formula>
    </cfRule>
  </conditionalFormatting>
  <conditionalFormatting sqref="BA12:BA15">
    <cfRule type="cellIs" dxfId="924" priority="485" operator="greaterThan">
      <formula>0</formula>
    </cfRule>
  </conditionalFormatting>
  <conditionalFormatting sqref="BA12:BA15">
    <cfRule type="cellIs" dxfId="923" priority="486" operator="lessThan">
      <formula>0</formula>
    </cfRule>
  </conditionalFormatting>
  <conditionalFormatting sqref="BA19">
    <cfRule type="cellIs" dxfId="922" priority="487" operator="greaterThan">
      <formula>0</formula>
    </cfRule>
  </conditionalFormatting>
  <conditionalFormatting sqref="BA19">
    <cfRule type="cellIs" dxfId="921" priority="488" operator="lessThan">
      <formula>0</formula>
    </cfRule>
  </conditionalFormatting>
  <conditionalFormatting sqref="AU29:AU36">
    <cfRule type="cellIs" dxfId="920" priority="489" operator="greaterThan">
      <formula>0</formula>
    </cfRule>
  </conditionalFormatting>
  <conditionalFormatting sqref="AU29:AU36">
    <cfRule type="cellIs" dxfId="919" priority="490" operator="lessThan">
      <formula>0</formula>
    </cfRule>
  </conditionalFormatting>
  <conditionalFormatting sqref="BA23:BA24">
    <cfRule type="cellIs" dxfId="918" priority="491" operator="greaterThan">
      <formula>0</formula>
    </cfRule>
  </conditionalFormatting>
  <conditionalFormatting sqref="BA23:BA24">
    <cfRule type="cellIs" dxfId="917" priority="492" operator="lessThan">
      <formula>0</formula>
    </cfRule>
  </conditionalFormatting>
  <conditionalFormatting sqref="BA25:BA26">
    <cfRule type="cellIs" dxfId="916" priority="493" operator="greaterThan">
      <formula>0</formula>
    </cfRule>
  </conditionalFormatting>
  <conditionalFormatting sqref="BA25:BA26">
    <cfRule type="cellIs" dxfId="915" priority="494" operator="lessThan">
      <formula>0</formula>
    </cfRule>
  </conditionalFormatting>
  <conditionalFormatting sqref="AU61:AU76">
    <cfRule type="cellIs" dxfId="914" priority="495" operator="greaterThan">
      <formula>0</formula>
    </cfRule>
  </conditionalFormatting>
  <conditionalFormatting sqref="AU61:AU76">
    <cfRule type="cellIs" dxfId="913" priority="496" operator="lessThan">
      <formula>0</formula>
    </cfRule>
  </conditionalFormatting>
  <conditionalFormatting sqref="AU50:AU53 AU55:AU68">
    <cfRule type="cellIs" dxfId="912" priority="497" operator="greaterThan">
      <formula>0</formula>
    </cfRule>
  </conditionalFormatting>
  <conditionalFormatting sqref="AU50:AU53 AU55:AU68">
    <cfRule type="cellIs" dxfId="911" priority="498" operator="lessThan">
      <formula>0</formula>
    </cfRule>
  </conditionalFormatting>
  <conditionalFormatting sqref="AU50">
    <cfRule type="cellIs" dxfId="910" priority="499" operator="greaterThan">
      <formula>0</formula>
    </cfRule>
  </conditionalFormatting>
  <conditionalFormatting sqref="AU50">
    <cfRule type="cellIs" dxfId="909" priority="500" operator="lessThan">
      <formula>0</formula>
    </cfRule>
  </conditionalFormatting>
  <conditionalFormatting sqref="AU70">
    <cfRule type="cellIs" dxfId="908" priority="501" operator="greaterThan">
      <formula>0</formula>
    </cfRule>
  </conditionalFormatting>
  <conditionalFormatting sqref="AU70">
    <cfRule type="cellIs" dxfId="907" priority="502" operator="lessThan">
      <formula>0</formula>
    </cfRule>
  </conditionalFormatting>
  <conditionalFormatting sqref="AU35:AU47 AU50">
    <cfRule type="cellIs" dxfId="906" priority="503" operator="greaterThan">
      <formula>0</formula>
    </cfRule>
  </conditionalFormatting>
  <conditionalFormatting sqref="AU35:AU47 AU50">
    <cfRule type="cellIs" dxfId="905" priority="504" operator="lessThan">
      <formula>0</formula>
    </cfRule>
  </conditionalFormatting>
  <conditionalFormatting sqref="AU43:AU47 AU50">
    <cfRule type="cellIs" dxfId="904" priority="505" operator="greaterThan">
      <formula>0</formula>
    </cfRule>
  </conditionalFormatting>
  <conditionalFormatting sqref="AU43:AU47 AU50">
    <cfRule type="cellIs" dxfId="903" priority="506" operator="lessThan">
      <formula>0</formula>
    </cfRule>
  </conditionalFormatting>
  <conditionalFormatting sqref="AU69">
    <cfRule type="cellIs" dxfId="902" priority="507" operator="greaterThan">
      <formula>0</formula>
    </cfRule>
  </conditionalFormatting>
  <conditionalFormatting sqref="AU69">
    <cfRule type="cellIs" dxfId="901" priority="508" operator="lessThan">
      <formula>0</formula>
    </cfRule>
  </conditionalFormatting>
  <conditionalFormatting sqref="AU59">
    <cfRule type="cellIs" dxfId="900" priority="509" operator="greaterThan">
      <formula>0</formula>
    </cfRule>
  </conditionalFormatting>
  <conditionalFormatting sqref="AU59">
    <cfRule type="cellIs" dxfId="899" priority="510" operator="lessThan">
      <formula>0</formula>
    </cfRule>
  </conditionalFormatting>
  <conditionalFormatting sqref="AU47:AU50">
    <cfRule type="cellIs" dxfId="898" priority="511" operator="greaterThan">
      <formula>0</formula>
    </cfRule>
  </conditionalFormatting>
  <conditionalFormatting sqref="AU47:AU50">
    <cfRule type="cellIs" dxfId="897" priority="512" operator="lessThan">
      <formula>0</formula>
    </cfRule>
  </conditionalFormatting>
  <conditionalFormatting sqref="AU59">
    <cfRule type="cellIs" dxfId="896" priority="513" operator="greaterThan">
      <formula>0</formula>
    </cfRule>
  </conditionalFormatting>
  <conditionalFormatting sqref="AU59">
    <cfRule type="cellIs" dxfId="895" priority="514" operator="lessThan">
      <formula>0</formula>
    </cfRule>
  </conditionalFormatting>
  <conditionalFormatting sqref="AU60">
    <cfRule type="cellIs" dxfId="894" priority="515" operator="greaterThan">
      <formula>0</formula>
    </cfRule>
  </conditionalFormatting>
  <conditionalFormatting sqref="AU60">
    <cfRule type="cellIs" dxfId="893" priority="516" operator="lessThan">
      <formula>0</formula>
    </cfRule>
  </conditionalFormatting>
  <conditionalFormatting sqref="AU61:AU63">
    <cfRule type="cellIs" dxfId="892" priority="517" operator="greaterThan">
      <formula>0</formula>
    </cfRule>
  </conditionalFormatting>
  <conditionalFormatting sqref="AU61:AU63">
    <cfRule type="cellIs" dxfId="891" priority="518" operator="lessThan">
      <formula>0</formula>
    </cfRule>
  </conditionalFormatting>
  <conditionalFormatting sqref="AU63">
    <cfRule type="cellIs" dxfId="890" priority="519" operator="greaterThan">
      <formula>0</formula>
    </cfRule>
  </conditionalFormatting>
  <conditionalFormatting sqref="AU63">
    <cfRule type="cellIs" dxfId="889" priority="520" operator="lessThan">
      <formula>0</formula>
    </cfRule>
  </conditionalFormatting>
  <conditionalFormatting sqref="AU64:AU65">
    <cfRule type="cellIs" dxfId="888" priority="521" operator="greaterThan">
      <formula>0</formula>
    </cfRule>
  </conditionalFormatting>
  <conditionalFormatting sqref="AU64:AU65">
    <cfRule type="cellIs" dxfId="887" priority="522" operator="lessThan">
      <formula>0</formula>
    </cfRule>
  </conditionalFormatting>
  <conditionalFormatting sqref="AU52:AU54">
    <cfRule type="cellIs" dxfId="886" priority="523" operator="greaterThan">
      <formula>0</formula>
    </cfRule>
  </conditionalFormatting>
  <conditionalFormatting sqref="AU52:AU54">
    <cfRule type="cellIs" dxfId="885" priority="524" operator="lessThan">
      <formula>0</formula>
    </cfRule>
  </conditionalFormatting>
  <conditionalFormatting sqref="AU65">
    <cfRule type="cellIs" dxfId="884" priority="525" operator="greaterThan">
      <formula>0</formula>
    </cfRule>
  </conditionalFormatting>
  <conditionalFormatting sqref="AU65">
    <cfRule type="cellIs" dxfId="883" priority="526" operator="lessThan">
      <formula>0</formula>
    </cfRule>
  </conditionalFormatting>
  <conditionalFormatting sqref="AU64">
    <cfRule type="cellIs" dxfId="882" priority="527" operator="greaterThan">
      <formula>0</formula>
    </cfRule>
  </conditionalFormatting>
  <conditionalFormatting sqref="AU64">
    <cfRule type="cellIs" dxfId="881" priority="528" operator="lessThan">
      <formula>0</formula>
    </cfRule>
  </conditionalFormatting>
  <conditionalFormatting sqref="AU54">
    <cfRule type="cellIs" dxfId="880" priority="529" operator="greaterThan">
      <formula>0</formula>
    </cfRule>
  </conditionalFormatting>
  <conditionalFormatting sqref="AU54">
    <cfRule type="cellIs" dxfId="879" priority="530" operator="lessThan">
      <formula>0</formula>
    </cfRule>
  </conditionalFormatting>
  <conditionalFormatting sqref="AU54">
    <cfRule type="cellIs" dxfId="878" priority="531" operator="greaterThan">
      <formula>0</formula>
    </cfRule>
  </conditionalFormatting>
  <conditionalFormatting sqref="AU54">
    <cfRule type="cellIs" dxfId="877" priority="532" operator="lessThan">
      <formula>0</formula>
    </cfRule>
  </conditionalFormatting>
  <conditionalFormatting sqref="AU55:AU68">
    <cfRule type="cellIs" dxfId="876" priority="533" operator="greaterThan">
      <formula>0</formula>
    </cfRule>
  </conditionalFormatting>
  <conditionalFormatting sqref="AU55:AU68">
    <cfRule type="cellIs" dxfId="875" priority="534" operator="lessThan">
      <formula>0</formula>
    </cfRule>
  </conditionalFormatting>
  <conditionalFormatting sqref="AU56:AU58">
    <cfRule type="cellIs" dxfId="874" priority="535" operator="greaterThan">
      <formula>0</formula>
    </cfRule>
  </conditionalFormatting>
  <conditionalFormatting sqref="AU56:AU58">
    <cfRule type="cellIs" dxfId="873" priority="536" operator="lessThan">
      <formula>0</formula>
    </cfRule>
  </conditionalFormatting>
  <conditionalFormatting sqref="AU58">
    <cfRule type="cellIs" dxfId="872" priority="537" operator="greaterThan">
      <formula>0</formula>
    </cfRule>
  </conditionalFormatting>
  <conditionalFormatting sqref="AU58">
    <cfRule type="cellIs" dxfId="871" priority="538" operator="lessThan">
      <formula>0</formula>
    </cfRule>
  </conditionalFormatting>
  <conditionalFormatting sqref="AU59:AU60">
    <cfRule type="cellIs" dxfId="870" priority="539" operator="greaterThan">
      <formula>0</formula>
    </cfRule>
  </conditionalFormatting>
  <conditionalFormatting sqref="AU59:AU60">
    <cfRule type="cellIs" dxfId="869" priority="540" operator="lessThan">
      <formula>0</formula>
    </cfRule>
  </conditionalFormatting>
  <conditionalFormatting sqref="BA28:BA29 BA34:BA36 BA38:BA68">
    <cfRule type="cellIs" dxfId="868" priority="541" operator="greaterThan">
      <formula>0</formula>
    </cfRule>
  </conditionalFormatting>
  <conditionalFormatting sqref="BA28:BA29 BA34:BA36 BA38:BA68">
    <cfRule type="cellIs" dxfId="867" priority="542" operator="lessThan">
      <formula>0</formula>
    </cfRule>
  </conditionalFormatting>
  <conditionalFormatting sqref="BA30:BA33">
    <cfRule type="cellIs" dxfId="866" priority="543" operator="greaterThan">
      <formula>0</formula>
    </cfRule>
  </conditionalFormatting>
  <conditionalFormatting sqref="BA30:BA33">
    <cfRule type="cellIs" dxfId="865" priority="544" operator="lessThan">
      <formula>0</formula>
    </cfRule>
  </conditionalFormatting>
  <conditionalFormatting sqref="BA57">
    <cfRule type="cellIs" dxfId="864" priority="545" operator="greaterThan">
      <formula>0</formula>
    </cfRule>
  </conditionalFormatting>
  <conditionalFormatting sqref="BA57">
    <cfRule type="cellIs" dxfId="863" priority="546" operator="lessThan">
      <formula>0</formula>
    </cfRule>
  </conditionalFormatting>
  <conditionalFormatting sqref="BA37">
    <cfRule type="cellIs" dxfId="862" priority="547" operator="greaterThan">
      <formula>0</formula>
    </cfRule>
  </conditionalFormatting>
  <conditionalFormatting sqref="BA37">
    <cfRule type="cellIs" dxfId="861" priority="548" operator="lessThan">
      <formula>0</formula>
    </cfRule>
  </conditionalFormatting>
  <conditionalFormatting sqref="AU5:AU14">
    <cfRule type="cellIs" dxfId="860" priority="549" operator="greaterThan">
      <formula>0</formula>
    </cfRule>
  </conditionalFormatting>
  <conditionalFormatting sqref="AU5:AU14">
    <cfRule type="cellIs" dxfId="859" priority="550" operator="lessThan">
      <formula>0</formula>
    </cfRule>
  </conditionalFormatting>
  <conditionalFormatting sqref="AU13">
    <cfRule type="cellIs" dxfId="858" priority="551" operator="greaterThan">
      <formula>0</formula>
    </cfRule>
  </conditionalFormatting>
  <conditionalFormatting sqref="AU13">
    <cfRule type="cellIs" dxfId="857" priority="552" operator="lessThan">
      <formula>0</formula>
    </cfRule>
  </conditionalFormatting>
  <conditionalFormatting sqref="B65:B72">
    <cfRule type="cellIs" dxfId="856" priority="553" operator="greaterThan">
      <formula>0</formula>
    </cfRule>
  </conditionalFormatting>
  <conditionalFormatting sqref="B65:B72">
    <cfRule type="cellIs" dxfId="855" priority="554" operator="lessThan">
      <formula>0</formula>
    </cfRule>
  </conditionalFormatting>
  <conditionalFormatting sqref="BG3:BG76">
    <cfRule type="cellIs" dxfId="854" priority="555" operator="greaterThan">
      <formula>0</formula>
    </cfRule>
  </conditionalFormatting>
  <conditionalFormatting sqref="BG3:BG76">
    <cfRule type="cellIs" dxfId="853" priority="556" operator="lessThan">
      <formula>0</formula>
    </cfRule>
  </conditionalFormatting>
  <conditionalFormatting sqref="AU21">
    <cfRule type="cellIs" dxfId="852" priority="557" operator="greaterThan">
      <formula>0</formula>
    </cfRule>
  </conditionalFormatting>
  <conditionalFormatting sqref="AU21">
    <cfRule type="cellIs" dxfId="851" priority="558" operator="lessThan">
      <formula>0</formula>
    </cfRule>
  </conditionalFormatting>
  <conditionalFormatting sqref="AU21">
    <cfRule type="cellIs" dxfId="850" priority="559" operator="greaterThan">
      <formula>0</formula>
    </cfRule>
  </conditionalFormatting>
  <conditionalFormatting sqref="AU21">
    <cfRule type="cellIs" dxfId="849" priority="560" operator="lessThan">
      <formula>0</formula>
    </cfRule>
  </conditionalFormatting>
  <conditionalFormatting sqref="AU14">
    <cfRule type="cellIs" dxfId="848" priority="561" operator="greaterThan">
      <formula>0</formula>
    </cfRule>
  </conditionalFormatting>
  <conditionalFormatting sqref="AU14">
    <cfRule type="cellIs" dxfId="847" priority="562" operator="lessThan">
      <formula>0</formula>
    </cfRule>
  </conditionalFormatting>
  <conditionalFormatting sqref="AU22">
    <cfRule type="cellIs" dxfId="846" priority="563" operator="greaterThan">
      <formula>0</formula>
    </cfRule>
  </conditionalFormatting>
  <conditionalFormatting sqref="AU22">
    <cfRule type="cellIs" dxfId="845" priority="564" operator="lessThan">
      <formula>0</formula>
    </cfRule>
  </conditionalFormatting>
  <conditionalFormatting sqref="AU22">
    <cfRule type="cellIs" dxfId="844" priority="565" operator="greaterThan">
      <formula>0</formula>
    </cfRule>
  </conditionalFormatting>
  <conditionalFormatting sqref="AU22">
    <cfRule type="cellIs" dxfId="843" priority="566" operator="lessThan">
      <formula>0</formula>
    </cfRule>
  </conditionalFormatting>
  <conditionalFormatting sqref="B64">
    <cfRule type="cellIs" dxfId="842" priority="567" operator="greaterThan">
      <formula>0</formula>
    </cfRule>
  </conditionalFormatting>
  <conditionalFormatting sqref="B64">
    <cfRule type="cellIs" dxfId="841" priority="568" operator="lessThan">
      <formula>0</formula>
    </cfRule>
  </conditionalFormatting>
  <conditionalFormatting sqref="B41 B43:B72 AC3:AC42">
    <cfRule type="cellIs" dxfId="840" priority="569" operator="greaterThan">
      <formula>0</formula>
    </cfRule>
  </conditionalFormatting>
  <conditionalFormatting sqref="B41 B43:B72 AC3:AC42">
    <cfRule type="cellIs" dxfId="839" priority="570" operator="lessThan">
      <formula>0</formula>
    </cfRule>
  </conditionalFormatting>
  <conditionalFormatting sqref="B41 B43:B72">
    <cfRule type="cellIs" dxfId="838" priority="571" operator="greaterThan">
      <formula>0</formula>
    </cfRule>
  </conditionalFormatting>
  <conditionalFormatting sqref="B41 B43:B72">
    <cfRule type="cellIs" dxfId="837" priority="572" operator="lessThan">
      <formula>0</formula>
    </cfRule>
  </conditionalFormatting>
  <conditionalFormatting sqref="B29">
    <cfRule type="cellIs" dxfId="836" priority="573" operator="greaterThan">
      <formula>0</formula>
    </cfRule>
  </conditionalFormatting>
  <conditionalFormatting sqref="B29">
    <cfRule type="cellIs" dxfId="835" priority="574" operator="lessThan">
      <formula>0</formula>
    </cfRule>
  </conditionalFormatting>
  <conditionalFormatting sqref="AU3">
    <cfRule type="cellIs" dxfId="834" priority="575" operator="greaterThan">
      <formula>0</formula>
    </cfRule>
  </conditionalFormatting>
  <conditionalFormatting sqref="AU3">
    <cfRule type="cellIs" dxfId="833" priority="576" operator="lessThan">
      <formula>0</formula>
    </cfRule>
  </conditionalFormatting>
  <conditionalFormatting sqref="AU4">
    <cfRule type="cellIs" dxfId="832" priority="577" operator="greaterThan">
      <formula>0</formula>
    </cfRule>
  </conditionalFormatting>
  <conditionalFormatting sqref="AU4">
    <cfRule type="cellIs" dxfId="831" priority="578" operator="lessThan">
      <formula>0</formula>
    </cfRule>
  </conditionalFormatting>
  <conditionalFormatting sqref="BA3">
    <cfRule type="cellIs" dxfId="830" priority="579" operator="greaterThan">
      <formula>0</formula>
    </cfRule>
  </conditionalFormatting>
  <conditionalFormatting sqref="BA3">
    <cfRule type="cellIs" dxfId="829" priority="580" operator="lessThan">
      <formula>0</formula>
    </cfRule>
  </conditionalFormatting>
  <conditionalFormatting sqref="Q3 AC3:AC42">
    <cfRule type="cellIs" dxfId="828" priority="581" operator="greaterThan">
      <formula>0</formula>
    </cfRule>
  </conditionalFormatting>
  <conditionalFormatting sqref="Q3 AC3:AC42">
    <cfRule type="cellIs" dxfId="827" priority="582" operator="lessThan">
      <formula>0</formula>
    </cfRule>
  </conditionalFormatting>
  <conditionalFormatting sqref="N37">
    <cfRule type="cellIs" dxfId="826" priority="583" operator="lessThan">
      <formula>0</formula>
    </cfRule>
  </conditionalFormatting>
  <conditionalFormatting sqref="N37">
    <cfRule type="cellIs" dxfId="825" priority="584" operator="greaterThan">
      <formula>0</formula>
    </cfRule>
  </conditionalFormatting>
  <conditionalFormatting sqref="I3:I37">
    <cfRule type="cellIs" dxfId="824" priority="451" operator="lessThan">
      <formula>0</formula>
    </cfRule>
    <cfRule type="cellIs" dxfId="823" priority="452" operator="greaterThan">
      <formula>0</formula>
    </cfRule>
  </conditionalFormatting>
  <conditionalFormatting sqref="I41:I72">
    <cfRule type="cellIs" dxfId="822" priority="449" operator="lessThan">
      <formula>0</formula>
    </cfRule>
    <cfRule type="cellIs" dxfId="821" priority="450" operator="greaterThan">
      <formula>0</formula>
    </cfRule>
  </conditionalFormatting>
  <conditionalFormatting sqref="I76">
    <cfRule type="cellIs" dxfId="820" priority="447" operator="lessThan">
      <formula>0</formula>
    </cfRule>
    <cfRule type="cellIs" dxfId="819" priority="448" operator="greaterThan">
      <formula>0</formula>
    </cfRule>
  </conditionalFormatting>
  <conditionalFormatting sqref="B5:B6">
    <cfRule type="cellIs" dxfId="818" priority="443" operator="greaterThan">
      <formula>0</formula>
    </cfRule>
  </conditionalFormatting>
  <conditionalFormatting sqref="B5:B6">
    <cfRule type="cellIs" dxfId="817" priority="444" operator="lessThan">
      <formula>0</formula>
    </cfRule>
  </conditionalFormatting>
  <conditionalFormatting sqref="B5:B6">
    <cfRule type="cellIs" dxfId="816" priority="445" operator="greaterThan">
      <formula>0</formula>
    </cfRule>
  </conditionalFormatting>
  <conditionalFormatting sqref="B5:B6">
    <cfRule type="cellIs" dxfId="815" priority="446" operator="lessThan">
      <formula>0</formula>
    </cfRule>
  </conditionalFormatting>
  <conditionalFormatting sqref="AB43">
    <cfRule type="cellIs" dxfId="814" priority="438" operator="greaterThan">
      <formula>0</formula>
    </cfRule>
  </conditionalFormatting>
  <conditionalFormatting sqref="AB43">
    <cfRule type="cellIs" dxfId="813" priority="439" operator="lessThan">
      <formula>0</formula>
    </cfRule>
  </conditionalFormatting>
  <conditionalFormatting sqref="N38">
    <cfRule type="cellIs" dxfId="812" priority="437" operator="lessThan">
      <formula>0</formula>
    </cfRule>
  </conditionalFormatting>
  <conditionalFormatting sqref="N39">
    <cfRule type="cellIs" dxfId="811" priority="436" operator="lessThan">
      <formula>0</formula>
    </cfRule>
  </conditionalFormatting>
  <conditionalFormatting sqref="AA3:AA42">
    <cfRule type="cellIs" dxfId="810" priority="434" operator="equal">
      <formula>0</formula>
    </cfRule>
  </conditionalFormatting>
  <conditionalFormatting sqref="B42">
    <cfRule type="cellIs" dxfId="809" priority="426" operator="greaterThan">
      <formula>0</formula>
    </cfRule>
  </conditionalFormatting>
  <conditionalFormatting sqref="B42">
    <cfRule type="cellIs" dxfId="808" priority="427" operator="lessThan">
      <formula>0</formula>
    </cfRule>
  </conditionalFormatting>
  <conditionalFormatting sqref="B42">
    <cfRule type="cellIs" dxfId="807" priority="428" operator="greaterThan">
      <formula>0</formula>
    </cfRule>
  </conditionalFormatting>
  <conditionalFormatting sqref="B42">
    <cfRule type="cellIs" dxfId="806" priority="429" operator="lessThan">
      <formula>0</formula>
    </cfRule>
  </conditionalFormatting>
  <conditionalFormatting sqref="B42">
    <cfRule type="cellIs" dxfId="805" priority="430" operator="greaterThan">
      <formula>0</formula>
    </cfRule>
  </conditionalFormatting>
  <conditionalFormatting sqref="B42">
    <cfRule type="cellIs" dxfId="804" priority="431" operator="lessThan">
      <formula>0</formula>
    </cfRule>
  </conditionalFormatting>
  <conditionalFormatting sqref="P3">
    <cfRule type="expression" dxfId="803" priority="425">
      <formula>$L$18-$R3&lt;0</formula>
    </cfRule>
  </conditionalFormatting>
  <conditionalFormatting sqref="P3">
    <cfRule type="expression" dxfId="802" priority="423">
      <formula>$L$18-$R3&gt;0</formula>
    </cfRule>
  </conditionalFormatting>
  <conditionalFormatting sqref="BA5">
    <cfRule type="cellIs" dxfId="801" priority="417" operator="greaterThan">
      <formula>0</formula>
    </cfRule>
  </conditionalFormatting>
  <conditionalFormatting sqref="BA5">
    <cfRule type="cellIs" dxfId="800" priority="418" operator="lessThan">
      <formula>0</formula>
    </cfRule>
  </conditionalFormatting>
  <conditionalFormatting sqref="BA4">
    <cfRule type="cellIs" dxfId="799" priority="415" operator="greaterThan">
      <formula>0</formula>
    </cfRule>
  </conditionalFormatting>
  <conditionalFormatting sqref="BA4">
    <cfRule type="cellIs" dxfId="798" priority="416" operator="lessThan">
      <formula>0</formula>
    </cfRule>
  </conditionalFormatting>
  <conditionalFormatting sqref="AB3:AB42">
    <cfRule type="expression" dxfId="797" priority="414">
      <formula>$L$18-$AD3&gt;0</formula>
    </cfRule>
  </conditionalFormatting>
  <conditionalFormatting sqref="AB3:AB42">
    <cfRule type="expression" dxfId="796" priority="413">
      <formula>$L$18-$AD3&lt;0</formula>
    </cfRule>
  </conditionalFormatting>
  <conditionalFormatting sqref="M3:M3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795" priority="411" operator="equal">
      <formula>0</formula>
    </cfRule>
  </conditionalFormatting>
  <conditionalFormatting sqref="B14">
    <cfRule type="cellIs" dxfId="794" priority="404" operator="greaterThan">
      <formula>0</formula>
    </cfRule>
  </conditionalFormatting>
  <conditionalFormatting sqref="B14">
    <cfRule type="cellIs" dxfId="793" priority="405" operator="lessThan">
      <formula>0</formula>
    </cfRule>
  </conditionalFormatting>
  <conditionalFormatting sqref="B14">
    <cfRule type="cellIs" dxfId="792" priority="406" operator="greaterThan">
      <formula>0</formula>
    </cfRule>
  </conditionalFormatting>
  <conditionalFormatting sqref="B14">
    <cfRule type="cellIs" dxfId="791" priority="407" operator="lessThan">
      <formula>0</formula>
    </cfRule>
  </conditionalFormatting>
  <conditionalFormatting sqref="B13">
    <cfRule type="cellIs" dxfId="790" priority="400" operator="greaterThan">
      <formula>0</formula>
    </cfRule>
  </conditionalFormatting>
  <conditionalFormatting sqref="B13">
    <cfRule type="cellIs" dxfId="789" priority="401" operator="lessThan">
      <formula>0</formula>
    </cfRule>
  </conditionalFormatting>
  <conditionalFormatting sqref="B13">
    <cfRule type="cellIs" dxfId="788" priority="402" operator="greaterThan">
      <formula>0</formula>
    </cfRule>
  </conditionalFormatting>
  <conditionalFormatting sqref="B13">
    <cfRule type="cellIs" dxfId="787" priority="403" operator="lessThan">
      <formula>0</formula>
    </cfRule>
  </conditionalFormatting>
  <conditionalFormatting sqref="B17:B18">
    <cfRule type="cellIs" dxfId="786" priority="396" operator="greaterThan">
      <formula>0</formula>
    </cfRule>
  </conditionalFormatting>
  <conditionalFormatting sqref="B17:B18">
    <cfRule type="cellIs" dxfId="785" priority="397" operator="lessThan">
      <formula>0</formula>
    </cfRule>
  </conditionalFormatting>
  <conditionalFormatting sqref="B17:B18">
    <cfRule type="cellIs" dxfId="784" priority="398" operator="greaterThan">
      <formula>0</formula>
    </cfRule>
  </conditionalFormatting>
  <conditionalFormatting sqref="B17:B18">
    <cfRule type="cellIs" dxfId="783" priority="399" operator="lessThan">
      <formula>0</formula>
    </cfRule>
  </conditionalFormatting>
  <conditionalFormatting sqref="B13:B14">
    <cfRule type="cellIs" dxfId="782" priority="392" operator="greaterThan">
      <formula>0</formula>
    </cfRule>
  </conditionalFormatting>
  <conditionalFormatting sqref="B13:B14">
    <cfRule type="cellIs" dxfId="781" priority="393" operator="lessThan">
      <formula>0</formula>
    </cfRule>
  </conditionalFormatting>
  <conditionalFormatting sqref="B13:B14">
    <cfRule type="cellIs" dxfId="780" priority="394" operator="greaterThan">
      <formula>0</formula>
    </cfRule>
  </conditionalFormatting>
  <conditionalFormatting sqref="B13:B14">
    <cfRule type="cellIs" dxfId="779" priority="395" operator="lessThan">
      <formula>0</formula>
    </cfRule>
  </conditionalFormatting>
  <conditionalFormatting sqref="B5:B6">
    <cfRule type="cellIs" dxfId="778" priority="388" operator="greaterThan">
      <formula>0</formula>
    </cfRule>
  </conditionalFormatting>
  <conditionalFormatting sqref="B5:B6">
    <cfRule type="cellIs" dxfId="777" priority="389" operator="lessThan">
      <formula>0</formula>
    </cfRule>
  </conditionalFormatting>
  <conditionalFormatting sqref="B5:B6">
    <cfRule type="cellIs" dxfId="776" priority="390" operator="greaterThan">
      <formula>0</formula>
    </cfRule>
  </conditionalFormatting>
  <conditionalFormatting sqref="B5:B6">
    <cfRule type="cellIs" dxfId="775" priority="391" operator="lessThan">
      <formula>0</formula>
    </cfRule>
  </conditionalFormatting>
  <conditionalFormatting sqref="B12">
    <cfRule type="cellIs" dxfId="774" priority="328" operator="greaterThan">
      <formula>0</formula>
    </cfRule>
  </conditionalFormatting>
  <conditionalFormatting sqref="B12">
    <cfRule type="cellIs" dxfId="773" priority="329" operator="lessThan">
      <formula>0</formula>
    </cfRule>
  </conditionalFormatting>
  <conditionalFormatting sqref="B12">
    <cfRule type="cellIs" dxfId="772" priority="330" operator="greaterThan">
      <formula>0</formula>
    </cfRule>
  </conditionalFormatting>
  <conditionalFormatting sqref="B12">
    <cfRule type="cellIs" dxfId="771" priority="331" operator="lessThan">
      <formula>0</formula>
    </cfRule>
  </conditionalFormatting>
  <conditionalFormatting sqref="B15:B16">
    <cfRule type="cellIs" dxfId="770" priority="384" operator="greaterThan">
      <formula>0</formula>
    </cfRule>
  </conditionalFormatting>
  <conditionalFormatting sqref="B15:B16">
    <cfRule type="cellIs" dxfId="769" priority="385" operator="lessThan">
      <formula>0</formula>
    </cfRule>
  </conditionalFormatting>
  <conditionalFormatting sqref="B15:B16">
    <cfRule type="cellIs" dxfId="768" priority="386" operator="greaterThan">
      <formula>0</formula>
    </cfRule>
  </conditionalFormatting>
  <conditionalFormatting sqref="B15:B16">
    <cfRule type="cellIs" dxfId="767" priority="387" operator="lessThan">
      <formula>0</formula>
    </cfRule>
  </conditionalFormatting>
  <conditionalFormatting sqref="B16">
    <cfRule type="cellIs" dxfId="766" priority="380" operator="greaterThan">
      <formula>0</formula>
    </cfRule>
  </conditionalFormatting>
  <conditionalFormatting sqref="B16">
    <cfRule type="cellIs" dxfId="765" priority="381" operator="lessThan">
      <formula>0</formula>
    </cfRule>
  </conditionalFormatting>
  <conditionalFormatting sqref="B16">
    <cfRule type="cellIs" dxfId="764" priority="382" operator="greaterThan">
      <formula>0</formula>
    </cfRule>
  </conditionalFormatting>
  <conditionalFormatting sqref="B16">
    <cfRule type="cellIs" dxfId="763" priority="383" operator="lessThan">
      <formula>0</formula>
    </cfRule>
  </conditionalFormatting>
  <conditionalFormatting sqref="B16">
    <cfRule type="cellIs" dxfId="762" priority="376" operator="greaterThan">
      <formula>0</formula>
    </cfRule>
  </conditionalFormatting>
  <conditionalFormatting sqref="B16">
    <cfRule type="cellIs" dxfId="761" priority="377" operator="lessThan">
      <formula>0</formula>
    </cfRule>
  </conditionalFormatting>
  <conditionalFormatting sqref="B16">
    <cfRule type="cellIs" dxfId="760" priority="378" operator="greaterThan">
      <formula>0</formula>
    </cfRule>
  </conditionalFormatting>
  <conditionalFormatting sqref="B16">
    <cfRule type="cellIs" dxfId="759" priority="379" operator="lessThan">
      <formula>0</formula>
    </cfRule>
  </conditionalFormatting>
  <conditionalFormatting sqref="B15">
    <cfRule type="cellIs" dxfId="758" priority="372" operator="greaterThan">
      <formula>0</formula>
    </cfRule>
  </conditionalFormatting>
  <conditionalFormatting sqref="B15">
    <cfRule type="cellIs" dxfId="757" priority="373" operator="lessThan">
      <formula>0</formula>
    </cfRule>
  </conditionalFormatting>
  <conditionalFormatting sqref="B15">
    <cfRule type="cellIs" dxfId="756" priority="374" operator="greaterThan">
      <formula>0</formula>
    </cfRule>
  </conditionalFormatting>
  <conditionalFormatting sqref="B15">
    <cfRule type="cellIs" dxfId="755" priority="375" operator="lessThan">
      <formula>0</formula>
    </cfRule>
  </conditionalFormatting>
  <conditionalFormatting sqref="B15:B16">
    <cfRule type="cellIs" dxfId="754" priority="368" operator="greaterThan">
      <formula>0</formula>
    </cfRule>
  </conditionalFormatting>
  <conditionalFormatting sqref="B15:B16">
    <cfRule type="cellIs" dxfId="753" priority="369" operator="lessThan">
      <formula>0</formula>
    </cfRule>
  </conditionalFormatting>
  <conditionalFormatting sqref="B15:B16">
    <cfRule type="cellIs" dxfId="752" priority="370" operator="greaterThan">
      <formula>0</formula>
    </cfRule>
  </conditionalFormatting>
  <conditionalFormatting sqref="B15:B16">
    <cfRule type="cellIs" dxfId="751" priority="371" operator="lessThan">
      <formula>0</formula>
    </cfRule>
  </conditionalFormatting>
  <conditionalFormatting sqref="B15:B16">
    <cfRule type="cellIs" dxfId="750" priority="364" operator="greaterThan">
      <formula>0</formula>
    </cfRule>
  </conditionalFormatting>
  <conditionalFormatting sqref="B15:B16">
    <cfRule type="cellIs" dxfId="749" priority="365" operator="lessThan">
      <formula>0</formula>
    </cfRule>
  </conditionalFormatting>
  <conditionalFormatting sqref="B15:B16">
    <cfRule type="cellIs" dxfId="748" priority="366" operator="greaterThan">
      <formula>0</formula>
    </cfRule>
  </conditionalFormatting>
  <conditionalFormatting sqref="B15:B16">
    <cfRule type="cellIs" dxfId="747" priority="367" operator="lessThan">
      <formula>0</formula>
    </cfRule>
  </conditionalFormatting>
  <conditionalFormatting sqref="B11:B12">
    <cfRule type="cellIs" dxfId="746" priority="360" operator="greaterThan">
      <formula>0</formula>
    </cfRule>
  </conditionalFormatting>
  <conditionalFormatting sqref="B11:B12">
    <cfRule type="cellIs" dxfId="745" priority="361" operator="lessThan">
      <formula>0</formula>
    </cfRule>
  </conditionalFormatting>
  <conditionalFormatting sqref="B11:B12">
    <cfRule type="cellIs" dxfId="744" priority="362" operator="greaterThan">
      <formula>0</formula>
    </cfRule>
  </conditionalFormatting>
  <conditionalFormatting sqref="B11:B12">
    <cfRule type="cellIs" dxfId="743" priority="363" operator="lessThan">
      <formula>0</formula>
    </cfRule>
  </conditionalFormatting>
  <conditionalFormatting sqref="B11">
    <cfRule type="cellIs" dxfId="742" priority="356" operator="greaterThan">
      <formula>0</formula>
    </cfRule>
  </conditionalFormatting>
  <conditionalFormatting sqref="B11">
    <cfRule type="cellIs" dxfId="741" priority="357" operator="lessThan">
      <formula>0</formula>
    </cfRule>
  </conditionalFormatting>
  <conditionalFormatting sqref="B11">
    <cfRule type="cellIs" dxfId="740" priority="358" operator="greaterThan">
      <formula>0</formula>
    </cfRule>
  </conditionalFormatting>
  <conditionalFormatting sqref="B11">
    <cfRule type="cellIs" dxfId="739" priority="359" operator="lessThan">
      <formula>0</formula>
    </cfRule>
  </conditionalFormatting>
  <conditionalFormatting sqref="B12">
    <cfRule type="cellIs" dxfId="738" priority="352" operator="greaterThan">
      <formula>0</formula>
    </cfRule>
  </conditionalFormatting>
  <conditionalFormatting sqref="B12">
    <cfRule type="cellIs" dxfId="737" priority="353" operator="lessThan">
      <formula>0</formula>
    </cfRule>
  </conditionalFormatting>
  <conditionalFormatting sqref="B12">
    <cfRule type="cellIs" dxfId="736" priority="354" operator="greaterThan">
      <formula>0</formula>
    </cfRule>
  </conditionalFormatting>
  <conditionalFormatting sqref="B12">
    <cfRule type="cellIs" dxfId="735" priority="355" operator="lessThan">
      <formula>0</formula>
    </cfRule>
  </conditionalFormatting>
  <conditionalFormatting sqref="B5:B6">
    <cfRule type="cellIs" dxfId="734" priority="348" operator="greaterThan">
      <formula>0</formula>
    </cfRule>
  </conditionalFormatting>
  <conditionalFormatting sqref="B5:B6">
    <cfRule type="cellIs" dxfId="733" priority="349" operator="lessThan">
      <formula>0</formula>
    </cfRule>
  </conditionalFormatting>
  <conditionalFormatting sqref="B5:B6">
    <cfRule type="cellIs" dxfId="732" priority="350" operator="greaterThan">
      <formula>0</formula>
    </cfRule>
  </conditionalFormatting>
  <conditionalFormatting sqref="B5:B6">
    <cfRule type="cellIs" dxfId="731" priority="351" operator="lessThan">
      <formula>0</formula>
    </cfRule>
  </conditionalFormatting>
  <conditionalFormatting sqref="B5:B6">
    <cfRule type="cellIs" dxfId="730" priority="344" operator="greaterThan">
      <formula>0</formula>
    </cfRule>
  </conditionalFormatting>
  <conditionalFormatting sqref="B5:B6">
    <cfRule type="cellIs" dxfId="729" priority="345" operator="lessThan">
      <formula>0</formula>
    </cfRule>
  </conditionalFormatting>
  <conditionalFormatting sqref="B5:B6">
    <cfRule type="cellIs" dxfId="728" priority="346" operator="greaterThan">
      <formula>0</formula>
    </cfRule>
  </conditionalFormatting>
  <conditionalFormatting sqref="B5:B6">
    <cfRule type="cellIs" dxfId="727" priority="347" operator="lessThan">
      <formula>0</formula>
    </cfRule>
  </conditionalFormatting>
  <conditionalFormatting sqref="B5:B6">
    <cfRule type="cellIs" dxfId="726" priority="340" operator="greaterThan">
      <formula>0</formula>
    </cfRule>
  </conditionalFormatting>
  <conditionalFormatting sqref="B5:B6">
    <cfRule type="cellIs" dxfId="725" priority="341" operator="lessThan">
      <formula>0</formula>
    </cfRule>
  </conditionalFormatting>
  <conditionalFormatting sqref="B5:B6">
    <cfRule type="cellIs" dxfId="724" priority="342" operator="greaterThan">
      <formula>0</formula>
    </cfRule>
  </conditionalFormatting>
  <conditionalFormatting sqref="B5:B6">
    <cfRule type="cellIs" dxfId="723" priority="343" operator="lessThan">
      <formula>0</formula>
    </cfRule>
  </conditionalFormatting>
  <conditionalFormatting sqref="B11:B12">
    <cfRule type="cellIs" dxfId="722" priority="336" operator="greaterThan">
      <formula>0</formula>
    </cfRule>
  </conditionalFormatting>
  <conditionalFormatting sqref="B11:B12">
    <cfRule type="cellIs" dxfId="721" priority="337" operator="lessThan">
      <formula>0</formula>
    </cfRule>
  </conditionalFormatting>
  <conditionalFormatting sqref="B11:B12">
    <cfRule type="cellIs" dxfId="720" priority="338" operator="greaterThan">
      <formula>0</formula>
    </cfRule>
  </conditionalFormatting>
  <conditionalFormatting sqref="B11:B12">
    <cfRule type="cellIs" dxfId="719" priority="339" operator="lessThan">
      <formula>0</formula>
    </cfRule>
  </conditionalFormatting>
  <conditionalFormatting sqref="B12">
    <cfRule type="cellIs" dxfId="718" priority="332" operator="greaterThan">
      <formula>0</formula>
    </cfRule>
  </conditionalFormatting>
  <conditionalFormatting sqref="B12">
    <cfRule type="cellIs" dxfId="717" priority="333" operator="lessThan">
      <formula>0</formula>
    </cfRule>
  </conditionalFormatting>
  <conditionalFormatting sqref="B12">
    <cfRule type="cellIs" dxfId="716" priority="334" operator="greaterThan">
      <formula>0</formula>
    </cfRule>
  </conditionalFormatting>
  <conditionalFormatting sqref="B12">
    <cfRule type="cellIs" dxfId="715" priority="335" operator="lessThan">
      <formula>0</formula>
    </cfRule>
  </conditionalFormatting>
  <conditionalFormatting sqref="B11">
    <cfRule type="cellIs" dxfId="714" priority="324" operator="greaterThan">
      <formula>0</formula>
    </cfRule>
  </conditionalFormatting>
  <conditionalFormatting sqref="B11">
    <cfRule type="cellIs" dxfId="713" priority="325" operator="lessThan">
      <formula>0</formula>
    </cfRule>
  </conditionalFormatting>
  <conditionalFormatting sqref="B11">
    <cfRule type="cellIs" dxfId="712" priority="326" operator="greaterThan">
      <formula>0</formula>
    </cfRule>
  </conditionalFormatting>
  <conditionalFormatting sqref="B11">
    <cfRule type="cellIs" dxfId="711" priority="327" operator="lessThan">
      <formula>0</formula>
    </cfRule>
  </conditionalFormatting>
  <conditionalFormatting sqref="B11:B12">
    <cfRule type="cellIs" dxfId="710" priority="320" operator="greaterThan">
      <formula>0</formula>
    </cfRule>
  </conditionalFormatting>
  <conditionalFormatting sqref="B11:B12">
    <cfRule type="cellIs" dxfId="709" priority="321" operator="lessThan">
      <formula>0</formula>
    </cfRule>
  </conditionalFormatting>
  <conditionalFormatting sqref="B11:B12">
    <cfRule type="cellIs" dxfId="708" priority="322" operator="greaterThan">
      <formula>0</formula>
    </cfRule>
  </conditionalFormatting>
  <conditionalFormatting sqref="B11:B12">
    <cfRule type="cellIs" dxfId="707" priority="323" operator="lessThan">
      <formula>0</formula>
    </cfRule>
  </conditionalFormatting>
  <conditionalFormatting sqref="B11:B12">
    <cfRule type="cellIs" dxfId="706" priority="316" operator="greaterThan">
      <formula>0</formula>
    </cfRule>
  </conditionalFormatting>
  <conditionalFormatting sqref="B11:B12">
    <cfRule type="cellIs" dxfId="705" priority="317" operator="lessThan">
      <formula>0</formula>
    </cfRule>
  </conditionalFormatting>
  <conditionalFormatting sqref="B11:B12">
    <cfRule type="cellIs" dxfId="704" priority="318" operator="greaterThan">
      <formula>0</formula>
    </cfRule>
  </conditionalFormatting>
  <conditionalFormatting sqref="B11:B12">
    <cfRule type="cellIs" dxfId="703" priority="319" operator="lessThan">
      <formula>0</formula>
    </cfRule>
  </conditionalFormatting>
  <conditionalFormatting sqref="B40">
    <cfRule type="cellIs" dxfId="702" priority="310" operator="greaterThan">
      <formula>0</formula>
    </cfRule>
  </conditionalFormatting>
  <conditionalFormatting sqref="B40">
    <cfRule type="cellIs" dxfId="701" priority="311" operator="lessThan">
      <formula>0</formula>
    </cfRule>
  </conditionalFormatting>
  <conditionalFormatting sqref="B40">
    <cfRule type="cellIs" dxfId="700" priority="312" operator="greaterThan">
      <formula>0</formula>
    </cfRule>
  </conditionalFormatting>
  <conditionalFormatting sqref="B40">
    <cfRule type="cellIs" dxfId="699" priority="313" operator="lessThan">
      <formula>0</formula>
    </cfRule>
  </conditionalFormatting>
  <conditionalFormatting sqref="B40">
    <cfRule type="cellIs" dxfId="698" priority="314" operator="greaterThan">
      <formula>0</formula>
    </cfRule>
  </conditionalFormatting>
  <conditionalFormatting sqref="B40">
    <cfRule type="cellIs" dxfId="697" priority="315" operator="lessThan">
      <formula>0</formula>
    </cfRule>
  </conditionalFormatting>
  <conditionalFormatting sqref="I38:I40">
    <cfRule type="cellIs" dxfId="696" priority="308" operator="lessThan">
      <formula>0</formula>
    </cfRule>
    <cfRule type="cellIs" dxfId="695" priority="309" operator="greaterThan">
      <formula>0</formula>
    </cfRule>
  </conditionalFormatting>
  <conditionalFormatting sqref="B38">
    <cfRule type="cellIs" dxfId="694" priority="302" operator="greaterThan">
      <formula>0</formula>
    </cfRule>
  </conditionalFormatting>
  <conditionalFormatting sqref="B38">
    <cfRule type="cellIs" dxfId="693" priority="303" operator="lessThan">
      <formula>0</formula>
    </cfRule>
  </conditionalFormatting>
  <conditionalFormatting sqref="B38">
    <cfRule type="cellIs" dxfId="692" priority="304" operator="greaterThan">
      <formula>0</formula>
    </cfRule>
  </conditionalFormatting>
  <conditionalFormatting sqref="B38">
    <cfRule type="cellIs" dxfId="691" priority="305" operator="lessThan">
      <formula>0</formula>
    </cfRule>
  </conditionalFormatting>
  <conditionalFormatting sqref="B38">
    <cfRule type="cellIs" dxfId="690" priority="306" operator="greaterThan">
      <formula>0</formula>
    </cfRule>
  </conditionalFormatting>
  <conditionalFormatting sqref="B38">
    <cfRule type="cellIs" dxfId="689" priority="307" operator="lessThan">
      <formula>0</formula>
    </cfRule>
  </conditionalFormatting>
  <conditionalFormatting sqref="B39">
    <cfRule type="cellIs" dxfId="688" priority="296" operator="greaterThan">
      <formula>0</formula>
    </cfRule>
  </conditionalFormatting>
  <conditionalFormatting sqref="B39">
    <cfRule type="cellIs" dxfId="687" priority="297" operator="lessThan">
      <formula>0</formula>
    </cfRule>
  </conditionalFormatting>
  <conditionalFormatting sqref="B39">
    <cfRule type="cellIs" dxfId="686" priority="298" operator="greaterThan">
      <formula>0</formula>
    </cfRule>
  </conditionalFormatting>
  <conditionalFormatting sqref="B39">
    <cfRule type="cellIs" dxfId="685" priority="299" operator="lessThan">
      <formula>0</formula>
    </cfRule>
  </conditionalFormatting>
  <conditionalFormatting sqref="B39">
    <cfRule type="cellIs" dxfId="684" priority="300" operator="greaterThan">
      <formula>0</formula>
    </cfRule>
  </conditionalFormatting>
  <conditionalFormatting sqref="B39">
    <cfRule type="cellIs" dxfId="683" priority="301" operator="lessThan">
      <formula>0</formula>
    </cfRule>
  </conditionalFormatting>
  <conditionalFormatting sqref="B31:B34 B37">
    <cfRule type="cellIs" dxfId="682" priority="292" operator="greaterThan">
      <formula>0</formula>
    </cfRule>
  </conditionalFormatting>
  <conditionalFormatting sqref="B31:B34 B37">
    <cfRule type="cellIs" dxfId="681" priority="293" operator="lessThan">
      <formula>0</formula>
    </cfRule>
  </conditionalFormatting>
  <conditionalFormatting sqref="B31:B34 B37">
    <cfRule type="cellIs" dxfId="680" priority="294" operator="greaterThan">
      <formula>0</formula>
    </cfRule>
  </conditionalFormatting>
  <conditionalFormatting sqref="B31:B34 B37">
    <cfRule type="cellIs" dxfId="679" priority="295" operator="lessThan">
      <formula>0</formula>
    </cfRule>
  </conditionalFormatting>
  <conditionalFormatting sqref="B35:B36">
    <cfRule type="cellIs" dxfId="678" priority="284" operator="greaterThan">
      <formula>0</formula>
    </cfRule>
  </conditionalFormatting>
  <conditionalFormatting sqref="B35:B36">
    <cfRule type="cellIs" dxfId="677" priority="285" operator="lessThan">
      <formula>0</formula>
    </cfRule>
  </conditionalFormatting>
  <conditionalFormatting sqref="B35:B36">
    <cfRule type="cellIs" dxfId="676" priority="286" operator="greaterThan">
      <formula>0</formula>
    </cfRule>
  </conditionalFormatting>
  <conditionalFormatting sqref="B35:B36">
    <cfRule type="cellIs" dxfId="675" priority="287" operator="lessThan">
      <formula>0</formula>
    </cfRule>
  </conditionalFormatting>
  <conditionalFormatting sqref="B36">
    <cfRule type="cellIs" dxfId="674" priority="288" operator="greaterThan">
      <formula>0</formula>
    </cfRule>
  </conditionalFormatting>
  <conditionalFormatting sqref="B36">
    <cfRule type="cellIs" dxfId="673" priority="289" operator="lessThan">
      <formula>0</formula>
    </cfRule>
  </conditionalFormatting>
  <conditionalFormatting sqref="B35">
    <cfRule type="cellIs" dxfId="672" priority="290" operator="greaterThan">
      <formula>0</formula>
    </cfRule>
  </conditionalFormatting>
  <conditionalFormatting sqref="B35">
    <cfRule type="cellIs" dxfId="671" priority="291" operator="lessThan">
      <formula>0</formula>
    </cfRule>
  </conditionalFormatting>
  <conditionalFormatting sqref="B4">
    <cfRule type="cellIs" dxfId="670" priority="274" operator="greaterThan">
      <formula>0</formula>
    </cfRule>
  </conditionalFormatting>
  <conditionalFormatting sqref="B4">
    <cfRule type="cellIs" dxfId="669" priority="275" operator="lessThan">
      <formula>0</formula>
    </cfRule>
  </conditionalFormatting>
  <conditionalFormatting sqref="B4">
    <cfRule type="cellIs" dxfId="668" priority="276" operator="greaterThan">
      <formula>0</formula>
    </cfRule>
  </conditionalFormatting>
  <conditionalFormatting sqref="B4">
    <cfRule type="cellIs" dxfId="667" priority="277" operator="lessThan">
      <formula>0</formula>
    </cfRule>
  </conditionalFormatting>
  <conditionalFormatting sqref="B4">
    <cfRule type="cellIs" dxfId="666" priority="270" operator="greaterThan">
      <formula>0</formula>
    </cfRule>
  </conditionalFormatting>
  <conditionalFormatting sqref="B4">
    <cfRule type="cellIs" dxfId="665" priority="271" operator="lessThan">
      <formula>0</formula>
    </cfRule>
  </conditionalFormatting>
  <conditionalFormatting sqref="B4">
    <cfRule type="cellIs" dxfId="664" priority="272" operator="greaterThan">
      <formula>0</formula>
    </cfRule>
  </conditionalFormatting>
  <conditionalFormatting sqref="B4">
    <cfRule type="cellIs" dxfId="663" priority="273" operator="lessThan">
      <formula>0</formula>
    </cfRule>
  </conditionalFormatting>
  <conditionalFormatting sqref="B4">
    <cfRule type="cellIs" dxfId="662" priority="266" operator="greaterThan">
      <formula>0</formula>
    </cfRule>
  </conditionalFormatting>
  <conditionalFormatting sqref="B4">
    <cfRule type="cellIs" dxfId="661" priority="267" operator="lessThan">
      <formula>0</formula>
    </cfRule>
  </conditionalFormatting>
  <conditionalFormatting sqref="B4">
    <cfRule type="cellIs" dxfId="660" priority="268" operator="greaterThan">
      <formula>0</formula>
    </cfRule>
  </conditionalFormatting>
  <conditionalFormatting sqref="B4">
    <cfRule type="cellIs" dxfId="659" priority="269" operator="lessThan">
      <formula>0</formula>
    </cfRule>
  </conditionalFormatting>
  <conditionalFormatting sqref="B4">
    <cfRule type="cellIs" dxfId="658" priority="262" operator="greaterThan">
      <formula>0</formula>
    </cfRule>
  </conditionalFormatting>
  <conditionalFormatting sqref="B4">
    <cfRule type="cellIs" dxfId="657" priority="263" operator="lessThan">
      <formula>0</formula>
    </cfRule>
  </conditionalFormatting>
  <conditionalFormatting sqref="B4">
    <cfRule type="cellIs" dxfId="656" priority="264" operator="greaterThan">
      <formula>0</formula>
    </cfRule>
  </conditionalFormatting>
  <conditionalFormatting sqref="B4">
    <cfRule type="cellIs" dxfId="655" priority="265" operator="lessThan">
      <formula>0</formula>
    </cfRule>
  </conditionalFormatting>
  <conditionalFormatting sqref="B4">
    <cfRule type="cellIs" dxfId="654" priority="258" operator="greaterThan">
      <formula>0</formula>
    </cfRule>
  </conditionalFormatting>
  <conditionalFormatting sqref="B4">
    <cfRule type="cellIs" dxfId="653" priority="259" operator="lessThan">
      <formula>0</formula>
    </cfRule>
  </conditionalFormatting>
  <conditionalFormatting sqref="B4">
    <cfRule type="cellIs" dxfId="652" priority="260" operator="greaterThan">
      <formula>0</formula>
    </cfRule>
  </conditionalFormatting>
  <conditionalFormatting sqref="B4">
    <cfRule type="cellIs" dxfId="651" priority="261" operator="lessThan">
      <formula>0</formula>
    </cfRule>
  </conditionalFormatting>
  <conditionalFormatting sqref="B4">
    <cfRule type="cellIs" dxfId="650" priority="254" operator="greaterThan">
      <formula>0</formula>
    </cfRule>
  </conditionalFormatting>
  <conditionalFormatting sqref="B4">
    <cfRule type="cellIs" dxfId="649" priority="255" operator="lessThan">
      <formula>0</formula>
    </cfRule>
  </conditionalFormatting>
  <conditionalFormatting sqref="B4">
    <cfRule type="cellIs" dxfId="648" priority="256" operator="greaterThan">
      <formula>0</formula>
    </cfRule>
  </conditionalFormatting>
  <conditionalFormatting sqref="B4">
    <cfRule type="cellIs" dxfId="647" priority="257" operator="lessThan">
      <formula>0</formula>
    </cfRule>
  </conditionalFormatting>
  <conditionalFormatting sqref="B4">
    <cfRule type="cellIs" dxfId="646" priority="250" operator="greaterThan">
      <formula>0</formula>
    </cfRule>
  </conditionalFormatting>
  <conditionalFormatting sqref="B4">
    <cfRule type="cellIs" dxfId="645" priority="251" operator="lessThan">
      <formula>0</formula>
    </cfRule>
  </conditionalFormatting>
  <conditionalFormatting sqref="B4">
    <cfRule type="cellIs" dxfId="644" priority="252" operator="greaterThan">
      <formula>0</formula>
    </cfRule>
  </conditionalFormatting>
  <conditionalFormatting sqref="B4">
    <cfRule type="cellIs" dxfId="643" priority="253" operator="lessThan">
      <formula>0</formula>
    </cfRule>
  </conditionalFormatting>
  <conditionalFormatting sqref="B4">
    <cfRule type="cellIs" dxfId="642" priority="246" operator="greaterThan">
      <formula>0</formula>
    </cfRule>
  </conditionalFormatting>
  <conditionalFormatting sqref="B4">
    <cfRule type="cellIs" dxfId="641" priority="247" operator="lessThan">
      <formula>0</formula>
    </cfRule>
  </conditionalFormatting>
  <conditionalFormatting sqref="B4">
    <cfRule type="cellIs" dxfId="640" priority="248" operator="greaterThan">
      <formula>0</formula>
    </cfRule>
  </conditionalFormatting>
  <conditionalFormatting sqref="B4">
    <cfRule type="cellIs" dxfId="639" priority="249" operator="lessThan">
      <formula>0</formula>
    </cfRule>
  </conditionalFormatting>
  <conditionalFormatting sqref="B4">
    <cfRule type="cellIs" dxfId="638" priority="242" operator="greaterThan">
      <formula>0</formula>
    </cfRule>
  </conditionalFormatting>
  <conditionalFormatting sqref="B4">
    <cfRule type="cellIs" dxfId="637" priority="243" operator="lessThan">
      <formula>0</formula>
    </cfRule>
  </conditionalFormatting>
  <conditionalFormatting sqref="B4">
    <cfRule type="cellIs" dxfId="636" priority="244" operator="greaterThan">
      <formula>0</formula>
    </cfRule>
  </conditionalFormatting>
  <conditionalFormatting sqref="B4">
    <cfRule type="cellIs" dxfId="635" priority="245" operator="lessThan">
      <formula>0</formula>
    </cfRule>
  </conditionalFormatting>
  <conditionalFormatting sqref="B8">
    <cfRule type="cellIs" dxfId="634" priority="238" operator="greaterThan">
      <formula>0</formula>
    </cfRule>
  </conditionalFormatting>
  <conditionalFormatting sqref="B8">
    <cfRule type="cellIs" dxfId="633" priority="239" operator="lessThan">
      <formula>0</formula>
    </cfRule>
  </conditionalFormatting>
  <conditionalFormatting sqref="B8">
    <cfRule type="cellIs" dxfId="632" priority="240" operator="greaterThan">
      <formula>0</formula>
    </cfRule>
  </conditionalFormatting>
  <conditionalFormatting sqref="B8">
    <cfRule type="cellIs" dxfId="631" priority="241" operator="lessThan">
      <formula>0</formula>
    </cfRule>
  </conditionalFormatting>
  <conditionalFormatting sqref="B8">
    <cfRule type="cellIs" dxfId="630" priority="234" operator="greaterThan">
      <formula>0</formula>
    </cfRule>
  </conditionalFormatting>
  <conditionalFormatting sqref="B8">
    <cfRule type="cellIs" dxfId="629" priority="235" operator="lessThan">
      <formula>0</formula>
    </cfRule>
  </conditionalFormatting>
  <conditionalFormatting sqref="B8">
    <cfRule type="cellIs" dxfId="628" priority="236" operator="greaterThan">
      <formula>0</formula>
    </cfRule>
  </conditionalFormatting>
  <conditionalFormatting sqref="B8">
    <cfRule type="cellIs" dxfId="627" priority="237" operator="lessThan">
      <formula>0</formula>
    </cfRule>
  </conditionalFormatting>
  <conditionalFormatting sqref="B6:B7">
    <cfRule type="cellIs" dxfId="626" priority="190" operator="greaterThan">
      <formula>0</formula>
    </cfRule>
  </conditionalFormatting>
  <conditionalFormatting sqref="B6:B7">
    <cfRule type="cellIs" dxfId="625" priority="191" operator="lessThan">
      <formula>0</formula>
    </cfRule>
  </conditionalFormatting>
  <conditionalFormatting sqref="B6:B7">
    <cfRule type="cellIs" dxfId="624" priority="192" operator="greaterThan">
      <formula>0</formula>
    </cfRule>
  </conditionalFormatting>
  <conditionalFormatting sqref="B6:B7">
    <cfRule type="cellIs" dxfId="623" priority="193" operator="lessThan">
      <formula>0</formula>
    </cfRule>
  </conditionalFormatting>
  <conditionalFormatting sqref="B9:B10">
    <cfRule type="cellIs" dxfId="622" priority="230" operator="greaterThan">
      <formula>0</formula>
    </cfRule>
  </conditionalFormatting>
  <conditionalFormatting sqref="B9:B10">
    <cfRule type="cellIs" dxfId="621" priority="231" operator="lessThan">
      <formula>0</formula>
    </cfRule>
  </conditionalFormatting>
  <conditionalFormatting sqref="B9:B10">
    <cfRule type="cellIs" dxfId="620" priority="232" operator="greaterThan">
      <formula>0</formula>
    </cfRule>
  </conditionalFormatting>
  <conditionalFormatting sqref="B9:B10">
    <cfRule type="cellIs" dxfId="619" priority="233" operator="lessThan">
      <formula>0</formula>
    </cfRule>
  </conditionalFormatting>
  <conditionalFormatting sqref="B10">
    <cfRule type="cellIs" dxfId="618" priority="226" operator="greaterThan">
      <formula>0</formula>
    </cfRule>
  </conditionalFormatting>
  <conditionalFormatting sqref="B10">
    <cfRule type="cellIs" dxfId="617" priority="227" operator="lessThan">
      <formula>0</formula>
    </cfRule>
  </conditionalFormatting>
  <conditionalFormatting sqref="B10">
    <cfRule type="cellIs" dxfId="616" priority="228" operator="greaterThan">
      <formula>0</formula>
    </cfRule>
  </conditionalFormatting>
  <conditionalFormatting sqref="B10">
    <cfRule type="cellIs" dxfId="615" priority="229" operator="lessThan">
      <formula>0</formula>
    </cfRule>
  </conditionalFormatting>
  <conditionalFormatting sqref="B10">
    <cfRule type="cellIs" dxfId="614" priority="222" operator="greaterThan">
      <formula>0</formula>
    </cfRule>
  </conditionalFormatting>
  <conditionalFormatting sqref="B10">
    <cfRule type="cellIs" dxfId="613" priority="223" operator="lessThan">
      <formula>0</formula>
    </cfRule>
  </conditionalFormatting>
  <conditionalFormatting sqref="B10">
    <cfRule type="cellIs" dxfId="612" priority="224" operator="greaterThan">
      <formula>0</formula>
    </cfRule>
  </conditionalFormatting>
  <conditionalFormatting sqref="B10">
    <cfRule type="cellIs" dxfId="611" priority="225" operator="lessThan">
      <formula>0</formula>
    </cfRule>
  </conditionalFormatting>
  <conditionalFormatting sqref="B9">
    <cfRule type="cellIs" dxfId="610" priority="218" operator="greaterThan">
      <formula>0</formula>
    </cfRule>
  </conditionalFormatting>
  <conditionalFormatting sqref="B9">
    <cfRule type="cellIs" dxfId="609" priority="219" operator="lessThan">
      <formula>0</formula>
    </cfRule>
  </conditionalFormatting>
  <conditionalFormatting sqref="B9">
    <cfRule type="cellIs" dxfId="608" priority="220" operator="greaterThan">
      <formula>0</formula>
    </cfRule>
  </conditionalFormatting>
  <conditionalFormatting sqref="B9">
    <cfRule type="cellIs" dxfId="607" priority="221" operator="lessThan">
      <formula>0</formula>
    </cfRule>
  </conditionalFormatting>
  <conditionalFormatting sqref="B9:B10">
    <cfRule type="cellIs" dxfId="606" priority="214" operator="greaterThan">
      <formula>0</formula>
    </cfRule>
  </conditionalFormatting>
  <conditionalFormatting sqref="B9:B10">
    <cfRule type="cellIs" dxfId="605" priority="215" operator="lessThan">
      <formula>0</formula>
    </cfRule>
  </conditionalFormatting>
  <conditionalFormatting sqref="B9:B10">
    <cfRule type="cellIs" dxfId="604" priority="216" operator="greaterThan">
      <formula>0</formula>
    </cfRule>
  </conditionalFormatting>
  <conditionalFormatting sqref="B9:B10">
    <cfRule type="cellIs" dxfId="603" priority="217" operator="lessThan">
      <formula>0</formula>
    </cfRule>
  </conditionalFormatting>
  <conditionalFormatting sqref="B9:B10">
    <cfRule type="cellIs" dxfId="602" priority="210" operator="greaterThan">
      <formula>0</formula>
    </cfRule>
  </conditionalFormatting>
  <conditionalFormatting sqref="B9:B10">
    <cfRule type="cellIs" dxfId="601" priority="211" operator="lessThan">
      <formula>0</formula>
    </cfRule>
  </conditionalFormatting>
  <conditionalFormatting sqref="B9:B10">
    <cfRule type="cellIs" dxfId="600" priority="212" operator="greaterThan">
      <formula>0</formula>
    </cfRule>
  </conditionalFormatting>
  <conditionalFormatting sqref="B9:B10">
    <cfRule type="cellIs" dxfId="599" priority="213" operator="lessThan">
      <formula>0</formula>
    </cfRule>
  </conditionalFormatting>
  <conditionalFormatting sqref="B6:B7">
    <cfRule type="cellIs" dxfId="598" priority="206" operator="greaterThan">
      <formula>0</formula>
    </cfRule>
  </conditionalFormatting>
  <conditionalFormatting sqref="B6:B7">
    <cfRule type="cellIs" dxfId="597" priority="207" operator="lessThan">
      <formula>0</formula>
    </cfRule>
  </conditionalFormatting>
  <conditionalFormatting sqref="B6:B7">
    <cfRule type="cellIs" dxfId="596" priority="208" operator="greaterThan">
      <formula>0</formula>
    </cfRule>
  </conditionalFormatting>
  <conditionalFormatting sqref="B6:B7">
    <cfRule type="cellIs" dxfId="595" priority="209" operator="lessThan">
      <formula>0</formula>
    </cfRule>
  </conditionalFormatting>
  <conditionalFormatting sqref="B6:B7">
    <cfRule type="cellIs" dxfId="594" priority="202" operator="greaterThan">
      <formula>0</formula>
    </cfRule>
  </conditionalFormatting>
  <conditionalFormatting sqref="B6:B7">
    <cfRule type="cellIs" dxfId="593" priority="203" operator="lessThan">
      <formula>0</formula>
    </cfRule>
  </conditionalFormatting>
  <conditionalFormatting sqref="B6:B7">
    <cfRule type="cellIs" dxfId="592" priority="204" operator="greaterThan">
      <formula>0</formula>
    </cfRule>
  </conditionalFormatting>
  <conditionalFormatting sqref="B6:B7">
    <cfRule type="cellIs" dxfId="591" priority="205" operator="lessThan">
      <formula>0</formula>
    </cfRule>
  </conditionalFormatting>
  <conditionalFormatting sqref="B6:B7">
    <cfRule type="cellIs" dxfId="590" priority="198" operator="greaterThan">
      <formula>0</formula>
    </cfRule>
  </conditionalFormatting>
  <conditionalFormatting sqref="B6:B7">
    <cfRule type="cellIs" dxfId="589" priority="199" operator="lessThan">
      <formula>0</formula>
    </cfRule>
  </conditionalFormatting>
  <conditionalFormatting sqref="B6:B7">
    <cfRule type="cellIs" dxfId="588" priority="200" operator="greaterThan">
      <formula>0</formula>
    </cfRule>
  </conditionalFormatting>
  <conditionalFormatting sqref="B6:B7">
    <cfRule type="cellIs" dxfId="587" priority="201" operator="lessThan">
      <formula>0</formula>
    </cfRule>
  </conditionalFormatting>
  <conditionalFormatting sqref="B6:B7">
    <cfRule type="cellIs" dxfId="586" priority="194" operator="greaterThan">
      <formula>0</formula>
    </cfRule>
  </conditionalFormatting>
  <conditionalFormatting sqref="B6:B7">
    <cfRule type="cellIs" dxfId="585" priority="195" operator="lessThan">
      <formula>0</formula>
    </cfRule>
  </conditionalFormatting>
  <conditionalFormatting sqref="B6:B7">
    <cfRule type="cellIs" dxfId="584" priority="196" operator="greaterThan">
      <formula>0</formula>
    </cfRule>
  </conditionalFormatting>
  <conditionalFormatting sqref="B6:B7">
    <cfRule type="cellIs" dxfId="583" priority="197" operator="lessThan">
      <formula>0</formula>
    </cfRule>
  </conditionalFormatting>
  <conditionalFormatting sqref="B6:B7">
    <cfRule type="cellIs" dxfId="582" priority="186" operator="greaterThan">
      <formula>0</formula>
    </cfRule>
  </conditionalFormatting>
  <conditionalFormatting sqref="B6:B7">
    <cfRule type="cellIs" dxfId="581" priority="187" operator="lessThan">
      <formula>0</formula>
    </cfRule>
  </conditionalFormatting>
  <conditionalFormatting sqref="B6:B7">
    <cfRule type="cellIs" dxfId="580" priority="188" operator="greaterThan">
      <formula>0</formula>
    </cfRule>
  </conditionalFormatting>
  <conditionalFormatting sqref="B6:B7">
    <cfRule type="cellIs" dxfId="579" priority="189" operator="lessThan">
      <formula>0</formula>
    </cfRule>
  </conditionalFormatting>
  <conditionalFormatting sqref="B6:B7">
    <cfRule type="cellIs" dxfId="578" priority="182" operator="greaterThan">
      <formula>0</formula>
    </cfRule>
  </conditionalFormatting>
  <conditionalFormatting sqref="B6:B7">
    <cfRule type="cellIs" dxfId="577" priority="183" operator="lessThan">
      <formula>0</formula>
    </cfRule>
  </conditionalFormatting>
  <conditionalFormatting sqref="B6:B7">
    <cfRule type="cellIs" dxfId="576" priority="184" operator="greaterThan">
      <formula>0</formula>
    </cfRule>
  </conditionalFormatting>
  <conditionalFormatting sqref="B6:B7">
    <cfRule type="cellIs" dxfId="575" priority="185" operator="lessThan">
      <formula>0</formula>
    </cfRule>
  </conditionalFormatting>
  <conditionalFormatting sqref="B19">
    <cfRule type="cellIs" dxfId="574" priority="176" operator="greaterThan">
      <formula>0</formula>
    </cfRule>
  </conditionalFormatting>
  <conditionalFormatting sqref="B19">
    <cfRule type="cellIs" dxfId="573" priority="177" operator="lessThan">
      <formula>0</formula>
    </cfRule>
  </conditionalFormatting>
  <conditionalFormatting sqref="B19">
    <cfRule type="cellIs" dxfId="572" priority="178" operator="greaterThan">
      <formula>0</formula>
    </cfRule>
  </conditionalFormatting>
  <conditionalFormatting sqref="B19">
    <cfRule type="cellIs" dxfId="571" priority="179" operator="lessThan">
      <formula>0</formula>
    </cfRule>
  </conditionalFormatting>
  <conditionalFormatting sqref="B19">
    <cfRule type="cellIs" dxfId="570" priority="172" operator="greaterThan">
      <formula>0</formula>
    </cfRule>
  </conditionalFormatting>
  <conditionalFormatting sqref="B19">
    <cfRule type="cellIs" dxfId="569" priority="173" operator="lessThan">
      <formula>0</formula>
    </cfRule>
  </conditionalFormatting>
  <conditionalFormatting sqref="B19">
    <cfRule type="cellIs" dxfId="568" priority="174" operator="greaterThan">
      <formula>0</formula>
    </cfRule>
  </conditionalFormatting>
  <conditionalFormatting sqref="B19">
    <cfRule type="cellIs" dxfId="567" priority="175" operator="lessThan">
      <formula>0</formula>
    </cfRule>
  </conditionalFormatting>
  <conditionalFormatting sqref="B3">
    <cfRule type="cellIs" dxfId="566" priority="168" operator="greaterThan">
      <formula>0</formula>
    </cfRule>
  </conditionalFormatting>
  <conditionalFormatting sqref="B3">
    <cfRule type="cellIs" dxfId="565" priority="169" operator="lessThan">
      <formula>0</formula>
    </cfRule>
  </conditionalFormatting>
  <conditionalFormatting sqref="B3">
    <cfRule type="cellIs" dxfId="564" priority="170" operator="greaterThan">
      <formula>0</formula>
    </cfRule>
  </conditionalFormatting>
  <conditionalFormatting sqref="B3">
    <cfRule type="cellIs" dxfId="563" priority="171" operator="lessThan">
      <formula>0</formula>
    </cfRule>
  </conditionalFormatting>
  <conditionalFormatting sqref="B3">
    <cfRule type="cellIs" dxfId="562" priority="164" operator="greaterThan">
      <formula>0</formula>
    </cfRule>
  </conditionalFormatting>
  <conditionalFormatting sqref="B3">
    <cfRule type="cellIs" dxfId="561" priority="165" operator="lessThan">
      <formula>0</formula>
    </cfRule>
  </conditionalFormatting>
  <conditionalFormatting sqref="B3">
    <cfRule type="cellIs" dxfId="560" priority="166" operator="greaterThan">
      <formula>0</formula>
    </cfRule>
  </conditionalFormatting>
  <conditionalFormatting sqref="B3">
    <cfRule type="cellIs" dxfId="559" priority="167" operator="lessThan">
      <formula>0</formula>
    </cfRule>
  </conditionalFormatting>
  <conditionalFormatting sqref="B3">
    <cfRule type="cellIs" dxfId="558" priority="160" operator="greaterThan">
      <formula>0</formula>
    </cfRule>
  </conditionalFormatting>
  <conditionalFormatting sqref="B3">
    <cfRule type="cellIs" dxfId="557" priority="161" operator="lessThan">
      <formula>0</formula>
    </cfRule>
  </conditionalFormatting>
  <conditionalFormatting sqref="B3">
    <cfRule type="cellIs" dxfId="556" priority="162" operator="greaterThan">
      <formula>0</formula>
    </cfRule>
  </conditionalFormatting>
  <conditionalFormatting sqref="B3">
    <cfRule type="cellIs" dxfId="555" priority="163" operator="lessThan">
      <formula>0</formula>
    </cfRule>
  </conditionalFormatting>
  <conditionalFormatting sqref="B3">
    <cfRule type="cellIs" dxfId="554" priority="156" operator="greaterThan">
      <formula>0</formula>
    </cfRule>
  </conditionalFormatting>
  <conditionalFormatting sqref="B3">
    <cfRule type="cellIs" dxfId="553" priority="157" operator="lessThan">
      <formula>0</formula>
    </cfRule>
  </conditionalFormatting>
  <conditionalFormatting sqref="B3">
    <cfRule type="cellIs" dxfId="552" priority="158" operator="greaterThan">
      <formula>0</formula>
    </cfRule>
  </conditionalFormatting>
  <conditionalFormatting sqref="B3">
    <cfRule type="cellIs" dxfId="551" priority="159" operator="lessThan">
      <formula>0</formula>
    </cfRule>
  </conditionalFormatting>
  <conditionalFormatting sqref="B7">
    <cfRule type="cellIs" dxfId="550" priority="152" operator="greaterThan">
      <formula>0</formula>
    </cfRule>
  </conditionalFormatting>
  <conditionalFormatting sqref="B7">
    <cfRule type="cellIs" dxfId="549" priority="153" operator="lessThan">
      <formula>0</formula>
    </cfRule>
  </conditionalFormatting>
  <conditionalFormatting sqref="B7">
    <cfRule type="cellIs" dxfId="548" priority="154" operator="greaterThan">
      <formula>0</formula>
    </cfRule>
  </conditionalFormatting>
  <conditionalFormatting sqref="B7">
    <cfRule type="cellIs" dxfId="547" priority="155" operator="lessThan">
      <formula>0</formula>
    </cfRule>
  </conditionalFormatting>
  <conditionalFormatting sqref="B7">
    <cfRule type="cellIs" dxfId="546" priority="148" operator="greaterThan">
      <formula>0</formula>
    </cfRule>
  </conditionalFormatting>
  <conditionalFormatting sqref="B7">
    <cfRule type="cellIs" dxfId="545" priority="149" operator="lessThan">
      <formula>0</formula>
    </cfRule>
  </conditionalFormatting>
  <conditionalFormatting sqref="B7">
    <cfRule type="cellIs" dxfId="544" priority="150" operator="greaterThan">
      <formula>0</formula>
    </cfRule>
  </conditionalFormatting>
  <conditionalFormatting sqref="B7">
    <cfRule type="cellIs" dxfId="543" priority="151" operator="lessThan">
      <formula>0</formula>
    </cfRule>
  </conditionalFormatting>
  <conditionalFormatting sqref="B7">
    <cfRule type="cellIs" dxfId="542" priority="144" operator="greaterThan">
      <formula>0</formula>
    </cfRule>
  </conditionalFormatting>
  <conditionalFormatting sqref="B7">
    <cfRule type="cellIs" dxfId="541" priority="145" operator="lessThan">
      <formula>0</formula>
    </cfRule>
  </conditionalFormatting>
  <conditionalFormatting sqref="B7">
    <cfRule type="cellIs" dxfId="540" priority="146" operator="greaterThan">
      <formula>0</formula>
    </cfRule>
  </conditionalFormatting>
  <conditionalFormatting sqref="B7">
    <cfRule type="cellIs" dxfId="539" priority="147" operator="lessThan">
      <formula>0</formula>
    </cfRule>
  </conditionalFormatting>
  <conditionalFormatting sqref="B7">
    <cfRule type="cellIs" dxfId="538" priority="140" operator="greaterThan">
      <formula>0</formula>
    </cfRule>
  </conditionalFormatting>
  <conditionalFormatting sqref="B7">
    <cfRule type="cellIs" dxfId="537" priority="141" operator="lessThan">
      <formula>0</formula>
    </cfRule>
  </conditionalFormatting>
  <conditionalFormatting sqref="B7">
    <cfRule type="cellIs" dxfId="536" priority="142" operator="greaterThan">
      <formula>0</formula>
    </cfRule>
  </conditionalFormatting>
  <conditionalFormatting sqref="B7">
    <cfRule type="cellIs" dxfId="535" priority="143" operator="lessThan">
      <formula>0</formula>
    </cfRule>
  </conditionalFormatting>
  <conditionalFormatting sqref="B7">
    <cfRule type="cellIs" dxfId="534" priority="136" operator="greaterThan">
      <formula>0</formula>
    </cfRule>
  </conditionalFormatting>
  <conditionalFormatting sqref="B7">
    <cfRule type="cellIs" dxfId="533" priority="137" operator="lessThan">
      <formula>0</formula>
    </cfRule>
  </conditionalFormatting>
  <conditionalFormatting sqref="B7">
    <cfRule type="cellIs" dxfId="532" priority="138" operator="greaterThan">
      <formula>0</formula>
    </cfRule>
  </conditionalFormatting>
  <conditionalFormatting sqref="B7">
    <cfRule type="cellIs" dxfId="531" priority="139" operator="lessThan">
      <formula>0</formula>
    </cfRule>
  </conditionalFormatting>
  <conditionalFormatting sqref="B7">
    <cfRule type="cellIs" dxfId="530" priority="132" operator="greaterThan">
      <formula>0</formula>
    </cfRule>
  </conditionalFormatting>
  <conditionalFormatting sqref="B7">
    <cfRule type="cellIs" dxfId="529" priority="133" operator="lessThan">
      <formula>0</formula>
    </cfRule>
  </conditionalFormatting>
  <conditionalFormatting sqref="B7">
    <cfRule type="cellIs" dxfId="528" priority="134" operator="greaterThan">
      <formula>0</formula>
    </cfRule>
  </conditionalFormatting>
  <conditionalFormatting sqref="B7">
    <cfRule type="cellIs" dxfId="527" priority="135" operator="lessThan">
      <formula>0</formula>
    </cfRule>
  </conditionalFormatting>
  <conditionalFormatting sqref="B7">
    <cfRule type="cellIs" dxfId="526" priority="128" operator="greaterThan">
      <formula>0</formula>
    </cfRule>
  </conditionalFormatting>
  <conditionalFormatting sqref="B7">
    <cfRule type="cellIs" dxfId="525" priority="129" operator="lessThan">
      <formula>0</formula>
    </cfRule>
  </conditionalFormatting>
  <conditionalFormatting sqref="B7">
    <cfRule type="cellIs" dxfId="524" priority="130" operator="greaterThan">
      <formula>0</formula>
    </cfRule>
  </conditionalFormatting>
  <conditionalFormatting sqref="B7">
    <cfRule type="cellIs" dxfId="523" priority="131" operator="lessThan">
      <formula>0</formula>
    </cfRule>
  </conditionalFormatting>
  <conditionalFormatting sqref="B7">
    <cfRule type="cellIs" dxfId="522" priority="124" operator="greaterThan">
      <formula>0</formula>
    </cfRule>
  </conditionalFormatting>
  <conditionalFormatting sqref="B7">
    <cfRule type="cellIs" dxfId="521" priority="125" operator="lessThan">
      <formula>0</formula>
    </cfRule>
  </conditionalFormatting>
  <conditionalFormatting sqref="B7">
    <cfRule type="cellIs" dxfId="520" priority="126" operator="greaterThan">
      <formula>0</formula>
    </cfRule>
  </conditionalFormatting>
  <conditionalFormatting sqref="B7">
    <cfRule type="cellIs" dxfId="519" priority="127" operator="lessThan">
      <formula>0</formula>
    </cfRule>
  </conditionalFormatting>
  <conditionalFormatting sqref="B7">
    <cfRule type="cellIs" dxfId="518" priority="120" operator="greaterThan">
      <formula>0</formula>
    </cfRule>
  </conditionalFormatting>
  <conditionalFormatting sqref="B7">
    <cfRule type="cellIs" dxfId="517" priority="121" operator="lessThan">
      <formula>0</formula>
    </cfRule>
  </conditionalFormatting>
  <conditionalFormatting sqref="B7">
    <cfRule type="cellIs" dxfId="516" priority="122" operator="greaterThan">
      <formula>0</formula>
    </cfRule>
  </conditionalFormatting>
  <conditionalFormatting sqref="B7">
    <cfRule type="cellIs" dxfId="515" priority="123" operator="lessThan">
      <formula>0</formula>
    </cfRule>
  </conditionalFormatting>
  <conditionalFormatting sqref="AE3:AE6">
    <cfRule type="cellIs" dxfId="514" priority="119" operator="lessThan">
      <formula>0.01</formula>
    </cfRule>
  </conditionalFormatting>
  <conditionalFormatting sqref="S3">
    <cfRule type="cellIs" dxfId="513" priority="118" operator="lessThan">
      <formula>0.01</formula>
    </cfRule>
  </conditionalFormatting>
  <conditionalFormatting sqref="AO3:AO42">
    <cfRule type="expression" dxfId="512" priority="117">
      <formula>$L$18-$R3&lt;0</formula>
    </cfRule>
  </conditionalFormatting>
  <conditionalFormatting sqref="AO3:AO42">
    <cfRule type="expression" dxfId="511" priority="116">
      <formula>$L$18-$R3&gt;0</formula>
    </cfRule>
  </conditionalFormatting>
  <conditionalFormatting sqref="Q3">
    <cfRule type="cellIs" dxfId="510" priority="111" operator="equal">
      <formula>0</formula>
    </cfRule>
  </conditionalFormatting>
  <conditionalFormatting sqref="AC3:AC42">
    <cfRule type="cellIs" dxfId="509" priority="110" operator="equal">
      <formula>0</formula>
    </cfRule>
  </conditionalFormatting>
  <conditionalFormatting sqref="Y3:Y42">
    <cfRule type="cellIs" dxfId="508" priority="107" operator="equal">
      <formula>0</formula>
    </cfRule>
  </conditionalFormatting>
  <conditionalFormatting sqref="Z3:Z42">
    <cfRule type="cellIs" dxfId="507" priority="106" operator="equal">
      <formula>0</formula>
    </cfRule>
  </conditionalFormatting>
  <conditionalFormatting sqref="AH3:AI42">
    <cfRule type="cellIs" dxfId="506" priority="101" operator="equal">
      <formula>0</formula>
    </cfRule>
  </conditionalFormatting>
  <conditionalFormatting sqref="AK3:AK42">
    <cfRule type="cellIs" dxfId="505" priority="100" operator="equal">
      <formula>0</formula>
    </cfRule>
  </conditionalFormatting>
  <conditionalFormatting sqref="AL3:AL42">
    <cfRule type="cellIs" dxfId="504" priority="99" operator="equal">
      <formula>0</formula>
    </cfRule>
  </conditionalFormatting>
  <conditionalFormatting sqref="AD18:AD26">
    <cfRule type="expression" dxfId="503" priority="97">
      <formula>AC18&gt;0</formula>
    </cfRule>
  </conditionalFormatting>
  <conditionalFormatting sqref="AD18:AD26">
    <cfRule type="expression" dxfId="502" priority="98">
      <formula>AC18&lt;0</formula>
    </cfRule>
  </conditionalFormatting>
  <conditionalFormatting sqref="AE7:AE8">
    <cfRule type="cellIs" dxfId="501" priority="96" operator="lessThan">
      <formula>0.01</formula>
    </cfRule>
  </conditionalFormatting>
  <conditionalFormatting sqref="AE9:AE42">
    <cfRule type="cellIs" dxfId="500" priority="62" operator="lessThan">
      <formula>0.01</formula>
    </cfRule>
  </conditionalFormatting>
  <conditionalFormatting sqref="R3">
    <cfRule type="expression" dxfId="499" priority="60">
      <formula>Q3&gt;0</formula>
    </cfRule>
  </conditionalFormatting>
  <conditionalFormatting sqref="R3">
    <cfRule type="expression" dxfId="498" priority="61">
      <formula>Q3&lt;0</formula>
    </cfRule>
  </conditionalFormatting>
  <conditionalFormatting sqref="N36">
    <cfRule type="cellIs" dxfId="497" priority="59" operator="lessThan">
      <formula>0</formula>
    </cfRule>
  </conditionalFormatting>
  <conditionalFormatting sqref="AD3:AD17">
    <cfRule type="expression" dxfId="496" priority="55">
      <formula>AC3&gt;0</formula>
    </cfRule>
  </conditionalFormatting>
  <conditionalFormatting sqref="AD3:AD17">
    <cfRule type="expression" dxfId="495" priority="56">
      <formula>AC3&lt;0</formula>
    </cfRule>
  </conditionalFormatting>
  <conditionalFormatting sqref="Q4:Q42">
    <cfRule type="cellIs" dxfId="494" priority="46" operator="greaterThan">
      <formula>0</formula>
    </cfRule>
  </conditionalFormatting>
  <conditionalFormatting sqref="Q4:Q42">
    <cfRule type="cellIs" dxfId="493" priority="47" operator="lessThan">
      <formula>0</formula>
    </cfRule>
  </conditionalFormatting>
  <conditionalFormatting sqref="Q4:Q42">
    <cfRule type="cellIs" dxfId="492" priority="48" operator="greaterThan">
      <formula>0</formula>
    </cfRule>
  </conditionalFormatting>
  <conditionalFormatting sqref="Q4:Q42">
    <cfRule type="cellIs" dxfId="491" priority="49" operator="lessThan">
      <formula>0</formula>
    </cfRule>
  </conditionalFormatting>
  <conditionalFormatting sqref="P4:P42">
    <cfRule type="expression" dxfId="490" priority="44">
      <formula>$L$18-$R4&lt;0</formula>
    </cfRule>
  </conditionalFormatting>
  <conditionalFormatting sqref="P4:P42">
    <cfRule type="expression" dxfId="489" priority="43">
      <formula>$L$18-$R4&gt;0</formula>
    </cfRule>
  </conditionalFormatting>
  <conditionalFormatting sqref="S4:S42">
    <cfRule type="cellIs" dxfId="488" priority="39" operator="lessThan">
      <formula>0.01</formula>
    </cfRule>
  </conditionalFormatting>
  <conditionalFormatting sqref="Q4:Q42">
    <cfRule type="cellIs" dxfId="487" priority="38" operator="equal">
      <formula>0</formula>
    </cfRule>
  </conditionalFormatting>
  <conditionalFormatting sqref="R3:R42">
    <cfRule type="expression" dxfId="486" priority="34">
      <formula>Q3&gt;0</formula>
    </cfRule>
  </conditionalFormatting>
  <conditionalFormatting sqref="R3:R42">
    <cfRule type="expression" dxfId="485" priority="35">
      <formula>Q3&lt;0</formula>
    </cfRule>
  </conditionalFormatting>
  <conditionalFormatting sqref="AM3">
    <cfRule type="cellIs" dxfId="484" priority="31" operator="equal">
      <formula>0</formula>
    </cfRule>
  </conditionalFormatting>
  <conditionalFormatting sqref="AM4:AM42">
    <cfRule type="cellIs" dxfId="483" priority="30" operator="equal">
      <formula>0</formula>
    </cfRule>
  </conditionalFormatting>
  <conditionalFormatting sqref="AM3:AM4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482" priority="13" operator="equal">
      <formula>0</formula>
    </cfRule>
  </conditionalFormatting>
  <conditionalFormatting sqref="X3:X42">
    <cfRule type="cellIs" dxfId="481" priority="9" operator="equal">
      <formula>0</formula>
    </cfRule>
  </conditionalFormatting>
  <conditionalFormatting sqref="R13">
    <cfRule type="expression" dxfId="480" priority="1">
      <formula>Q13&gt;0</formula>
    </cfRule>
  </conditionalFormatting>
  <conditionalFormatting sqref="R13">
    <cfRule type="expression" dxfId="479" priority="2">
      <formula>Q13&lt;0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2" sqref="A12:A2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591</v>
      </c>
      <c r="B3" s="20"/>
      <c r="C3" s="19"/>
      <c r="D3" s="20"/>
      <c r="E3" s="473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592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593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502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629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630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631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632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633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634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635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636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637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502" t="s">
        <v>638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600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601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602</v>
      </c>
      <c r="B24" s="20"/>
      <c r="C24" s="19"/>
      <c r="D24" s="20"/>
      <c r="E24" s="19" t="s">
        <v>618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603</v>
      </c>
      <c r="B25" s="20"/>
      <c r="C25" s="19"/>
      <c r="D25" s="20"/>
      <c r="E25" s="19" t="s">
        <v>619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604</v>
      </c>
      <c r="B26" s="20"/>
      <c r="C26" s="19"/>
      <c r="D26" s="20"/>
      <c r="E26" s="19" t="s">
        <v>620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605</v>
      </c>
      <c r="B27" s="20"/>
      <c r="C27" s="19"/>
      <c r="D27" s="20"/>
      <c r="E27" s="19" t="s">
        <v>621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606</v>
      </c>
      <c r="B28" s="20"/>
      <c r="C28" s="19"/>
      <c r="D28" s="20"/>
      <c r="E28" s="19" t="s">
        <v>622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607</v>
      </c>
      <c r="B29" s="20"/>
      <c r="C29" s="19"/>
      <c r="D29" s="20"/>
      <c r="E29" s="19" t="s">
        <v>623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608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502" t="s">
        <v>609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611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612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613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614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615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616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41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41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41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41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2024-03-28T15:03:25Z</dcterms:modified>
</cp:coreProperties>
</file>