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0082A5D-7FD8-41A0-AE96-CDE9F4DE7BFB}" xr6:coauthVersionLast="47" xr6:coauthVersionMax="47" xr10:uidLastSave="{00000000-0000-0000-0000-000000000000}"/>
  <bookViews>
    <workbookView xWindow="14370" yWindow="330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38" l="1"/>
  <c r="AA59" i="38"/>
  <c r="AA58" i="38"/>
  <c r="AA57" i="38"/>
  <c r="AA56" i="38"/>
  <c r="AA55" i="38"/>
  <c r="AA54" i="38"/>
  <c r="AA53" i="38"/>
  <c r="AA52" i="38"/>
  <c r="AA51" i="38"/>
  <c r="AA50" i="38"/>
  <c r="AA42" i="38"/>
  <c r="AA34" i="38"/>
  <c r="AA33" i="38"/>
  <c r="AA31" i="38"/>
  <c r="Z39" i="38"/>
  <c r="AA39" i="38" s="1"/>
  <c r="Z38" i="38"/>
  <c r="AA38" i="38" s="1"/>
  <c r="Z37" i="38"/>
  <c r="AA37" i="38" s="1"/>
  <c r="Z36" i="38"/>
  <c r="AA36" i="38" s="1"/>
  <c r="Z35" i="38"/>
  <c r="AA35" i="38" s="1"/>
  <c r="Z34" i="38"/>
  <c r="Z33" i="38"/>
  <c r="Z32" i="38"/>
  <c r="AA32" i="38" s="1"/>
  <c r="Z31" i="38"/>
  <c r="Z30" i="38"/>
  <c r="AA30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1" i="38"/>
  <c r="AH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" i="38" l="1"/>
  <c r="Z138" i="38" s="1"/>
  <c r="Z28" i="38"/>
  <c r="Z89" i="38"/>
  <c r="AA29" i="38"/>
  <c r="AA28" i="38"/>
  <c r="Z88" i="38"/>
  <c r="AA27" i="38"/>
  <c r="AA26" i="38"/>
  <c r="Z101" i="38"/>
  <c r="Z26" i="38"/>
  <c r="Z95" i="38"/>
  <c r="Z118" i="38"/>
  <c r="Z85" i="38"/>
  <c r="Z142" i="38"/>
  <c r="Z106" i="38"/>
  <c r="Z107" i="38"/>
  <c r="Z143" i="38"/>
  <c r="Z77" i="38"/>
  <c r="Z84" i="38"/>
  <c r="Z156" i="38"/>
  <c r="Z144" i="38"/>
  <c r="Z145" i="38"/>
  <c r="Z15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79" i="38" l="1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<sst xmlns="http://schemas.openxmlformats.org/spreadsheetml/2006/main" count="1527" uniqueCount="669">
  <si>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</si>
  <si>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</si>
  <si>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</si>
  <si>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</si>
  <si>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</si>
  <si>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</si>
  <si>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</si>
  <si>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</si>
  <si>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</si>
  <si>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</si>
  <si>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</si>
  <si>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</si>
  <si>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</si>
  <si>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</si>
  <si>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</si>
  <si>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</si>
  <si>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</si>
  <si>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</si>
  <si>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</si>
  <si>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</si>
  <si>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</si>
  <si>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</si>
  <si>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</si>
  <si>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</si>
  <si>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</si>
  <si>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</si>
  <si>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</si>
  <si>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</si>
  <si>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</si>
  <si>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</si>
  <si>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</si>
  <si>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</si>
  <si>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</si>
  <si>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</si>
  <si>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</si>
  <si>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</si>
  <si>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</si>
  <si>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</si>
  <si>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</si>
  <si>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</si>
  <si>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</si>
  <si>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</si>
  <si>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</si>
  <si>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</si>
  <si>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</si>
  <si>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</si>
  <si>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</si>
  <si>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</si>
  <si>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</si>
  <si>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</si>
  <si>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</si>
  <si>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</si>
  <si>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</si>
  <si>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</si>
  <si>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</si>
  <si>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</si>
  <si>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</si>
  <si>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</si>
  <si>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</si>
  <si>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</si>
  <si>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</si>
  <si>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</si>
  <si>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</si>
  <si>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</si>
  <si>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</si>
  <si>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</si>
  <si>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</si>
  <si>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</si>
  <si>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</si>
  <si>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</si>
  <si>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</si>
  <si>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</si>
  <si>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</si>
  <si>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</si>
  <si>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</si>
  <si>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</si>
  <si>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</si>
  <si>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</si>
  <si>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</si>
  <si>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</si>
  <si>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</si>
  <si>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</si>
  <si>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</si>
  <si>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</si>
  <si>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</si>
  <si>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</si>
  <si>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</si>
  <si>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</si>
  <si>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</si>
  <si>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</si>
  <si>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</si>
  <si>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</si>
  <si>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</si>
  <si>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</si>
  <si>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</si>
  <si>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</si>
  <si>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</si>
  <si>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</si>
  <si>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</si>
  <si>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</si>
  <si>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</si>
  <si>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</si>
  <si>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</si>
  <si>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</si>
  <si>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</si>
  <si>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</si>
  <si>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</si>
  <si>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</si>
  <si>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</si>
  <si>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</si>
  <si>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</si>
  <si>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</si>
  <si>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</si>
  <si>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</si>
  <si>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</si>
  <si>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</si>
  <si>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</si>
  <si>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</si>
  <si>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</si>
  <si>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</si>
  <si>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</si>
  <si>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</si>
  <si>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</si>
  <si>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</si>
  <si>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</si>
  <si>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</si>
  <si>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</si>
  <si>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</si>
  <si>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</si>
  <si>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</si>
  <si>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</si>
  <si>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</si>
  <si>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</si>
  <si>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</si>
  <si>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</si>
  <si>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</si>
  <si>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</si>
  <si>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</si>
  <si>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</si>
  <si>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</si>
  <si>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</si>
  <si>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</si>
  <si>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</si>
  <si>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</si>
  <si>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</si>
  <si>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</si>
  <si>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</si>
  <si>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</si>
  <si>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</si>
  <si>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</si>
  <si>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</si>
  <si>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</si>
  <si>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</si>
  <si>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</si>
  <si>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</si>
  <si>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</si>
  <si>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</si>
  <si>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</si>
  <si>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</si>
  <si>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</si>
  <si>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</si>
  <si>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</si>
  <si>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</si>
  <si>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</si>
  <si>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</si>
  <si>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</si>
  <si>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</si>
  <si>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</si>
  <si>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</si>
  <si>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</si>
  <si>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</si>
  <si>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</si>
  <si>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</si>
  <si>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</si>
  <si>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</si>
  <si>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</si>
  <si>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</si>
  <si>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</si>
  <si>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</si>
  <si>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</si>
  <si>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</si>
  <si>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</si>
  <si>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</si>
  <si>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</si>
  <si>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</si>
  <si>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</si>
  <si>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</si>
  <si>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</si>
  <si>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</si>
  <si>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</si>
  <si>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</si>
  <si>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</si>
  <si>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</si>
  <si>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</si>
  <si>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</si>
  <si>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</si>
  <si>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</si>
  <si>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</si>
  <si>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</si>
  <si>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</si>
  <si>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</si>
  <si>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</si>
  <si>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</si>
  <si>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</si>
  <si>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</si>
  <si>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</si>
  <si>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</si>
  <si>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</si>
  <si>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</si>
  <si>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</si>
  <si>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</si>
  <si>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</si>
  <si>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</si>
  <si>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</si>
  <si>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</si>
  <si>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</si>
  <si>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</si>
  <si>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</si>
  <si>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</si>
  <si>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</si>
  <si>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</si>
  <si>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</si>
  <si>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</si>
  <si>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</si>
  <si>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</si>
  <si>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</si>
  <si>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</si>
  <si>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</si>
  <si>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</si>
  <si>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</si>
  <si>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</si>
  <si>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</si>
  <si>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</si>
  <si>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</si>
  <si>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</si>
  <si>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</si>
  <si>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</si>
  <si>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</si>
  <si>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</si>
  <si>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</si>
  <si>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</si>
  <si>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</si>
  <si>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</si>
  <si>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</si>
  <si>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</si>
  <si>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</si>
  <si>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</si>
  <si>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</si>
  <si>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</si>
  <si>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</si>
  <si>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</si>
  <si>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</si>
  <si>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</si>
  <si>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</si>
  <si>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</si>
  <si>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</si>
  <si>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</si>
  <si>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</si>
  <si>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</si>
  <si>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</si>
  <si>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</si>
  <si>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</si>
  <si>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</si>
  <si>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</si>
  <si>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</si>
  <si>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</si>
  <si>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</si>
  <si>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</si>
  <si>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</si>
  <si>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</si>
  <si>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</si>
  <si>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</si>
  <si>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</si>
  <si>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</si>
  <si>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</si>
  <si>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</si>
  <si>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</si>
  <si>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</si>
  <si>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</si>
  <si>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</si>
  <si>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</si>
  <si>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</si>
  <si>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</si>
  <si>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</si>
  <si>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</si>
  <si>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</si>
  <si>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</si>
  <si>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</si>
  <si>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</si>
  <si>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</si>
  <si>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</si>
  <si>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</si>
  <si>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</si>
  <si>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</si>
  <si>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</si>
  <si>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</si>
  <si>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</si>
  <si>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</si>
  <si>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</si>
  <si>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</si>
  <si>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</si>
  <si>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</si>
  <si>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</si>
  <si>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</si>
  <si>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</si>
  <si>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</si>
  <si>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</si>
  <si>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</si>
  <si>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</si>
  <si>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</si>
  <si>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</si>
  <si>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</si>
  <si>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</si>
  <si>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</si>
  <si>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</si>
  <si>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</si>
  <si>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</si>
  <si>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</si>
  <si>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</si>
  <si>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</si>
  <si>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</si>
  <si>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</si>
  <si>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</si>
  <si>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</si>
  <si>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</si>
  <si>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</si>
  <si>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</si>
  <si>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</si>
  <si>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</si>
  <si>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</si>
  <si>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</si>
  <si>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</si>
  <si>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</si>
  <si>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</si>
  <si>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</si>
  <si>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</si>
  <si>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</si>
  <si>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</si>
  <si>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</si>
  <si>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</si>
  <si>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</si>
  <si>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</si>
  <si>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</si>
  <si>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</si>
  <si>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</si>
  <si>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</si>
  <si>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</si>
  <si>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</si>
  <si>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</si>
  <si>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</si>
  <si>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</si>
  <si>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</si>
  <si>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</si>
  <si>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</si>
  <si>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</si>
  <si>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</si>
  <si>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</si>
  <si>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</si>
  <si>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</si>
  <si>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</si>
  <si>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</si>
  <si>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</si>
  <si>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</si>
  <si>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</si>
  <si>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</si>
  <si>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</si>
  <si>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</si>
  <si>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</si>
  <si>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</si>
  <si>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</si>
  <si>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</si>
  <si>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</si>
  <si>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</si>
  <si>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</si>
  <si>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</si>
  <si>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</si>
  <si>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</si>
  <si>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</si>
  <si>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</si>
  <si>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</si>
  <si>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</si>
  <si>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</si>
  <si>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</si>
  <si>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</si>
  <si>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</si>
  <si>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</si>
  <si>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</si>
  <si>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</si>
  <si>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</si>
  <si>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</si>
  <si>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</si>
  <si>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</si>
  <si>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</si>
  <si>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</si>
  <si>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</si>
  <si>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</si>
  <si>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</si>
  <si>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</si>
  <si>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</si>
  <si>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</si>
  <si>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</si>
  <si>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</si>
  <si>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</si>
  <si>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</si>
  <si>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</si>
  <si>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</si>
  <si>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</si>
  <si>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</si>
  <si>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</si>
  <si>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</si>
  <si>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</si>
  <si>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</si>
  <si>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</si>
  <si>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</si>
  <si>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</si>
  <si>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</si>
  <si>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</si>
  <si>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</si>
  <si>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</si>
  <si>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</si>
  <si>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</si>
  <si>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</si>
  <si>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</si>
  <si>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</si>
  <si>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</si>
  <si>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</si>
  <si>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</si>
  <si>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</si>
  <si>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</si>
  <si>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</si>
  <si>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</si>
  <si>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</si>
  <si>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</si>
  <si>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</si>
  <si>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</si>
  <si>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</si>
  <si>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</si>
  <si>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</si>
  <si>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</si>
  <si>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</si>
  <si>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</si>
  <si>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</si>
  <si>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</si>
  <si>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</si>
  <si>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</si>
  <si>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</si>
  <si>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</si>
  <si>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</si>
  <si>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</si>
  <si>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</si>
  <si>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</si>
  <si>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</si>
  <si>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</si>
  <si>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</si>
  <si>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</si>
  <si>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</si>
  <si>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</si>
  <si>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</si>
  <si>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</si>
  <si>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</si>
  <si>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</si>
  <si>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</si>
  <si>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</si>
  <si>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</si>
  <si>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</si>
  <si>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</si>
  <si>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</si>
  <si>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</si>
  <si>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</si>
  <si>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</si>
  <si>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</si>
  <si>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</si>
  <si>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</si>
  <si>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</si>
  <si>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</si>
  <si>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</si>
  <si>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</si>
  <si>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</si>
  <si>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</si>
  <si>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</si>
  <si>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</si>
  <si>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</si>
  <si>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</si>
  <si>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</si>
  <si>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</si>
  <si>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</si>
  <si>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</si>
  <si>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</si>
  <si>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</si>
  <si>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</si>
  <si>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</si>
  <si>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</si>
  <si>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</si>
  <si>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</si>
  <si>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</si>
  <si>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</si>
  <si>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</si>
  <si>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</si>
  <si>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</si>
  <si>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</si>
  <si>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</si>
  <si>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</si>
  <si>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</si>
  <si>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</si>
  <si>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</si>
  <si>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</si>
  <si>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</si>
  <si>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</si>
  <si>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</si>
  <si>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</si>
  <si>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</si>
  <si>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</si>
  <si>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</si>
  <si>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</si>
  <si>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</si>
  <si>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</si>
  <si>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</si>
  <si>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</si>
  <si>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</si>
  <si>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</si>
  <si>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</si>
  <si>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</si>
  <si>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</si>
  <si>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</si>
  <si>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</si>
  <si>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</si>
  <si>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</si>
  <si>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</si>
  <si>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</si>
  <si>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</si>
  <si>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</si>
  <si>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</si>
  <si>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</si>
  <si>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</si>
  <si>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</si>
  <si>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</si>
  <si>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</si>
  <si>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</si>
  <si>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</si>
  <si>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</si>
  <si>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</si>
  <si>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</si>
  <si>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</si>
  <si>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</si>
  <si>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</si>
  <si>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</si>
  <si>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</si>
  <si>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</si>
  <si>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</si>
  <si>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</si>
  <si>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</si>
  <si>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</si>
  <si>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</si>
  <si>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</si>
  <si>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</si>
  <si>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</si>
  <si>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</si>
  <si>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</si>
  <si>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</si>
  <si>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</si>
  <si>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</si>
  <si>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</si>
  <si>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</si>
  <si>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</si>
  <si>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</si>
  <si>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</si>
  <si>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</si>
  <si>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</si>
  <si>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</si>
  <si>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</si>
  <si>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</si>
  <si>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</si>
  <si>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</si>
  <si>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</si>
  <si>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</si>
  <si>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</si>
  <si>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</si>
  <si>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</si>
  <si>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</si>
  <si>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</si>
  <si>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</si>
  <si>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</si>
  <si>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</si>
  <si>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</si>
  <si>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</si>
  <si>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</si>
  <si>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8 días</t>
  </si>
  <si>
    <t>9 días</t>
  </si>
  <si>
    <t>10 días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</si>
  <si>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</si>
  <si>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</si>
  <si>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</si>
  <si>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</si>
  <si>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</si>
  <si>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</si>
  <si>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</si>
  <si>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</si>
  <si>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</si>
  <si>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</si>
  <si>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</si>
  <si>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</si>
  <si>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</si>
  <si>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</si>
  <si>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</si>
  <si>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</si>
  <si>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</si>
  <si>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</si>
  <si>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</si>
  <si>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</si>
  <si>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</si>
  <si>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</si>
  <si>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</si>
  <si>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</si>
  <si>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</si>
  <si>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</si>
  <si>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</si>
  <si>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</si>
  <si>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</si>
  <si>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</si>
  <si>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</si>
  <si>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</si>
  <si>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</si>
  <si>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</si>
  <si>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</si>
  <si>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</si>
  <si>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</si>
  <si>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</si>
  <si>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</si>
  <si>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</si>
  <si>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</si>
  <si>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</si>
  <si>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</si>
  <si>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</si>
  <si>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</si>
  <si>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</si>
  <si>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</si>
  <si>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</si>
  <si>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</si>
  <si>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</si>
  <si>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</si>
  <si>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</si>
  <si>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</si>
  <si>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</si>
  <si>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</si>
  <si>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</si>
  <si>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</si>
  <si>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</si>
  <si>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</si>
  <si>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</si>
  <si>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</si>
  <si>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</si>
  <si>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</si>
  <si>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</si>
  <si>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</si>
  <si>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</si>
  <si>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</si>
  <si>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</si>
  <si>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</si>
  <si>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S14J4 - 48hs</t>
  </si>
  <si>
    <t>SJ4C - spot</t>
  </si>
  <si>
    <t>SJ4C - 48hs</t>
  </si>
  <si>
    <t>SJ4D - spot</t>
  </si>
  <si>
    <t>SJ4D - 48hs</t>
  </si>
  <si>
    <t>S26L4 - spot</t>
  </si>
  <si>
    <t>S26L4 - 48hs</t>
  </si>
  <si>
    <t>SL4C - spot</t>
  </si>
  <si>
    <t>SL4C - 48hs</t>
  </si>
  <si>
    <t>SL4D - spot</t>
  </si>
  <si>
    <t>SL4D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</si>
</sst>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6"/>
      <color theme="4" tint="-0.499984740745262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1" tint="0.14999847407452621"/>
      <name val="Arial"/>
      <family val="2"/>
    </font>
    <font>
      <b/>
      <sz val="8"/>
      <color rgb="FF00206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6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/>
      <top style="thin">
        <color theme="1" tint="0.249977111117893"/>
      </top>
      <bottom style="thin">
        <color indexed="64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7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5" fillId="10" borderId="111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7" xfId="0" applyNumberFormat="1" applyFont="1" applyFill="1" applyBorder="1" applyAlignment="1">
      <alignment horizontal="center" vertical="center"/>
    </xf>
    <xf numFmtId="3" fontId="71" fillId="7" borderId="117" xfId="0" applyNumberFormat="1" applyFont="1" applyFill="1" applyBorder="1" applyAlignment="1">
      <alignment horizontal="center" vertical="center"/>
    </xf>
    <xf numFmtId="3" fontId="71" fillId="7" borderId="118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28" xfId="0" applyFont="1" applyFill="1" applyBorder="1" applyAlignment="1">
      <alignment horizontal="center" vertical="center"/>
    </xf>
    <xf numFmtId="0" fontId="50" fillId="21" borderId="129" xfId="0" applyFont="1" applyFill="1" applyBorder="1" applyAlignment="1">
      <alignment horizontal="center" vertical="center"/>
    </xf>
    <xf numFmtId="0" fontId="50" fillId="22" borderId="128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7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2" xfId="0" applyFont="1" applyFill="1" applyBorder="1" applyAlignment="1">
      <alignment horizontal="center" vertical="center"/>
    </xf>
    <xf numFmtId="0" fontId="75" fillId="25" borderId="133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0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29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0" xfId="0" applyFont="1" applyFill="1" applyBorder="1" applyAlignment="1">
      <alignment horizontal="left" vertical="center"/>
    </xf>
    <xf numFmtId="0" fontId="45" fillId="17" borderId="134" xfId="0" applyFont="1" applyFill="1" applyBorder="1" applyAlignment="1">
      <alignment horizontal="center" vertical="center"/>
    </xf>
    <xf numFmtId="0" fontId="45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5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77" fillId="9" borderId="125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horizontal="center" vertical="center"/>
    </xf>
    <xf numFmtId="0" fontId="80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139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0" fontId="70" fillId="9" borderId="123" xfId="55" applyNumberFormat="1" applyFont="1" applyFill="1" applyBorder="1" applyAlignment="1">
      <alignment horizontal="center" vertical="center"/>
    </xf>
    <xf numFmtId="2" fontId="70" fillId="9" borderId="119" xfId="55" applyNumberFormat="1" applyFont="1" applyFill="1" applyBorder="1" applyAlignment="1">
      <alignment horizontal="center" vertical="center"/>
    </xf>
    <xf numFmtId="0" fontId="93" fillId="9" borderId="110" xfId="0" applyFont="1" applyFill="1" applyBorder="1" applyAlignment="1">
      <alignment vertical="center"/>
    </xf>
    <xf numFmtId="1" fontId="70" fillId="9" borderId="116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4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4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70" fillId="9" borderId="149" xfId="55" applyNumberFormat="1" applyFont="1" applyFill="1" applyBorder="1" applyAlignment="1">
      <alignment horizontal="center" vertical="center"/>
    </xf>
    <xf numFmtId="0" fontId="70" fillId="9" borderId="116" xfId="0" applyNumberFormat="1" applyFont="1" applyFill="1" applyBorder="1" applyAlignment="1">
      <alignment horizontal="center" vertical="center"/>
    </xf>
    <xf numFmtId="0" fontId="70" fillId="9" borderId="122" xfId="0" applyNumberFormat="1" applyFont="1" applyFill="1" applyBorder="1" applyAlignment="1">
      <alignment horizontal="center" vertical="center"/>
    </xf>
    <xf numFmtId="0" fontId="70" fillId="9" borderId="108" xfId="55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44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3" xfId="0" applyFont="1" applyFill="1" applyBorder="1" applyAlignment="1">
      <alignment horizontal="right" vertical="center"/>
    </xf>
    <xf numFmtId="0" fontId="74" fillId="10" borderId="102" xfId="0" applyFont="1" applyFill="1" applyBorder="1" applyAlignment="1">
      <alignment horizontal="right" vertical="center"/>
    </xf>
    <xf numFmtId="3" fontId="74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80" fillId="9" borderId="153" xfId="0" applyNumberFormat="1" applyFont="1" applyFill="1" applyBorder="1" applyAlignment="1">
      <alignment horizontal="center" vertical="center"/>
    </xf>
    <xf numFmtId="0" fontId="70" fillId="9" borderId="145" xfId="0" applyNumberFormat="1" applyFont="1" applyFill="1" applyBorder="1" applyAlignment="1">
      <alignment horizontal="center" vertical="center"/>
    </xf>
    <xf numFmtId="3" fontId="94" fillId="7" borderId="117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6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8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70" fillId="9" borderId="157" xfId="0" applyNumberFormat="1" applyFont="1" applyFill="1" applyBorder="1" applyAlignment="1">
      <alignment horizontal="center" vertical="center"/>
    </xf>
    <xf numFmtId="0" fontId="70" fillId="9" borderId="143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6" xfId="55" applyNumberFormat="1" applyFont="1" applyFill="1" applyBorder="1" applyAlignment="1">
      <alignment horizontal="center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2" xfId="55" applyNumberFormat="1" applyFont="1" applyFill="1" applyBorder="1" applyAlignment="1">
      <alignment horizontal="center" vertical="center"/>
    </xf>
    <xf numFmtId="2" fontId="69" fillId="9" borderId="104" xfId="55" applyNumberFormat="1" applyFont="1" applyFill="1" applyBorder="1" applyAlignment="1">
      <alignment horizontal="center" vertical="center"/>
    </xf>
    <xf numFmtId="2" fontId="62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1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0" xfId="0" applyFont="1" applyFill="1" applyBorder="1" applyAlignment="1">
      <alignment horizontal="left" vertical="center"/>
    </xf>
    <xf numFmtId="0" fontId="35" fillId="10" borderId="164" xfId="0" applyFont="1" applyFill="1" applyBorder="1" applyAlignment="1">
      <alignment horizontal="right" vertical="center"/>
    </xf>
    <xf numFmtId="0" fontId="35" fillId="10" borderId="162" xfId="0" applyFont="1" applyFill="1" applyBorder="1" applyAlignment="1">
      <alignment horizontal="right" vertical="center"/>
    </xf>
    <xf numFmtId="0" fontId="35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70" fillId="9" borderId="168" xfId="0" applyNumberFormat="1" applyFont="1" applyFill="1" applyBorder="1" applyAlignment="1">
      <alignment horizontal="center" vertical="center"/>
    </xf>
    <xf numFmtId="0" fontId="90" fillId="9" borderId="166" xfId="55" applyNumberFormat="1" applyFont="1" applyFill="1" applyBorder="1" applyAlignment="1">
      <alignment horizontal="center" vertical="center"/>
    </xf>
    <xf numFmtId="2" fontId="69" fillId="9" borderId="163" xfId="55" applyNumberFormat="1" applyFont="1" applyFill="1" applyBorder="1" applyAlignment="1">
      <alignment horizontal="center" vertical="center"/>
    </xf>
    <xf numFmtId="2" fontId="62" fillId="9" borderId="163" xfId="0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1" fillId="10" borderId="159" xfId="0" applyFont="1" applyFill="1" applyBorder="1" applyAlignment="1">
      <alignment horizontal="right" vertical="center"/>
    </xf>
    <xf numFmtId="0" fontId="98" fillId="10" borderId="159" xfId="0" applyFont="1" applyFill="1" applyBorder="1" applyAlignment="1">
      <alignment horizontal="right" vertical="center"/>
    </xf>
    <xf numFmtId="0" fontId="98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2" xfId="55" applyNumberFormat="1" applyFont="1" applyFill="1" applyBorder="1" applyAlignment="1">
      <alignment horizontal="center" vertical="center"/>
    </xf>
    <xf numFmtId="1" fontId="91" fillId="38" borderId="169" xfId="77" applyNumberFormat="1" applyFont="1" applyFill="1" applyBorder="1" applyAlignment="1">
      <alignment horizontal="center" vertical="center"/>
    </xf>
    <xf numFmtId="1" fontId="91" fillId="38" borderId="170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63" xfId="0" applyFont="1" applyFill="1" applyBorder="1" applyAlignment="1">
      <alignment horizontal="center" vertical="center"/>
    </xf>
    <xf numFmtId="0" fontId="80" fillId="9" borderId="141" xfId="0" applyNumberFormat="1" applyFont="1" applyFill="1" applyBorder="1" applyAlignment="1">
      <alignment horizontal="center" vertical="center"/>
    </xf>
    <xf numFmtId="1" fontId="91" fillId="38" borderId="171" xfId="77" applyNumberFormat="1" applyFont="1" applyFill="1" applyBorder="1" applyAlignment="1">
      <alignment horizontal="center" vertical="center"/>
    </xf>
    <xf numFmtId="1" fontId="91" fillId="38" borderId="172" xfId="77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left" vertical="center"/>
    </xf>
    <xf numFmtId="166" fontId="70" fillId="9" borderId="125" xfId="55" applyNumberFormat="1" applyFont="1" applyFill="1" applyBorder="1" applyAlignment="1">
      <alignment horizontal="left" vertical="center"/>
    </xf>
    <xf numFmtId="166" fontId="99" fillId="9" borderId="0" xfId="55" applyNumberFormat="1" applyFont="1" applyFill="1" applyAlignment="1">
      <alignment horizontal="left"/>
    </xf>
    <xf numFmtId="10" fontId="100" fillId="10" borderId="95" xfId="114" applyNumberFormat="1" applyFont="1" applyFill="1" applyBorder="1" applyAlignment="1">
      <alignment horizontal="center" vertical="center"/>
    </xf>
    <xf numFmtId="10" fontId="100" fillId="10" borderId="96" xfId="114" applyNumberFormat="1" applyFont="1" applyFill="1" applyBorder="1" applyAlignment="1">
      <alignment horizontal="center" vertical="center"/>
    </xf>
    <xf numFmtId="10" fontId="100" fillId="10" borderId="104" xfId="114" applyNumberFormat="1" applyFont="1" applyFill="1" applyBorder="1" applyAlignment="1">
      <alignment horizontal="center" vertical="center"/>
    </xf>
    <xf numFmtId="10" fontId="100" fillId="10" borderId="163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4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right"/>
    </xf>
    <xf numFmtId="166" fontId="99" fillId="9" borderId="98" xfId="55" applyNumberFormat="1" applyFont="1" applyFill="1" applyBorder="1" applyAlignment="1">
      <alignment horizontal="left"/>
    </xf>
    <xf numFmtId="0" fontId="77" fillId="9" borderId="108" xfId="0" applyNumberFormat="1" applyFont="1" applyFill="1" applyBorder="1" applyAlignment="1">
      <alignment horizontal="center" vertical="center"/>
    </xf>
    <xf numFmtId="0" fontId="101" fillId="9" borderId="108" xfId="0" applyNumberFormat="1" applyFont="1" applyFill="1" applyBorder="1" applyAlignment="1">
      <alignment horizontal="center" vertical="center"/>
    </xf>
    <xf numFmtId="2" fontId="102" fillId="9" borderId="116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horizontal="center" vertical="center"/>
    </xf>
    <xf numFmtId="2" fontId="69" fillId="9" borderId="167" xfId="0" applyNumberFormat="1" applyFont="1" applyFill="1" applyBorder="1" applyAlignment="1">
      <alignment horizontal="center" vertical="center"/>
    </xf>
    <xf numFmtId="2" fontId="69" fillId="9" borderId="153" xfId="0" applyNumberFormat="1" applyFont="1" applyFill="1" applyBorder="1" applyAlignment="1">
      <alignment horizontal="center" vertical="center"/>
    </xf>
    <xf numFmtId="0" fontId="77" fillId="9" borderId="108" xfId="0" applyNumberFormat="1" applyFont="1" applyFill="1" applyBorder="1" applyAlignment="1">
      <alignment vertical="center"/>
    </xf>
    <xf numFmtId="0" fontId="101" fillId="9" borderId="108" xfId="0" applyNumberFormat="1" applyFont="1" applyFill="1" applyBorder="1" applyAlignment="1">
      <alignment vertical="center"/>
    </xf>
    <xf numFmtId="2" fontId="102" fillId="9" borderId="116" xfId="0" applyNumberFormat="1" applyFont="1" applyFill="1" applyBorder="1" applyAlignment="1">
      <alignment vertical="center"/>
    </xf>
    <xf numFmtId="0" fontId="76" fillId="9" borderId="108" xfId="0" applyNumberFormat="1" applyFont="1" applyFill="1" applyBorder="1" applyAlignment="1">
      <alignment vertical="center"/>
    </xf>
    <xf numFmtId="2" fontId="69" fillId="9" borderId="153" xfId="0" applyNumberFormat="1" applyFont="1" applyFill="1" applyBorder="1" applyAlignment="1">
      <alignment horizontal="center" vertical="top"/>
    </xf>
    <xf numFmtId="2" fontId="103" fillId="9" borderId="153" xfId="0" applyNumberFormat="1" applyFont="1" applyFill="1" applyBorder="1" applyAlignment="1">
      <alignment vertical="center"/>
    </xf>
    <xf numFmtId="2" fontId="69" fillId="9" borderId="153" xfId="0" applyNumberFormat="1" applyFont="1" applyFill="1" applyBorder="1" applyAlignment="1">
      <alignment vertical="center"/>
    </xf>
    <xf numFmtId="0" fontId="72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3" fontId="95" fillId="10" borderId="175" xfId="0" applyNumberFormat="1" applyFont="1" applyFill="1" applyBorder="1" applyAlignment="1">
      <alignment horizontal="right" vertical="center"/>
    </xf>
    <xf numFmtId="3" fontId="95" fillId="10" borderId="176" xfId="0" applyNumberFormat="1" applyFont="1" applyFill="1" applyBorder="1" applyAlignment="1">
      <alignment horizontal="right" vertical="center"/>
    </xf>
    <xf numFmtId="3" fontId="95" fillId="10" borderId="177" xfId="0" applyNumberFormat="1" applyFont="1" applyFill="1" applyBorder="1" applyAlignment="1">
      <alignment horizontal="right" vertical="center"/>
    </xf>
    <xf numFmtId="3" fontId="95" fillId="10" borderId="178" xfId="0" applyNumberFormat="1" applyFont="1" applyFill="1" applyBorder="1" applyAlignment="1">
      <alignment horizontal="right" vertical="center"/>
    </xf>
    <xf numFmtId="3" fontId="95" fillId="10" borderId="179" xfId="0" applyNumberFormat="1" applyFont="1" applyFill="1" applyBorder="1" applyAlignment="1">
      <alignment horizontal="right" vertical="center"/>
    </xf>
    <xf numFmtId="3" fontId="95" fillId="10" borderId="180" xfId="0" applyNumberFormat="1" applyFont="1" applyFill="1" applyBorder="1" applyAlignment="1">
      <alignment horizontal="right" vertical="center"/>
    </xf>
    <xf numFmtId="3" fontId="95" fillId="10" borderId="174" xfId="0" applyNumberFormat="1" applyFont="1" applyFill="1" applyBorder="1" applyAlignment="1">
      <alignment horizontal="right" vertical="center"/>
    </xf>
    <xf numFmtId="3" fontId="95" fillId="10" borderId="181" xfId="0" applyNumberFormat="1" applyFont="1" applyFill="1" applyBorder="1" applyAlignment="1">
      <alignment horizontal="right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9" borderId="184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1" fontId="91" fillId="38" borderId="195" xfId="77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5" fillId="39" borderId="197" xfId="55" applyNumberFormat="1" applyFont="1" applyFill="1" applyBorder="1" applyAlignment="1">
      <alignment horizontal="center" vertical="center"/>
    </xf>
    <xf numFmtId="3" fontId="104" fillId="10" borderId="138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22" xfId="55" applyNumberFormat="1" applyFont="1" applyFill="1" applyBorder="1" applyAlignment="1">
      <alignment horizontal="center" vertical="center"/>
    </xf>
    <xf numFmtId="0" fontId="69" fillId="9" borderId="153" xfId="55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horizontal="left" vertical="center"/>
    </xf>
    <xf numFmtId="0" fontId="106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5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5" fillId="42" borderId="198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5" fillId="42" borderId="186" xfId="55" applyNumberFormat="1" applyFont="1" applyFill="1" applyBorder="1" applyAlignment="1">
      <alignment horizontal="center" vertical="center"/>
    </xf>
    <xf numFmtId="0" fontId="15" fillId="42" borderId="187" xfId="55" applyNumberFormat="1" applyFont="1" applyFill="1" applyBorder="1" applyAlignment="1">
      <alignment horizontal="center" vertical="center"/>
    </xf>
    <xf numFmtId="0" fontId="15" fillId="42" borderId="188" xfId="55" applyNumberFormat="1" applyFont="1" applyFill="1" applyBorder="1" applyAlignment="1">
      <alignment horizontal="center" vertical="center"/>
    </xf>
    <xf numFmtId="0" fontId="15" fillId="42" borderId="200" xfId="55" applyNumberFormat="1" applyFont="1" applyFill="1" applyBorder="1" applyAlignment="1">
      <alignment horizontal="center" vertical="center"/>
    </xf>
    <xf numFmtId="0" fontId="15" fillId="42" borderId="207" xfId="55" applyNumberFormat="1" applyFont="1" applyFill="1" applyBorder="1" applyAlignment="1">
      <alignment horizontal="center" vertical="center"/>
    </xf>
    <xf numFmtId="0" fontId="109" fillId="9" borderId="108" xfId="0" applyNumberFormat="1" applyFont="1" applyFill="1" applyBorder="1" applyAlignment="1">
      <alignment horizontal="center" vertical="center"/>
    </xf>
    <xf numFmtId="0" fontId="109" fillId="9" borderId="116" xfId="0" applyNumberFormat="1" applyFont="1" applyFill="1" applyBorder="1" applyAlignment="1">
      <alignment horizontal="center" vertical="center"/>
    </xf>
    <xf numFmtId="0" fontId="109" fillId="9" borderId="122" xfId="0" applyNumberFormat="1" applyFont="1" applyFill="1" applyBorder="1" applyAlignment="1">
      <alignment horizontal="center" vertical="center"/>
    </xf>
    <xf numFmtId="0" fontId="109" fillId="9" borderId="1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110" fillId="10" borderId="121" xfId="0" applyNumberFormat="1" applyFont="1" applyFill="1" applyBorder="1" applyAlignment="1">
      <alignment horizontal="center" vertical="center"/>
    </xf>
    <xf numFmtId="0" fontId="8" fillId="4" borderId="208" xfId="65" applyFont="1" applyFill="1" applyBorder="1" applyAlignment="1">
      <alignment horizontal="center"/>
    </xf>
    <xf numFmtId="0" fontId="8" fillId="4" borderId="208" xfId="31" applyFont="1" applyFill="1" applyBorder="1" applyAlignment="1">
      <alignment horizontal="center"/>
    </xf>
    <xf numFmtId="0" fontId="61" fillId="10" borderId="126" xfId="0" applyFont="1" applyFill="1" applyBorder="1" applyAlignment="1">
      <alignment horizontal="right" vertical="center"/>
    </xf>
    <xf numFmtId="0" fontId="61" fillId="9" borderId="158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0" fillId="10" borderId="94" xfId="114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left" vertical="center"/>
    </xf>
    <xf numFmtId="0" fontId="90" fillId="9" borderId="106" xfId="55" applyNumberFormat="1" applyFont="1" applyFill="1" applyBorder="1" applyAlignment="1">
      <alignment horizontal="center" vertical="center"/>
    </xf>
    <xf numFmtId="0" fontId="64" fillId="9" borderId="106" xfId="55" applyNumberFormat="1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4" fillId="9" borderId="114" xfId="55" applyNumberFormat="1" applyFont="1" applyFill="1" applyBorder="1" applyAlignment="1">
      <alignment horizontal="center" vertical="center"/>
    </xf>
    <xf numFmtId="0" fontId="90" fillId="9" borderId="114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169" fontId="105" fillId="10" borderId="92" xfId="0" applyNumberFormat="1" applyFont="1" applyFill="1" applyBorder="1" applyAlignment="1">
      <alignment horizontal="center" vertical="center"/>
    </xf>
    <xf numFmtId="169" fontId="105" fillId="10" borderId="91" xfId="0" applyNumberFormat="1" applyFont="1" applyFill="1" applyBorder="1" applyAlignment="1">
      <alignment horizontal="center" vertical="center"/>
    </xf>
    <xf numFmtId="169" fontId="105" fillId="10" borderId="96" xfId="0" applyNumberFormat="1" applyFont="1" applyFill="1" applyBorder="1" applyAlignment="1">
      <alignment horizontal="center" vertical="center"/>
    </xf>
    <xf numFmtId="169" fontId="105" fillId="10" borderId="95" xfId="0" applyNumberFormat="1" applyFont="1" applyFill="1" applyBorder="1" applyAlignment="1">
      <alignment horizontal="center" vertical="center"/>
    </xf>
    <xf numFmtId="169" fontId="105" fillId="10" borderId="90" xfId="0" applyNumberFormat="1" applyFont="1" applyFill="1" applyBorder="1" applyAlignment="1">
      <alignment horizontal="center" vertical="center"/>
    </xf>
    <xf numFmtId="169" fontId="105" fillId="10" borderId="97" xfId="0" applyNumberFormat="1" applyFont="1" applyFill="1" applyBorder="1" applyAlignment="1">
      <alignment horizontal="center" vertical="center"/>
    </xf>
    <xf numFmtId="169" fontId="105" fillId="10" borderId="98" xfId="0" applyNumberFormat="1" applyFont="1" applyFill="1" applyBorder="1" applyAlignment="1">
      <alignment horizontal="center" vertical="center"/>
    </xf>
    <xf numFmtId="0" fontId="105" fillId="10" borderId="92" xfId="0" applyNumberFormat="1" applyFont="1" applyFill="1" applyBorder="1" applyAlignment="1">
      <alignment horizontal="center" vertical="center"/>
    </xf>
    <xf numFmtId="0" fontId="105" fillId="10" borderId="91" xfId="0" applyNumberFormat="1" applyFont="1" applyFill="1" applyBorder="1" applyAlignment="1">
      <alignment horizontal="center" vertical="center"/>
    </xf>
    <xf numFmtId="0" fontId="105" fillId="10" borderId="96" xfId="0" applyNumberFormat="1" applyFont="1" applyFill="1" applyBorder="1" applyAlignment="1">
      <alignment horizontal="center" vertical="center"/>
    </xf>
    <xf numFmtId="0" fontId="105" fillId="10" borderId="97" xfId="0" applyNumberFormat="1" applyFont="1" applyFill="1" applyBorder="1" applyAlignment="1">
      <alignment horizontal="center" vertical="center"/>
    </xf>
    <xf numFmtId="0" fontId="105" fillId="10" borderId="90" xfId="0" applyNumberFormat="1" applyFont="1" applyFill="1" applyBorder="1" applyAlignment="1">
      <alignment horizontal="center" vertical="center"/>
    </xf>
    <xf numFmtId="0" fontId="105" fillId="10" borderId="95" xfId="0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0" fontId="105" fillId="10" borderId="162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1" xfId="0" applyNumberFormat="1" applyFont="1" applyFill="1" applyBorder="1" applyAlignment="1">
      <alignment horizontal="right" vertical="center"/>
    </xf>
    <xf numFmtId="165" fontId="33" fillId="10" borderId="209" xfId="0" applyNumberFormat="1" applyFont="1" applyFill="1" applyBorder="1" applyAlignment="1">
      <alignment horizontal="center" vertical="center"/>
    </xf>
    <xf numFmtId="0" fontId="26" fillId="9" borderId="210" xfId="0" applyFont="1" applyFill="1" applyBorder="1" applyAlignment="1">
      <alignment horizontal="center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62" fillId="10" borderId="201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right" vertical="center"/>
    </xf>
    <xf numFmtId="0" fontId="62" fillId="10" borderId="201" xfId="0" applyFont="1" applyFill="1" applyBorder="1" applyAlignment="1">
      <alignment horizontal="right" vertical="center"/>
    </xf>
    <xf numFmtId="1" fontId="111" fillId="38" borderId="194" xfId="77" applyNumberFormat="1" applyFont="1" applyFill="1" applyBorder="1" applyAlignment="1">
      <alignment horizontal="center" vertical="center"/>
    </xf>
    <xf numFmtId="1" fontId="111" fillId="38" borderId="171" xfId="77" applyNumberFormat="1" applyFont="1" applyFill="1" applyBorder="1" applyAlignment="1">
      <alignment horizontal="center" vertical="center"/>
    </xf>
    <xf numFmtId="1" fontId="70" fillId="9" borderId="125" xfId="55" applyNumberFormat="1" applyFont="1" applyFill="1" applyBorder="1" applyAlignment="1">
      <alignment horizontal="center" vertical="center"/>
    </xf>
    <xf numFmtId="1" fontId="70" fillId="9" borderId="108" xfId="55" applyNumberFormat="1" applyFont="1" applyFill="1" applyBorder="1" applyAlignment="1">
      <alignment horizontal="center" vertical="center"/>
    </xf>
    <xf numFmtId="1" fontId="109" fillId="9" borderId="108" xfId="0" applyNumberFormat="1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vertical="center"/>
    </xf>
    <xf numFmtId="0" fontId="61" fillId="10" borderId="201" xfId="0" applyFont="1" applyFill="1" applyBorder="1" applyAlignment="1">
      <alignment vertical="center"/>
    </xf>
    <xf numFmtId="0" fontId="61" fillId="10" borderId="214" xfId="0" applyFont="1" applyFill="1" applyBorder="1" applyAlignment="1">
      <alignment horizontal="left" vertical="center"/>
    </xf>
    <xf numFmtId="0" fontId="33" fillId="10" borderId="215" xfId="55" applyNumberFormat="1" applyFont="1" applyFill="1" applyBorder="1" applyAlignment="1">
      <alignment horizontal="center" vertical="center"/>
    </xf>
    <xf numFmtId="169" fontId="105" fillId="10" borderId="216" xfId="0" applyNumberFormat="1" applyFont="1" applyFill="1" applyBorder="1" applyAlignment="1">
      <alignment horizontal="center" vertical="center"/>
    </xf>
    <xf numFmtId="0" fontId="61" fillId="9" borderId="215" xfId="0" applyFont="1" applyFill="1" applyBorder="1" applyAlignment="1">
      <alignment horizontal="center" vertical="center"/>
    </xf>
    <xf numFmtId="10" fontId="100" fillId="10" borderId="216" xfId="114" applyNumberFormat="1" applyFont="1" applyFill="1" applyBorder="1" applyAlignment="1">
      <alignment horizontal="center" vertical="center"/>
    </xf>
    <xf numFmtId="0" fontId="35" fillId="10" borderId="217" xfId="0" applyFont="1" applyFill="1" applyBorder="1" applyAlignment="1">
      <alignment horizontal="right" vertical="center"/>
    </xf>
    <xf numFmtId="0" fontId="35" fillId="10" borderId="216" xfId="0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0" fontId="33" fillId="10" borderId="216" xfId="0" applyFont="1" applyFill="1" applyBorder="1" applyAlignment="1">
      <alignment horizontal="right" vertical="center"/>
    </xf>
    <xf numFmtId="3" fontId="33" fillId="10" borderId="216" xfId="0" applyNumberFormat="1" applyFont="1" applyFill="1" applyBorder="1" applyAlignment="1">
      <alignment horizontal="right" vertical="center"/>
    </xf>
    <xf numFmtId="0" fontId="80" fillId="9" borderId="219" xfId="0" applyNumberFormat="1" applyFont="1" applyFill="1" applyBorder="1" applyAlignment="1">
      <alignment horizontal="center" vertical="center"/>
    </xf>
    <xf numFmtId="0" fontId="70" fillId="9" borderId="220" xfId="0" applyNumberFormat="1" applyFont="1" applyFill="1" applyBorder="1" applyAlignment="1">
      <alignment horizontal="center" vertical="center"/>
    </xf>
    <xf numFmtId="0" fontId="109" fillId="9" borderId="219" xfId="0" applyNumberFormat="1" applyFont="1" applyFill="1" applyBorder="1" applyAlignment="1">
      <alignment horizontal="center" vertical="center"/>
    </xf>
    <xf numFmtId="0" fontId="90" fillId="9" borderId="215" xfId="0" applyNumberFormat="1" applyFont="1" applyFill="1" applyBorder="1" applyAlignment="1">
      <alignment horizontal="center" vertical="center"/>
    </xf>
    <xf numFmtId="166" fontId="70" fillId="9" borderId="219" xfId="55" applyNumberFormat="1" applyFont="1" applyFill="1" applyBorder="1" applyAlignment="1">
      <alignment horizontal="center" vertical="center"/>
    </xf>
    <xf numFmtId="0" fontId="61" fillId="10" borderId="222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169" fontId="105" fillId="10" borderId="223" xfId="0" applyNumberFormat="1" applyFont="1" applyFill="1" applyBorder="1" applyAlignment="1">
      <alignment horizontal="center" vertical="center"/>
    </xf>
    <xf numFmtId="0" fontId="61" fillId="9" borderId="223" xfId="0" applyFont="1" applyFill="1" applyBorder="1" applyAlignment="1">
      <alignment horizontal="center" vertical="center"/>
    </xf>
    <xf numFmtId="10" fontId="100" fillId="10" borderId="223" xfId="114" applyNumberFormat="1" applyFont="1" applyFill="1" applyBorder="1" applyAlignment="1">
      <alignment horizontal="center" vertical="center"/>
    </xf>
    <xf numFmtId="0" fontId="35" fillId="10" borderId="224" xfId="0" applyFont="1" applyFill="1" applyBorder="1" applyAlignment="1">
      <alignment horizontal="right" vertical="center"/>
    </xf>
    <xf numFmtId="0" fontId="35" fillId="10" borderId="223" xfId="0" applyFont="1" applyFill="1" applyBorder="1" applyAlignment="1">
      <alignment horizontal="right" vertical="center"/>
    </xf>
    <xf numFmtId="0" fontId="35" fillId="10" borderId="225" xfId="0" applyFont="1" applyFill="1" applyBorder="1" applyAlignment="1">
      <alignment horizontal="right" vertical="center"/>
    </xf>
    <xf numFmtId="0" fontId="33" fillId="10" borderId="223" xfId="0" applyFont="1" applyFill="1" applyBorder="1" applyAlignment="1">
      <alignment horizontal="right" vertical="center"/>
    </xf>
    <xf numFmtId="3" fontId="33" fillId="10" borderId="223" xfId="0" applyNumberFormat="1" applyFont="1" applyFill="1" applyBorder="1" applyAlignment="1">
      <alignment horizontal="right" vertical="center"/>
    </xf>
    <xf numFmtId="0" fontId="80" fillId="9" borderId="226" xfId="0" applyNumberFormat="1" applyFont="1" applyFill="1" applyBorder="1" applyAlignment="1">
      <alignment horizontal="center" vertical="center"/>
    </xf>
    <xf numFmtId="0" fontId="70" fillId="9" borderId="227" xfId="0" applyNumberFormat="1" applyFont="1" applyFill="1" applyBorder="1" applyAlignment="1">
      <alignment horizontal="center" vertical="center"/>
    </xf>
    <xf numFmtId="0" fontId="109" fillId="9" borderId="226" xfId="0" applyNumberFormat="1" applyFont="1" applyFill="1" applyBorder="1" applyAlignment="1">
      <alignment horizontal="center" vertical="center"/>
    </xf>
    <xf numFmtId="0" fontId="90" fillId="9" borderId="223" xfId="0" applyNumberFormat="1" applyFont="1" applyFill="1" applyBorder="1" applyAlignment="1">
      <alignment horizontal="center" vertical="center"/>
    </xf>
    <xf numFmtId="166" fontId="70" fillId="9" borderId="226" xfId="55" applyNumberFormat="1" applyFont="1" applyFill="1" applyBorder="1" applyAlignment="1">
      <alignment horizontal="left" vertical="center"/>
    </xf>
    <xf numFmtId="0" fontId="80" fillId="9" borderId="108" xfId="0" applyNumberFormat="1" applyFont="1" applyFill="1" applyBorder="1" applyAlignment="1">
      <alignment horizontal="center" vertical="center"/>
    </xf>
    <xf numFmtId="0" fontId="70" fillId="9" borderId="144" xfId="0" applyNumberFormat="1" applyFont="1" applyFill="1" applyBorder="1" applyAlignment="1">
      <alignment horizontal="center" vertical="top"/>
    </xf>
    <xf numFmtId="2" fontId="70" fillId="9" borderId="228" xfId="55" applyNumberFormat="1" applyFont="1" applyFill="1" applyBorder="1" applyAlignment="1">
      <alignment horizontal="center" vertical="center"/>
    </xf>
    <xf numFmtId="0" fontId="114" fillId="9" borderId="110" xfId="0" applyFont="1" applyFill="1" applyBorder="1" applyAlignment="1">
      <alignment horizontal="center" vertical="center"/>
    </xf>
    <xf numFmtId="166" fontId="99" fillId="9" borderId="91" xfId="55" applyNumberFormat="1" applyFont="1" applyFill="1" applyBorder="1" applyAlignment="1">
      <alignment horizontal="left"/>
    </xf>
    <xf numFmtId="0" fontId="62" fillId="10" borderId="229" xfId="0" applyFont="1" applyFill="1" applyBorder="1" applyAlignment="1">
      <alignment horizontal="right" vertical="center"/>
    </xf>
    <xf numFmtId="0" fontId="33" fillId="10" borderId="230" xfId="55" applyNumberFormat="1" applyFont="1" applyFill="1" applyBorder="1" applyAlignment="1">
      <alignment horizontal="center" vertical="center"/>
    </xf>
    <xf numFmtId="0" fontId="105" fillId="10" borderId="231" xfId="0" applyNumberFormat="1" applyFont="1" applyFill="1" applyBorder="1" applyAlignment="1">
      <alignment horizontal="center" vertical="center"/>
    </xf>
    <xf numFmtId="0" fontId="105" fillId="10" borderId="230" xfId="0" applyNumberFormat="1" applyFont="1" applyFill="1" applyBorder="1" applyAlignment="1">
      <alignment horizontal="center" vertical="center"/>
    </xf>
    <xf numFmtId="0" fontId="33" fillId="10" borderId="231" xfId="55" applyNumberFormat="1" applyFont="1" applyFill="1" applyBorder="1" applyAlignment="1">
      <alignment horizontal="center" vertical="center"/>
    </xf>
    <xf numFmtId="0" fontId="61" fillId="9" borderId="231" xfId="0" applyFont="1" applyFill="1" applyBorder="1" applyAlignment="1">
      <alignment horizontal="center" vertical="center"/>
    </xf>
    <xf numFmtId="10" fontId="100" fillId="10" borderId="231" xfId="114" applyNumberFormat="1" applyFont="1" applyFill="1" applyBorder="1" applyAlignment="1">
      <alignment horizontal="center" vertical="center"/>
    </xf>
    <xf numFmtId="0" fontId="35" fillId="10" borderId="232" xfId="0" applyFont="1" applyFill="1" applyBorder="1" applyAlignment="1">
      <alignment horizontal="right" vertical="center"/>
    </xf>
    <xf numFmtId="0" fontId="35" fillId="10" borderId="233" xfId="0" applyFont="1" applyFill="1" applyBorder="1" applyAlignment="1">
      <alignment horizontal="right" vertical="center"/>
    </xf>
    <xf numFmtId="0" fontId="35" fillId="10" borderId="234" xfId="0" applyFont="1" applyFill="1" applyBorder="1" applyAlignment="1">
      <alignment horizontal="right" vertical="center"/>
    </xf>
    <xf numFmtId="0" fontId="33" fillId="10" borderId="233" xfId="0" applyFont="1" applyFill="1" applyBorder="1" applyAlignment="1">
      <alignment horizontal="right" vertical="center"/>
    </xf>
    <xf numFmtId="3" fontId="33" fillId="10" borderId="233" xfId="0" applyNumberFormat="1" applyFont="1" applyFill="1" applyBorder="1" applyAlignment="1">
      <alignment horizontal="right" vertical="center"/>
    </xf>
    <xf numFmtId="165" fontId="33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80" fillId="9" borderId="235" xfId="0" applyNumberFormat="1" applyFont="1" applyFill="1" applyBorder="1" applyAlignment="1">
      <alignment horizontal="center" vertical="center"/>
    </xf>
    <xf numFmtId="0" fontId="70" fillId="9" borderId="236" xfId="0" applyNumberFormat="1" applyFont="1" applyFill="1" applyBorder="1" applyAlignment="1">
      <alignment horizontal="center" vertical="center"/>
    </xf>
    <xf numFmtId="0" fontId="69" fillId="9" borderId="237" xfId="0" applyNumberFormat="1" applyFont="1" applyFill="1" applyBorder="1" applyAlignment="1">
      <alignment horizontal="center" vertical="center"/>
    </xf>
    <xf numFmtId="0" fontId="71" fillId="9" borderId="231" xfId="0" applyNumberFormat="1" applyFont="1" applyFill="1" applyBorder="1" applyAlignment="1">
      <alignment horizontal="center" vertical="center"/>
    </xf>
    <xf numFmtId="166" fontId="70" fillId="9" borderId="235" xfId="55" applyNumberFormat="1" applyFont="1" applyFill="1" applyBorder="1" applyAlignment="1">
      <alignment horizontal="center" vertical="center"/>
    </xf>
    <xf numFmtId="166" fontId="99" fillId="9" borderId="232" xfId="55" applyNumberFormat="1" applyFont="1" applyFill="1" applyBorder="1" applyAlignment="1">
      <alignment horizontal="left"/>
    </xf>
    <xf numFmtId="0" fontId="98" fillId="10" borderId="229" xfId="0" applyFont="1" applyFill="1" applyBorder="1" applyAlignment="1">
      <alignment horizontal="right" vertical="center"/>
    </xf>
    <xf numFmtId="0" fontId="64" fillId="9" borderId="231" xfId="55" applyNumberFormat="1" applyFont="1" applyFill="1" applyBorder="1" applyAlignment="1">
      <alignment horizontal="center" vertical="center"/>
    </xf>
    <xf numFmtId="0" fontId="64" fillId="9" borderId="238" xfId="55" applyNumberFormat="1" applyFont="1" applyFill="1" applyBorder="1" applyAlignment="1">
      <alignment horizontal="center" vertical="center"/>
    </xf>
    <xf numFmtId="0" fontId="70" fillId="9" borderId="235" xfId="55" applyNumberFormat="1" applyFont="1" applyFill="1" applyBorder="1" applyAlignment="1">
      <alignment horizontal="center" vertical="center"/>
    </xf>
    <xf numFmtId="0" fontId="112" fillId="10" borderId="239" xfId="0" applyFont="1" applyFill="1" applyBorder="1" applyAlignment="1">
      <alignment horizontal="left" vertical="center"/>
    </xf>
    <xf numFmtId="0" fontId="33" fillId="10" borderId="240" xfId="55" applyNumberFormat="1" applyFont="1" applyFill="1" applyBorder="1" applyAlignment="1">
      <alignment horizontal="center" vertical="center"/>
    </xf>
    <xf numFmtId="0" fontId="113" fillId="10" borderId="241" xfId="0" applyFont="1" applyFill="1" applyBorder="1" applyAlignment="1">
      <alignment horizontal="center" vertical="center"/>
    </xf>
    <xf numFmtId="0" fontId="113" fillId="10" borderId="240" xfId="0" applyFont="1" applyFill="1" applyBorder="1" applyAlignment="1">
      <alignment horizontal="center" vertical="center"/>
    </xf>
    <xf numFmtId="0" fontId="33" fillId="10" borderId="241" xfId="55" applyNumberFormat="1" applyFont="1" applyFill="1" applyBorder="1" applyAlignment="1">
      <alignment horizontal="center" vertical="center"/>
    </xf>
    <xf numFmtId="0" fontId="112" fillId="9" borderId="241" xfId="0" applyFont="1" applyFill="1" applyBorder="1" applyAlignment="1">
      <alignment horizontal="center" vertical="center"/>
    </xf>
    <xf numFmtId="10" fontId="100" fillId="10" borderId="241" xfId="114" applyNumberFormat="1" applyFont="1" applyFill="1" applyBorder="1" applyAlignment="1">
      <alignment horizontal="center" vertical="center"/>
    </xf>
    <xf numFmtId="0" fontId="35" fillId="10" borderId="242" xfId="0" applyFont="1" applyFill="1" applyBorder="1" applyAlignment="1">
      <alignment horizontal="right" vertical="center"/>
    </xf>
    <xf numFmtId="0" fontId="35" fillId="10" borderId="243" xfId="0" applyFont="1" applyFill="1" applyBorder="1" applyAlignment="1">
      <alignment horizontal="right" vertical="center"/>
    </xf>
    <xf numFmtId="0" fontId="35" fillId="10" borderId="140" xfId="0" applyFont="1" applyFill="1" applyBorder="1" applyAlignment="1">
      <alignment horizontal="right" vertical="center"/>
    </xf>
    <xf numFmtId="0" fontId="33" fillId="10" borderId="243" xfId="0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2" xfId="0" applyNumberFormat="1" applyFont="1" applyFill="1" applyBorder="1" applyAlignment="1">
      <alignment horizontal="center" vertical="center"/>
    </xf>
    <xf numFmtId="0" fontId="26" fillId="9" borderId="243" xfId="0" applyFont="1" applyFill="1" applyBorder="1" applyAlignment="1">
      <alignment horizontal="center" vertical="center"/>
    </xf>
    <xf numFmtId="0" fontId="23" fillId="9" borderId="243" xfId="0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2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80" fillId="9" borderId="246" xfId="0" applyNumberFormat="1" applyFont="1" applyFill="1" applyBorder="1" applyAlignment="1">
      <alignment horizontal="center" vertical="center"/>
    </xf>
    <xf numFmtId="0" fontId="70" fillId="9" borderId="247" xfId="0" applyNumberFormat="1" applyFont="1" applyFill="1" applyBorder="1" applyAlignment="1">
      <alignment horizontal="center" vertical="top"/>
    </xf>
    <xf numFmtId="0" fontId="90" fillId="9" borderId="248" xfId="55" applyNumberFormat="1" applyFont="1" applyFill="1" applyBorder="1" applyAlignment="1">
      <alignment horizontal="center" vertical="center"/>
    </xf>
    <xf numFmtId="1" fontId="70" fillId="9" borderId="141" xfId="55" applyNumberFormat="1" applyFont="1" applyFill="1" applyBorder="1" applyAlignment="1">
      <alignment vertical="center"/>
    </xf>
    <xf numFmtId="0" fontId="115" fillId="9" borderId="243" xfId="0" applyFont="1" applyFill="1" applyBorder="1" applyAlignment="1">
      <alignment horizontal="center" vertical="center"/>
    </xf>
    <xf numFmtId="166" fontId="99" fillId="9" borderId="242" xfId="55" applyNumberFormat="1" applyFont="1" applyFill="1" applyBorder="1" applyAlignment="1">
      <alignment horizontal="left"/>
    </xf>
    <xf numFmtId="2" fontId="68" fillId="9" borderId="238" xfId="55" applyNumberFormat="1" applyFont="1" applyFill="1" applyBorder="1" applyAlignment="1">
      <alignment horizontal="left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64" fillId="9" borderId="249" xfId="55" applyNumberFormat="1" applyFont="1" applyFill="1" applyBorder="1" applyAlignment="1">
      <alignment horizontal="center" vertical="center"/>
    </xf>
    <xf numFmtId="0" fontId="90" fillId="9" borderId="249" xfId="55" applyNumberFormat="1" applyFont="1" applyFill="1" applyBorder="1" applyAlignment="1">
      <alignment horizontal="center" vertical="center"/>
    </xf>
    <xf numFmtId="0" fontId="73" fillId="10" borderId="232" xfId="0" applyFont="1" applyFill="1" applyBorder="1" applyAlignment="1">
      <alignment horizontal="right" vertical="center"/>
    </xf>
    <xf numFmtId="0" fontId="74" fillId="10" borderId="233" xfId="0" applyFont="1" applyFill="1" applyBorder="1" applyAlignment="1">
      <alignment horizontal="right" vertical="center"/>
    </xf>
    <xf numFmtId="3" fontId="74" fillId="10" borderId="233" xfId="0" applyNumberFormat="1" applyFont="1" applyFill="1" applyBorder="1" applyAlignment="1">
      <alignment horizontal="right" vertical="center"/>
    </xf>
    <xf numFmtId="0" fontId="80" fillId="9" borderId="250" xfId="0" applyNumberFormat="1" applyFont="1" applyFill="1" applyBorder="1" applyAlignment="1">
      <alignment horizontal="center" vertical="center"/>
    </xf>
    <xf numFmtId="2" fontId="70" fillId="9" borderId="237" xfId="55" applyNumberFormat="1" applyFont="1" applyFill="1" applyBorder="1" applyAlignment="1">
      <alignment horizontal="center" vertical="center"/>
    </xf>
    <xf numFmtId="0" fontId="69" fillId="9" borderId="235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left" vertical="center"/>
    </xf>
    <xf numFmtId="0" fontId="105" fillId="10" borderId="233" xfId="0" applyNumberFormat="1" applyFont="1" applyFill="1" applyBorder="1" applyAlignment="1">
      <alignment horizontal="center" vertical="center"/>
    </xf>
    <xf numFmtId="0" fontId="33" fillId="10" borderId="232" xfId="0" applyFont="1" applyFill="1" applyBorder="1" applyAlignment="1">
      <alignment horizontal="right" vertical="center"/>
    </xf>
    <xf numFmtId="0" fontId="23" fillId="9" borderId="233" xfId="0" applyFont="1" applyFill="1" applyBorder="1" applyAlignment="1">
      <alignment horizontal="center" vertical="center"/>
    </xf>
    <xf numFmtId="1" fontId="23" fillId="9" borderId="25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52" xfId="0" applyNumberFormat="1" applyFont="1" applyFill="1" applyBorder="1" applyAlignment="1">
      <alignment horizontal="center" vertical="center"/>
    </xf>
    <xf numFmtId="2" fontId="69" fillId="9" borderId="235" xfId="0" applyNumberFormat="1" applyFont="1" applyFill="1" applyBorder="1" applyAlignment="1">
      <alignment vertical="center"/>
    </xf>
    <xf numFmtId="0" fontId="90" fillId="9" borderId="253" xfId="55" applyNumberFormat="1" applyFont="1" applyFill="1" applyBorder="1" applyAlignment="1">
      <alignment horizontal="center" vertical="center"/>
    </xf>
    <xf numFmtId="2" fontId="69" fillId="9" borderId="231" xfId="55" applyNumberFormat="1" applyFont="1" applyFill="1" applyBorder="1" applyAlignment="1">
      <alignment horizontal="center" vertical="center"/>
    </xf>
    <xf numFmtId="2" fontId="62" fillId="9" borderId="231" xfId="0" applyNumberFormat="1" applyFont="1" applyFill="1" applyBorder="1" applyAlignment="1">
      <alignment horizontal="center" vertical="center"/>
    </xf>
    <xf numFmtId="0" fontId="98" fillId="10" borderId="159" xfId="0" applyFont="1" applyFill="1" applyBorder="1" applyAlignment="1">
      <alignment horizontal="left" vertical="center"/>
    </xf>
    <xf numFmtId="0" fontId="116" fillId="9" borderId="91" xfId="55" applyNumberFormat="1" applyFont="1" applyFill="1" applyBorder="1" applyAlignment="1">
      <alignment horizontal="center"/>
    </xf>
    <xf numFmtId="0" fontId="116" fillId="9" borderId="90" xfId="55" applyNumberFormat="1" applyFont="1" applyFill="1" applyBorder="1" applyAlignment="1">
      <alignment horizontal="center"/>
    </xf>
    <xf numFmtId="0" fontId="116" fillId="9" borderId="98" xfId="55" applyNumberFormat="1" applyFont="1" applyFill="1" applyBorder="1" applyAlignment="1">
      <alignment horizontal="center"/>
    </xf>
    <xf numFmtId="0" fontId="116" fillId="9" borderId="225" xfId="55" applyNumberFormat="1" applyFont="1" applyFill="1" applyBorder="1" applyAlignment="1">
      <alignment horizontal="center"/>
    </xf>
    <xf numFmtId="0" fontId="116" fillId="9" borderId="91" xfId="55" applyNumberFormat="1" applyFont="1" applyFill="1" applyBorder="1" applyAlignment="1">
      <alignment horizontal="center" vertical="center"/>
    </xf>
    <xf numFmtId="0" fontId="116" fillId="9" borderId="90" xfId="55" applyNumberFormat="1" applyFont="1" applyFill="1" applyBorder="1" applyAlignment="1">
      <alignment horizontal="center" vertical="center"/>
    </xf>
    <xf numFmtId="0" fontId="116" fillId="9" borderId="98" xfId="55" applyNumberFormat="1" applyFont="1" applyFill="1" applyBorder="1" applyAlignment="1">
      <alignment horizontal="center" vertical="center"/>
    </xf>
    <xf numFmtId="0" fontId="116" fillId="9" borderId="225" xfId="55" applyNumberFormat="1" applyFont="1" applyFill="1" applyBorder="1" applyAlignment="1">
      <alignment horizontal="center" vertical="center"/>
    </xf>
    <xf numFmtId="21" fontId="116" fillId="9" borderId="90" xfId="55" applyNumberFormat="1" applyFont="1" applyFill="1" applyBorder="1" applyAlignment="1">
      <alignment horizontal="center"/>
    </xf>
    <xf numFmtId="166" fontId="116" fillId="9" borderId="91" xfId="55" applyNumberFormat="1" applyFont="1" applyFill="1" applyBorder="1" applyAlignment="1">
      <alignment horizontal="left"/>
    </xf>
    <xf numFmtId="166" fontId="116" fillId="9" borderId="90" xfId="55" applyNumberFormat="1" applyFont="1" applyFill="1" applyBorder="1" applyAlignment="1">
      <alignment horizontal="left"/>
    </xf>
    <xf numFmtId="166" fontId="116" fillId="9" borderId="98" xfId="55" applyNumberFormat="1" applyFont="1" applyFill="1" applyBorder="1" applyAlignment="1">
      <alignment horizontal="left"/>
    </xf>
    <xf numFmtId="0" fontId="116" fillId="9" borderId="221" xfId="55" applyNumberFormat="1" applyFont="1" applyFill="1" applyBorder="1" applyAlignment="1">
      <alignment horizontal="center"/>
    </xf>
    <xf numFmtId="0" fontId="116" fillId="9" borderId="230" xfId="55" applyNumberFormat="1" applyFont="1" applyFill="1" applyBorder="1" applyAlignment="1">
      <alignment horizontal="center" vertical="center"/>
    </xf>
    <xf numFmtId="0" fontId="116" fillId="9" borderId="230" xfId="55" applyNumberFormat="1" applyFont="1" applyFill="1" applyBorder="1" applyAlignment="1">
      <alignment horizontal="center"/>
    </xf>
    <xf numFmtId="166" fontId="116" fillId="9" borderId="230" xfId="55" applyNumberFormat="1" applyFont="1" applyFill="1" applyBorder="1" applyAlignment="1">
      <alignment horizontal="left"/>
    </xf>
    <xf numFmtId="166" fontId="116" fillId="9" borderId="255" xfId="55" applyNumberFormat="1" applyFont="1" applyFill="1" applyBorder="1" applyAlignment="1">
      <alignment horizontal="left"/>
    </xf>
    <xf numFmtId="0" fontId="116" fillId="9" borderId="255" xfId="55" applyNumberFormat="1" applyFont="1" applyFill="1" applyBorder="1" applyAlignment="1">
      <alignment horizontal="center"/>
    </xf>
    <xf numFmtId="0" fontId="80" fillId="9" borderId="256" xfId="0" applyNumberFormat="1" applyFont="1" applyFill="1" applyBorder="1" applyAlignment="1">
      <alignment horizontal="center" vertical="center"/>
    </xf>
    <xf numFmtId="0" fontId="70" fillId="9" borderId="257" xfId="0" applyNumberFormat="1" applyFont="1" applyFill="1" applyBorder="1" applyAlignment="1">
      <alignment horizontal="center" vertical="center"/>
    </xf>
    <xf numFmtId="0" fontId="70" fillId="9" borderId="258" xfId="55" applyNumberFormat="1" applyFont="1" applyFill="1" applyBorder="1" applyAlignment="1">
      <alignment horizontal="center" vertical="center"/>
    </xf>
    <xf numFmtId="0" fontId="69" fillId="9" borderId="258" xfId="55" applyNumberFormat="1" applyFont="1" applyFill="1" applyBorder="1" applyAlignment="1">
      <alignment horizontal="center" vertical="center"/>
    </xf>
    <xf numFmtId="166" fontId="116" fillId="9" borderId="260" xfId="55" applyNumberFormat="1" applyFont="1" applyFill="1" applyBorder="1" applyAlignment="1">
      <alignment horizontal="left"/>
    </xf>
    <xf numFmtId="0" fontId="116" fillId="9" borderId="260" xfId="55" applyNumberFormat="1" applyFont="1" applyFill="1" applyBorder="1" applyAlignment="1">
      <alignment horizontal="center"/>
    </xf>
    <xf numFmtId="0" fontId="73" fillId="10" borderId="136" xfId="0" applyFont="1" applyFill="1" applyBorder="1" applyAlignment="1">
      <alignment horizontal="right" vertical="center"/>
    </xf>
    <xf numFmtId="0" fontId="74" fillId="10" borderId="94" xfId="0" applyFont="1" applyFill="1" applyBorder="1" applyAlignment="1">
      <alignment horizontal="right" vertical="center"/>
    </xf>
    <xf numFmtId="3" fontId="74" fillId="10" borderId="94" xfId="0" applyNumberFormat="1" applyFont="1" applyFill="1" applyBorder="1" applyAlignment="1">
      <alignment horizontal="right" vertical="center"/>
    </xf>
    <xf numFmtId="169" fontId="69" fillId="9" borderId="110" xfId="114" applyNumberFormat="1" applyFont="1" applyFill="1" applyBorder="1" applyAlignment="1">
      <alignment horizontal="center" vertical="center"/>
    </xf>
    <xf numFmtId="169" fontId="69" fillId="9" borderId="96" xfId="114" applyNumberFormat="1" applyFont="1" applyFill="1" applyBorder="1" applyAlignment="1">
      <alignment horizontal="center" vertical="center"/>
    </xf>
    <xf numFmtId="169" fontId="69" fillId="9" borderId="152" xfId="114" applyNumberFormat="1" applyFont="1" applyFill="1" applyBorder="1" applyAlignment="1">
      <alignment horizontal="center" vertical="center"/>
    </xf>
    <xf numFmtId="169" fontId="69" fillId="9" borderId="233" xfId="114" applyNumberFormat="1" applyFont="1" applyFill="1" applyBorder="1" applyAlignment="1">
      <alignment horizontal="center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4" fillId="10" borderId="95" xfId="0" applyNumberFormat="1" applyFont="1" applyFill="1" applyBorder="1" applyAlignment="1">
      <alignment horizontal="right" vertical="center"/>
    </xf>
    <xf numFmtId="0" fontId="74" fillId="10" borderId="94" xfId="0" applyNumberFormat="1" applyFont="1" applyFill="1" applyBorder="1" applyAlignment="1">
      <alignment horizontal="right" vertical="center"/>
    </xf>
    <xf numFmtId="0" fontId="74" fillId="10" borderId="92" xfId="0" applyNumberFormat="1" applyFont="1" applyFill="1" applyBorder="1" applyAlignment="1">
      <alignment horizontal="right" vertical="center"/>
    </xf>
    <xf numFmtId="0" fontId="74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16" xfId="0" applyNumberFormat="1" applyFont="1" applyFill="1" applyBorder="1" applyAlignment="1">
      <alignment horizontal="right" vertical="center"/>
    </xf>
    <xf numFmtId="0" fontId="33" fillId="10" borderId="223" xfId="0" applyNumberFormat="1" applyFont="1" applyFill="1" applyBorder="1" applyAlignment="1">
      <alignment horizontal="right" vertical="center"/>
    </xf>
    <xf numFmtId="0" fontId="33" fillId="10" borderId="233" xfId="0" applyNumberFormat="1" applyFont="1" applyFill="1" applyBorder="1" applyAlignment="1">
      <alignment horizontal="right" vertical="center"/>
    </xf>
    <xf numFmtId="0" fontId="61" fillId="10" borderId="95" xfId="0" applyNumberFormat="1" applyFont="1" applyFill="1" applyBorder="1" applyAlignment="1">
      <alignment horizontal="center" vertical="center"/>
    </xf>
    <xf numFmtId="0" fontId="61" fillId="9" borderId="158" xfId="0" applyNumberFormat="1" applyFont="1" applyFill="1" applyBorder="1" applyAlignment="1">
      <alignment horizontal="center" vertical="center"/>
    </xf>
    <xf numFmtId="0" fontId="35" fillId="10" borderId="95" xfId="0" applyNumberFormat="1" applyFont="1" applyFill="1" applyBorder="1" applyAlignment="1">
      <alignment horizontal="right" vertical="center"/>
    </xf>
    <xf numFmtId="0" fontId="35" fillId="10" borderId="91" xfId="0" applyNumberFormat="1" applyFont="1" applyFill="1" applyBorder="1" applyAlignment="1">
      <alignment horizontal="right" vertical="center"/>
    </xf>
    <xf numFmtId="0" fontId="61" fillId="10" borderId="94" xfId="0" applyNumberFormat="1" applyFont="1" applyFill="1" applyBorder="1" applyAlignment="1">
      <alignment horizontal="center" vertical="center"/>
    </xf>
    <xf numFmtId="0" fontId="61" fillId="9" borderId="94" xfId="0" applyNumberFormat="1" applyFont="1" applyFill="1" applyBorder="1" applyAlignment="1">
      <alignment horizontal="center" vertical="center"/>
    </xf>
    <xf numFmtId="0" fontId="35" fillId="10" borderId="94" xfId="0" applyNumberFormat="1" applyFont="1" applyFill="1" applyBorder="1" applyAlignment="1">
      <alignment horizontal="right" vertical="center"/>
    </xf>
    <xf numFmtId="0" fontId="35" fillId="10" borderId="137" xfId="0" applyNumberFormat="1" applyFont="1" applyFill="1" applyBorder="1" applyAlignment="1">
      <alignment horizontal="right" vertical="center"/>
    </xf>
    <xf numFmtId="0" fontId="61" fillId="10" borderId="92" xfId="0" applyNumberFormat="1" applyFont="1" applyFill="1" applyBorder="1" applyAlignment="1">
      <alignment horizontal="center" vertical="center"/>
    </xf>
    <xf numFmtId="0" fontId="61" fillId="9" borderId="95" xfId="0" applyNumberFormat="1" applyFont="1" applyFill="1" applyBorder="1" applyAlignment="1">
      <alignment horizontal="center" vertical="center"/>
    </xf>
    <xf numFmtId="0" fontId="61" fillId="10" borderId="102" xfId="0" applyNumberFormat="1" applyFont="1" applyFill="1" applyBorder="1" applyAlignment="1">
      <alignment horizontal="center" vertical="center"/>
    </xf>
    <xf numFmtId="0" fontId="61" fillId="9" borderId="104" xfId="0" applyNumberFormat="1" applyFont="1" applyFill="1" applyBorder="1" applyAlignment="1">
      <alignment horizontal="center" vertical="center"/>
    </xf>
    <xf numFmtId="0" fontId="35" fillId="10" borderId="102" xfId="0" applyNumberFormat="1" applyFont="1" applyFill="1" applyBorder="1" applyAlignment="1">
      <alignment horizontal="right" vertical="center"/>
    </xf>
    <xf numFmtId="0" fontId="35" fillId="10" borderId="105" xfId="0" applyNumberFormat="1" applyFont="1" applyFill="1" applyBorder="1" applyAlignment="1">
      <alignment horizontal="right" vertical="center"/>
    </xf>
    <xf numFmtId="0" fontId="35" fillId="10" borderId="92" xfId="0" applyNumberFormat="1" applyFont="1" applyFill="1" applyBorder="1" applyAlignment="1">
      <alignment horizontal="right" vertical="center"/>
    </xf>
    <xf numFmtId="0" fontId="35" fillId="10" borderId="109" xfId="0" applyNumberFormat="1" applyFont="1" applyFill="1" applyBorder="1" applyAlignment="1">
      <alignment horizontal="right" vertical="center"/>
    </xf>
    <xf numFmtId="0" fontId="35" fillId="10" borderId="96" xfId="0" applyNumberFormat="1" applyFont="1" applyFill="1" applyBorder="1" applyAlignment="1">
      <alignment horizontal="right" vertical="center"/>
    </xf>
    <xf numFmtId="0" fontId="35" fillId="10" borderId="90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1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137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9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73" fillId="10" borderId="105" xfId="0" applyNumberFormat="1" applyFont="1" applyFill="1" applyBorder="1" applyAlignment="1">
      <alignment horizontal="right" vertical="center"/>
    </xf>
    <xf numFmtId="0" fontId="61" fillId="10" borderId="233" xfId="0" applyNumberFormat="1" applyFont="1" applyFill="1" applyBorder="1" applyAlignment="1">
      <alignment horizontal="center" vertical="center"/>
    </xf>
    <xf numFmtId="0" fontId="61" fillId="9" borderId="231" xfId="0" applyNumberFormat="1" applyFont="1" applyFill="1" applyBorder="1" applyAlignment="1">
      <alignment horizontal="center" vertical="center"/>
    </xf>
    <xf numFmtId="0" fontId="73" fillId="10" borderId="233" xfId="0" applyNumberFormat="1" applyFont="1" applyFill="1" applyBorder="1" applyAlignment="1">
      <alignment horizontal="right" vertical="center"/>
    </xf>
    <xf numFmtId="0" fontId="73" fillId="10" borderId="234" xfId="0" applyNumberFormat="1" applyFont="1" applyFill="1" applyBorder="1" applyAlignment="1">
      <alignment horizontal="righ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90" fillId="9" borderId="238" xfId="55" applyNumberFormat="1" applyFont="1" applyFill="1" applyBorder="1" applyAlignment="1">
      <alignment horizontal="center" vertical="center"/>
    </xf>
    <xf numFmtId="0" fontId="35" fillId="10" borderId="233" xfId="0" applyNumberFormat="1" applyFont="1" applyFill="1" applyBorder="1" applyAlignment="1">
      <alignment horizontal="right" vertical="center"/>
    </xf>
    <xf numFmtId="0" fontId="35" fillId="10" borderId="234" xfId="0" applyNumberFormat="1" applyFont="1" applyFill="1" applyBorder="1" applyAlignment="1">
      <alignment horizontal="right" vertical="center"/>
    </xf>
    <xf numFmtId="0" fontId="108" fillId="40" borderId="0" xfId="0" applyFont="1" applyFill="1" applyAlignment="1">
      <alignment horizontal="center" vertical="center"/>
    </xf>
    <xf numFmtId="2" fontId="70" fillId="9" borderId="110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52" xfId="55" applyNumberFormat="1" applyFont="1" applyFill="1" applyBorder="1" applyAlignment="1">
      <alignment horizontal="center" vertical="center"/>
    </xf>
    <xf numFmtId="2" fontId="70" fillId="9" borderId="233" xfId="55" applyNumberFormat="1" applyFont="1" applyFill="1" applyBorder="1" applyAlignment="1">
      <alignment horizontal="center" vertical="center"/>
    </xf>
    <xf numFmtId="168" fontId="70" fillId="9" borderId="152" xfId="114" applyNumberFormat="1" applyFont="1" applyFill="1" applyBorder="1" applyAlignment="1">
      <alignment horizontal="center" vertical="center"/>
    </xf>
    <xf numFmtId="168" fontId="70" fillId="9" borderId="233" xfId="114" applyNumberFormat="1" applyFont="1" applyFill="1" applyBorder="1" applyAlignment="1">
      <alignment horizontal="center" vertical="center"/>
    </xf>
    <xf numFmtId="3" fontId="106" fillId="10" borderId="118" xfId="0" applyNumberFormat="1" applyFont="1" applyFill="1" applyBorder="1" applyAlignment="1">
      <alignment horizontal="center" vertical="center"/>
    </xf>
    <xf numFmtId="3" fontId="106" fillId="10" borderId="202" xfId="0" applyNumberFormat="1" applyFont="1" applyFill="1" applyBorder="1" applyAlignment="1">
      <alignment horizontal="center" vertical="center"/>
    </xf>
    <xf numFmtId="2" fontId="70" fillId="9" borderId="254" xfId="55" applyNumberFormat="1" applyFont="1" applyFill="1" applyBorder="1" applyAlignment="1">
      <alignment horizontal="center" vertical="center"/>
    </xf>
    <xf numFmtId="2" fontId="70" fillId="9" borderId="259" xfId="55" applyNumberFormat="1" applyFont="1" applyFill="1" applyBorder="1" applyAlignment="1">
      <alignment horizontal="center" vertical="center"/>
    </xf>
    <xf numFmtId="2" fontId="70" fillId="9" borderId="102" xfId="55" applyNumberFormat="1" applyFont="1" applyFill="1" applyBorder="1" applyAlignment="1">
      <alignment horizontal="center" vertical="center"/>
    </xf>
    <xf numFmtId="165" fontId="107" fillId="10" borderId="205" xfId="0" applyNumberFormat="1" applyFont="1" applyFill="1" applyBorder="1" applyAlignment="1">
      <alignment horizontal="center" vertical="center"/>
    </xf>
    <xf numFmtId="165" fontId="107" fillId="10" borderId="206" xfId="0" applyNumberFormat="1" applyFont="1" applyFill="1" applyBorder="1" applyAlignment="1">
      <alignment horizontal="center" vertical="center"/>
    </xf>
    <xf numFmtId="3" fontId="106" fillId="10" borderId="203" xfId="0" applyNumberFormat="1" applyFont="1" applyFill="1" applyBorder="1" applyAlignment="1">
      <alignment horizontal="center" vertical="center"/>
    </xf>
    <xf numFmtId="3" fontId="106" fillId="10" borderId="204" xfId="0" applyNumberFormat="1" applyFont="1" applyFill="1" applyBorder="1" applyAlignment="1">
      <alignment horizontal="center" vertical="center"/>
    </xf>
    <xf numFmtId="168" fontId="70" fillId="9" borderId="110" xfId="114" applyNumberFormat="1" applyFont="1" applyFill="1" applyBorder="1" applyAlignment="1">
      <alignment horizontal="center" vertical="center"/>
    </xf>
    <xf numFmtId="168" fontId="70" fillId="9" borderId="96" xfId="114" applyNumberFormat="1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3" fillId="34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2" fontId="117" fillId="41" borderId="3" xfId="0" applyNumberFormat="1" applyFont="1" applyFill="1" applyBorder="1" applyAlignment="1">
      <alignment horizontal="center" vertical="center"/>
    </xf>
    <xf numFmtId="0" fontId="116" fillId="9" borderId="221" xfId="55" applyNumberFormat="1" applyFont="1" applyFill="1" applyBorder="1" applyAlignment="1">
      <alignment horizontal="center" vertical="center"/>
    </xf>
    <xf numFmtId="21" fontId="116" fillId="9" borderId="98" xfId="55" applyNumberFormat="1" applyFont="1" applyFill="1" applyBorder="1" applyAlignment="1">
      <alignment horizont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8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U41" sqref="U41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81" bestFit="1" customWidth="1"/>
    <col min="3" max="3" width="8" style="582" bestFit="1" customWidth="1"/>
    <col min="4" max="4" width="7.7109375" style="582" bestFit="1" customWidth="1"/>
    <col min="5" max="5" width="8.7109375" style="581" bestFit="1" customWidth="1"/>
    <col min="6" max="6" width="7.140625" style="38" customWidth="1"/>
    <col min="7" max="7" width="6.28515625" style="474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479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94" bestFit="1" customWidth="1"/>
    <col min="24" max="24" width="7.5703125" style="269" bestFit="1" customWidth="1"/>
    <col min="25" max="25" width="7.42578125" style="476" bestFit="1" customWidth="1"/>
    <col min="26" max="26" width="7.85546875" style="477" bestFit="1" customWidth="1"/>
    <col min="27" max="27" width="8.140625" style="478" bestFit="1" customWidth="1"/>
    <col min="28" max="28" width="9.5703125" style="45" bestFit="1" customWidth="1"/>
    <col min="29" max="29" width="5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2" s="1" customFormat="1" ht="9" customHeight="1">
      <c r="A1" s="284" t="s">
        <v>126</v>
      </c>
      <c r="B1" s="285" t="s">
        <v>336</v>
      </c>
      <c r="C1" s="284" t="s">
        <v>305</v>
      </c>
      <c r="D1" s="284" t="s">
        <v>306</v>
      </c>
      <c r="E1" s="285" t="s">
        <v>337</v>
      </c>
      <c r="F1" s="284" t="s">
        <v>127</v>
      </c>
      <c r="G1" s="285" t="s">
        <v>303</v>
      </c>
      <c r="H1" s="285" t="s">
        <v>128</v>
      </c>
      <c r="I1" s="285" t="s">
        <v>129</v>
      </c>
      <c r="J1" s="285" t="s">
        <v>130</v>
      </c>
      <c r="K1" s="285" t="s">
        <v>307</v>
      </c>
      <c r="L1" s="285" t="s">
        <v>304</v>
      </c>
      <c r="M1" s="285" t="s">
        <v>626</v>
      </c>
      <c r="N1" s="409" t="s">
        <v>131</v>
      </c>
      <c r="O1" s="285" t="s">
        <v>132</v>
      </c>
      <c r="P1" s="286"/>
      <c r="Q1" s="800"/>
      <c r="R1" s="801"/>
      <c r="S1" s="807"/>
      <c r="T1" s="808"/>
      <c r="U1" s="805">
        <f>IF(O63&lt;&gt;"",O63,O38)</f>
        <v>45436.708449074074</v>
      </c>
      <c r="V1" s="806"/>
      <c r="W1" s="519"/>
      <c r="X1" s="519"/>
      <c r="Y1" s="549">
        <v>5</v>
      </c>
      <c r="Z1" s="527">
        <v>5.0000000000000001E-4</v>
      </c>
      <c r="AA1" s="839">
        <f>$AA$66</f>
        <v>1198.715596330275</v>
      </c>
      <c r="AB1" s="527">
        <v>1E-4</v>
      </c>
      <c r="AC1" s="793">
        <v>1</v>
      </c>
      <c r="AF1" s="206" t="s">
        <v>311</v>
      </c>
      <c r="AG1" s="51">
        <f>IF(AM3&lt;&gt;0,2,IF(AM4&lt;&gt;0,3,IF(AM5&lt;&gt;0,4,IF(AM6&lt;&gt;0,5,IF(AM7&lt;&gt;0,6,IF(AM8&lt;&gt;0,7,IF(AM9&lt;&gt;0,8,IF(AM10&lt;&gt;0,9,IF(AM11&lt;&gt;0,10,1)))))))))</f>
        <v>3</v>
      </c>
      <c r="AH1" s="431">
        <f>IF(AM3&lt;&gt;0,AM3/365,IF(AM4&lt;&gt;0,AM5/365,IF(AM5&lt;&gt;0,AM6/365,IF(AM6&lt;&gt;0,AM7/365,IF(AM7&lt;&gt;0,AM8/365,IF(AM8&lt;&gt;0,AM9/365,IF(AM9&lt;&gt;0,AM10/365,IF(AM10&lt;&gt;0,AM11/365,IF(AM11&lt;&gt;0,AJ12/365,60/365)))))))))</f>
        <v>8.3835616438356162E-4</v>
      </c>
      <c r="AI1" s="248" t="s">
        <v>314</v>
      </c>
      <c r="AJ1" s="248" t="s">
        <v>315</v>
      </c>
      <c r="AK1" s="248" t="s">
        <v>316</v>
      </c>
      <c r="AL1" s="248" t="s">
        <v>317</v>
      </c>
      <c r="AM1" s="249" t="s">
        <v>312</v>
      </c>
      <c r="AN1" s="247" t="s">
        <v>313</v>
      </c>
    </row>
    <row r="2" spans="1:42" ht="12.75" hidden="1" customHeight="1" outlineLevel="1">
      <c r="A2" s="363" t="s">
        <v>538</v>
      </c>
      <c r="B2" s="557">
        <f t="shared" ref="B2:B29" si="0">IF(A2&lt;&gt;"",VLOOKUP($A2,$A$30:$N$199,2,0),"")</f>
        <v>1136</v>
      </c>
      <c r="C2" s="558">
        <f t="shared" ref="C2:C25" si="1">IF(A2&lt;&gt;"",VLOOKUP($A2,$A$60:$N$199,3,0),"")</f>
        <v>44.31</v>
      </c>
      <c r="D2" s="759">
        <f t="shared" ref="D2:D25" si="2">IF(A2&lt;&gt;"",VLOOKUP($A2,$A$60:$N$199,4,0),"")</f>
        <v>46.3</v>
      </c>
      <c r="E2" s="534">
        <f t="shared" ref="E2:E25" si="3">IF(A2&lt;&gt;"",VLOOKUP($A2,$A$60:$N$199,5,0),"")</f>
        <v>500</v>
      </c>
      <c r="F2" s="760">
        <f t="shared" ref="F2:F25" si="4">IF($A2&lt;&gt;"",VLOOKUP($A2,$A$60:$N$199,6,0),"")</f>
        <v>44.250999999999998</v>
      </c>
      <c r="G2" s="470">
        <f t="shared" ref="G2:G25" si="5">IF($A2&lt;&gt;"",VLOOKUP($A2,$A$60:$N$199,7,0),"")</f>
        <v>-3.7599999999999995E-2</v>
      </c>
      <c r="H2" s="231">
        <f t="shared" ref="H2:H25" si="6">IF($A2&lt;&gt;"",VLOOKUP($A2,$A$60:$N$199,8,0),"")</f>
        <v>45.9</v>
      </c>
      <c r="I2" s="761">
        <f t="shared" ref="I2:I25" si="7">IF($A2&lt;&gt;"",VLOOKUP($A2,$A$60:$N$199,9,0),"")</f>
        <v>45.988999999999997</v>
      </c>
      <c r="J2" s="762">
        <f t="shared" ref="J2:J25" si="8">IF($A2&lt;&gt;"",VLOOKUP($A2,$A$60:$N$199,10,0),"")</f>
        <v>44.05</v>
      </c>
      <c r="K2" s="227">
        <f t="shared" ref="K2:K25" si="9">IF($A2&lt;&gt;"",VLOOKUP($A2,$A$60:$N$199,11,0),"")</f>
        <v>45.98</v>
      </c>
      <c r="L2" s="235">
        <f t="shared" ref="L2:L25" si="10">IF($A2&lt;&gt;"",VLOOKUP($A2,$A$60:$N$199,12,0),"")</f>
        <v>5224</v>
      </c>
      <c r="M2" s="741">
        <f t="shared" ref="M2:M25" si="11">IF($A2&lt;&gt;"",VLOOKUP($A2,$A$60:$N$199,13,0),"")</f>
        <v>11515</v>
      </c>
      <c r="N2" s="498">
        <f t="shared" ref="N2:N29" si="12">IF($A2&lt;&gt;"",VLOOKUP($A2,$A$60:$N$199,14,0),"")</f>
        <v>30</v>
      </c>
      <c r="O2" s="250">
        <f t="shared" ref="O2:O17" si="13">IF($A2&lt;&gt;"",VLOOKUP($A2,$A$60:$O$199,15,0),"")</f>
        <v>45436.662893518522</v>
      </c>
      <c r="P2" s="258">
        <v>1</v>
      </c>
      <c r="Q2" s="509"/>
      <c r="R2" s="543"/>
      <c r="S2" s="517"/>
      <c r="T2" s="538"/>
      <c r="U2" s="506"/>
      <c r="V2" s="460"/>
      <c r="W2" s="464"/>
      <c r="X2" s="395"/>
      <c r="Y2" s="391">
        <f>IFERROR(IF($AA$1&lt;1000,INT($AA$1/(D5/100)),100),100)</f>
        <v>100</v>
      </c>
      <c r="Z2" s="520">
        <f>IFERROR($C2*(1-$AB$1)/100*$Y2,"")</f>
        <v>44.305569000000006</v>
      </c>
      <c r="AA2" s="802">
        <f>IFERROR($Z2-$Z3,"")</f>
        <v>0.1605690000000024</v>
      </c>
      <c r="AB2" s="721"/>
      <c r="AC2" s="710"/>
      <c r="AD2" s="710"/>
      <c r="AE2" s="710"/>
      <c r="AG2" s="261" t="s">
        <v>318</v>
      </c>
      <c r="AH2" s="267">
        <v>45437</v>
      </c>
      <c r="AI2" s="259"/>
      <c r="AJ2" s="260"/>
      <c r="AK2" s="260"/>
      <c r="AL2" s="259"/>
      <c r="AM2" s="264"/>
      <c r="AN2" s="259"/>
    </row>
    <row r="3" spans="1:42" ht="12.75" hidden="1" customHeight="1" outlineLevel="1">
      <c r="A3" s="271" t="s">
        <v>14</v>
      </c>
      <c r="B3" s="529">
        <f t="shared" si="0"/>
        <v>50208</v>
      </c>
      <c r="C3" s="763">
        <f t="shared" si="1"/>
        <v>54.37</v>
      </c>
      <c r="D3" s="559">
        <f t="shared" si="2"/>
        <v>54.5</v>
      </c>
      <c r="E3" s="560">
        <f t="shared" si="3"/>
        <v>105955</v>
      </c>
      <c r="F3" s="764">
        <f t="shared" si="4"/>
        <v>54.5</v>
      </c>
      <c r="G3" s="555">
        <f t="shared" si="5"/>
        <v>-6.3E-3</v>
      </c>
      <c r="H3" s="350">
        <f t="shared" si="6"/>
        <v>54.5</v>
      </c>
      <c r="I3" s="765">
        <f t="shared" si="7"/>
        <v>54.72</v>
      </c>
      <c r="J3" s="766">
        <f t="shared" si="8"/>
        <v>54.02</v>
      </c>
      <c r="K3" s="351">
        <f t="shared" si="9"/>
        <v>54.85</v>
      </c>
      <c r="L3" s="352">
        <f t="shared" si="10"/>
        <v>87180571</v>
      </c>
      <c r="M3" s="742">
        <f t="shared" si="11"/>
        <v>160485238</v>
      </c>
      <c r="N3" s="499">
        <f t="shared" si="12"/>
        <v>78173</v>
      </c>
      <c r="O3" s="251">
        <f t="shared" si="13"/>
        <v>45436.687731481485</v>
      </c>
      <c r="P3" s="257">
        <v>2</v>
      </c>
      <c r="Q3" s="508"/>
      <c r="R3" s="540"/>
      <c r="S3" s="518"/>
      <c r="T3" s="537"/>
      <c r="U3" s="507"/>
      <c r="V3" s="461"/>
      <c r="W3" s="357"/>
      <c r="X3" s="396"/>
      <c r="Y3" s="392">
        <f>IFERROR(INT($Z2/($D3*(1+$AB$1)/100)),0)</f>
        <v>81</v>
      </c>
      <c r="Z3" s="521">
        <f>IFERROR($D3/100*INT($Y3),"")</f>
        <v>44.145000000000003</v>
      </c>
      <c r="AA3" s="795"/>
      <c r="AB3" s="720"/>
      <c r="AC3" s="711"/>
      <c r="AD3" s="711"/>
      <c r="AE3" s="711"/>
      <c r="AG3" s="47" t="s">
        <v>319</v>
      </c>
      <c r="AH3" s="268">
        <v>45438</v>
      </c>
      <c r="AI3" s="46"/>
      <c r="AJ3" s="50"/>
      <c r="AK3" s="50"/>
      <c r="AL3" s="46"/>
      <c r="AM3" s="265"/>
      <c r="AN3" s="46"/>
    </row>
    <row r="4" spans="1:42" ht="12.75" hidden="1" customHeight="1" outlineLevel="1">
      <c r="A4" s="270" t="s">
        <v>13</v>
      </c>
      <c r="B4" s="557">
        <f t="shared" si="0"/>
        <v>8696</v>
      </c>
      <c r="C4" s="558">
        <f t="shared" si="1"/>
        <v>65330</v>
      </c>
      <c r="D4" s="767">
        <f t="shared" si="2"/>
        <v>65390</v>
      </c>
      <c r="E4" s="561">
        <f t="shared" si="3"/>
        <v>400</v>
      </c>
      <c r="F4" s="768">
        <f t="shared" si="4"/>
        <v>65330</v>
      </c>
      <c r="G4" s="470">
        <f t="shared" si="5"/>
        <v>-2.6499999999999999E-2</v>
      </c>
      <c r="H4" s="231">
        <f t="shared" si="6"/>
        <v>69090</v>
      </c>
      <c r="I4" s="761">
        <f t="shared" si="7"/>
        <v>69090</v>
      </c>
      <c r="J4" s="762">
        <f t="shared" si="8"/>
        <v>64900</v>
      </c>
      <c r="K4" s="227">
        <f t="shared" si="9"/>
        <v>67110</v>
      </c>
      <c r="L4" s="235">
        <f t="shared" si="10"/>
        <v>137649434863</v>
      </c>
      <c r="M4" s="741">
        <f t="shared" si="11"/>
        <v>209300160</v>
      </c>
      <c r="N4" s="498">
        <f t="shared" si="12"/>
        <v>81710</v>
      </c>
      <c r="O4" s="250">
        <f t="shared" si="13"/>
        <v>45436.6877662037</v>
      </c>
      <c r="P4" s="258">
        <v>3</v>
      </c>
      <c r="Q4" s="509"/>
      <c r="R4" s="541"/>
      <c r="S4" s="517"/>
      <c r="T4" s="538"/>
      <c r="U4" s="506"/>
      <c r="V4" s="460"/>
      <c r="W4" s="464"/>
      <c r="X4" s="398"/>
      <c r="Y4" s="393">
        <f t="shared" ref="Y4:Y24" si="14">Y3</f>
        <v>81</v>
      </c>
      <c r="Z4" s="522">
        <f>IFERROR($C4*(1-$AB$1)/100*INT($Y4),"")</f>
        <v>52912.008270000006</v>
      </c>
      <c r="AA4" s="796">
        <f>IFERROR($Z4-$Z5,"")</f>
        <v>90.008270000005723</v>
      </c>
      <c r="AB4" s="721"/>
      <c r="AC4" s="710"/>
      <c r="AD4" s="710"/>
      <c r="AE4" s="710"/>
      <c r="AG4" s="261" t="s">
        <v>320</v>
      </c>
      <c r="AH4" s="268">
        <v>45439</v>
      </c>
      <c r="AI4" s="259">
        <v>1600000</v>
      </c>
      <c r="AJ4" s="260">
        <v>0.31</v>
      </c>
      <c r="AK4" s="260">
        <v>0.317</v>
      </c>
      <c r="AL4" s="259">
        <v>18796.52</v>
      </c>
      <c r="AM4" s="264">
        <v>0.31</v>
      </c>
      <c r="AN4" s="259"/>
      <c r="AO4" s="45"/>
    </row>
    <row r="5" spans="1:42" ht="12.75" hidden="1" customHeight="1" outlineLevel="1">
      <c r="A5" s="362" t="s">
        <v>534</v>
      </c>
      <c r="B5" s="562">
        <f t="shared" si="0"/>
        <v>2</v>
      </c>
      <c r="C5" s="769">
        <f t="shared" si="1"/>
        <v>53750</v>
      </c>
      <c r="D5" s="563">
        <f t="shared" si="2"/>
        <v>53900</v>
      </c>
      <c r="E5" s="564">
        <f t="shared" si="3"/>
        <v>50</v>
      </c>
      <c r="F5" s="770">
        <f t="shared" si="4"/>
        <v>53750</v>
      </c>
      <c r="G5" s="472">
        <f t="shared" si="5"/>
        <v>-2.53E-2</v>
      </c>
      <c r="H5" s="236">
        <f t="shared" si="6"/>
        <v>55100</v>
      </c>
      <c r="I5" s="771">
        <f t="shared" si="7"/>
        <v>55520</v>
      </c>
      <c r="J5" s="772">
        <f t="shared" si="8"/>
        <v>53500</v>
      </c>
      <c r="K5" s="238">
        <f t="shared" si="9"/>
        <v>55150</v>
      </c>
      <c r="L5" s="239">
        <f t="shared" si="10"/>
        <v>27813381</v>
      </c>
      <c r="M5" s="743">
        <f t="shared" si="11"/>
        <v>51302</v>
      </c>
      <c r="N5" s="500">
        <f t="shared" si="12"/>
        <v>191</v>
      </c>
      <c r="O5" s="253">
        <f t="shared" si="13"/>
        <v>45436.679375</v>
      </c>
      <c r="P5" s="406">
        <v>4</v>
      </c>
      <c r="Q5" s="508"/>
      <c r="R5" s="540"/>
      <c r="S5" s="518"/>
      <c r="T5" s="537"/>
      <c r="U5" s="507"/>
      <c r="V5" s="461"/>
      <c r="W5" s="407"/>
      <c r="X5" s="408"/>
      <c r="Y5" s="475">
        <f>IFERROR($Z4/($D5*(1+$AB$1)/100),0)</f>
        <v>98.157175506939112</v>
      </c>
      <c r="Z5" s="523">
        <f>IFERROR($D5/100*INT($Y5),"")</f>
        <v>52822</v>
      </c>
      <c r="AA5" s="804"/>
      <c r="AB5" s="726"/>
      <c r="AC5" s="727"/>
      <c r="AD5" s="727"/>
      <c r="AE5" s="727"/>
      <c r="AG5" s="47" t="s">
        <v>321</v>
      </c>
      <c r="AH5" s="268">
        <v>45440</v>
      </c>
      <c r="AI5" s="46">
        <v>110890915.63</v>
      </c>
      <c r="AJ5" s="50">
        <v>0.30599999999999999</v>
      </c>
      <c r="AK5" s="50">
        <v>0.33</v>
      </c>
      <c r="AL5" s="46">
        <v>595274.28</v>
      </c>
      <c r="AM5" s="265">
        <v>0.30599999999999999</v>
      </c>
      <c r="AN5" s="46">
        <v>13799875040</v>
      </c>
      <c r="AO5" s="45"/>
    </row>
    <row r="6" spans="1:42" ht="12.75" hidden="1" customHeight="1" outlineLevel="1">
      <c r="A6" s="363" t="s">
        <v>276</v>
      </c>
      <c r="B6" s="557">
        <f t="shared" si="0"/>
        <v>100</v>
      </c>
      <c r="C6" s="558">
        <f t="shared" si="1"/>
        <v>47</v>
      </c>
      <c r="D6" s="759">
        <f t="shared" si="2"/>
        <v>47.23</v>
      </c>
      <c r="E6" s="534">
        <f t="shared" si="3"/>
        <v>300</v>
      </c>
      <c r="F6" s="760">
        <f t="shared" si="4"/>
        <v>47</v>
      </c>
      <c r="G6" s="470">
        <f t="shared" si="5"/>
        <v>-1.06E-2</v>
      </c>
      <c r="H6" s="229">
        <f t="shared" si="6"/>
        <v>47</v>
      </c>
      <c r="I6" s="773">
        <f t="shared" si="7"/>
        <v>47.4</v>
      </c>
      <c r="J6" s="774">
        <f t="shared" si="8"/>
        <v>46</v>
      </c>
      <c r="K6" s="224">
        <f t="shared" si="9"/>
        <v>47</v>
      </c>
      <c r="L6" s="241">
        <f t="shared" si="10"/>
        <v>9759</v>
      </c>
      <c r="M6" s="744">
        <f t="shared" si="11"/>
        <v>20936</v>
      </c>
      <c r="N6" s="501">
        <f t="shared" si="12"/>
        <v>46</v>
      </c>
      <c r="O6" s="495">
        <f t="shared" si="13"/>
        <v>45436.685891203706</v>
      </c>
      <c r="P6" s="258">
        <v>5</v>
      </c>
      <c r="Q6" s="509"/>
      <c r="R6" s="541"/>
      <c r="S6" s="517"/>
      <c r="T6" s="538"/>
      <c r="U6" s="506"/>
      <c r="V6" s="460"/>
      <c r="W6" s="728"/>
      <c r="X6" s="729"/>
      <c r="Y6" s="730">
        <f t="shared" ref="Y6" si="15">IFERROR(IF($AA$1&lt;1000,INT($AA$1/(D9/100)),100),100)</f>
        <v>100</v>
      </c>
      <c r="Z6" s="731">
        <f>IFERROR($C6*(1-$AB$1)/100*$Y6,"")</f>
        <v>46.9953</v>
      </c>
      <c r="AA6" s="803">
        <f>IFERROR($Z6-$Z7,"")</f>
        <v>8.2300000000003593E-2</v>
      </c>
      <c r="AB6" s="732"/>
      <c r="AC6" s="733"/>
      <c r="AD6" s="733"/>
      <c r="AE6" s="733"/>
      <c r="AG6" s="261" t="s">
        <v>322</v>
      </c>
      <c r="AH6" s="268">
        <v>45441</v>
      </c>
      <c r="AI6" s="259">
        <v>79908711.260000005</v>
      </c>
      <c r="AJ6" s="260">
        <v>0.32500000000000001</v>
      </c>
      <c r="AK6" s="260">
        <v>0.32899999999999996</v>
      </c>
      <c r="AL6" s="259">
        <v>26200.82</v>
      </c>
      <c r="AM6" s="264">
        <v>0.32500000000000001</v>
      </c>
      <c r="AN6" s="259">
        <v>2032687951</v>
      </c>
    </row>
    <row r="7" spans="1:42" ht="12.75" hidden="1" customHeight="1" outlineLevel="1">
      <c r="A7" s="271" t="s">
        <v>4</v>
      </c>
      <c r="B7" s="529">
        <f t="shared" si="0"/>
        <v>15000</v>
      </c>
      <c r="C7" s="763">
        <f t="shared" si="1"/>
        <v>54.44</v>
      </c>
      <c r="D7" s="559">
        <f t="shared" si="2"/>
        <v>54.55</v>
      </c>
      <c r="E7" s="560">
        <f t="shared" si="3"/>
        <v>25000</v>
      </c>
      <c r="F7" s="764">
        <f t="shared" si="4"/>
        <v>54.44</v>
      </c>
      <c r="G7" s="471">
        <f t="shared" si="5"/>
        <v>-3.8E-3</v>
      </c>
      <c r="H7" s="230">
        <f t="shared" si="6"/>
        <v>54.5</v>
      </c>
      <c r="I7" s="775">
        <f t="shared" si="7"/>
        <v>54.74</v>
      </c>
      <c r="J7" s="776">
        <f t="shared" si="8"/>
        <v>54.05</v>
      </c>
      <c r="K7" s="225">
        <f t="shared" si="9"/>
        <v>54.65</v>
      </c>
      <c r="L7" s="228">
        <f t="shared" si="10"/>
        <v>16751014</v>
      </c>
      <c r="M7" s="745">
        <f t="shared" si="11"/>
        <v>30824123</v>
      </c>
      <c r="N7" s="499">
        <f t="shared" si="12"/>
        <v>12209</v>
      </c>
      <c r="O7" s="251">
        <f t="shared" si="13"/>
        <v>45436.708425925928</v>
      </c>
      <c r="P7" s="257">
        <v>6</v>
      </c>
      <c r="Q7" s="508"/>
      <c r="R7" s="540"/>
      <c r="S7" s="518"/>
      <c r="T7" s="537"/>
      <c r="U7" s="507"/>
      <c r="V7" s="461"/>
      <c r="W7" s="357"/>
      <c r="X7" s="396"/>
      <c r="Y7" s="392">
        <f t="shared" ref="Y7" si="16">IFERROR(INT($Z6/($D7*(1+$AB$1)/100)),0)</f>
        <v>86</v>
      </c>
      <c r="Z7" s="521">
        <f>IFERROR($D7/100*INT($Y7),"")</f>
        <v>46.912999999999997</v>
      </c>
      <c r="AA7" s="795"/>
      <c r="AB7" s="720"/>
      <c r="AC7" s="711"/>
      <c r="AD7" s="711"/>
      <c r="AE7" s="711"/>
      <c r="AG7" s="47" t="s">
        <v>323</v>
      </c>
      <c r="AH7" s="268">
        <v>45442</v>
      </c>
      <c r="AI7" s="46">
        <v>1330163.1100000001</v>
      </c>
      <c r="AJ7" s="50">
        <v>0.32</v>
      </c>
      <c r="AK7" s="50">
        <v>0.33500000000000002</v>
      </c>
      <c r="AL7" s="46">
        <v>226514.82</v>
      </c>
      <c r="AM7" s="265">
        <v>0.32049999999999995</v>
      </c>
      <c r="AN7" s="46">
        <v>2307907712</v>
      </c>
    </row>
    <row r="8" spans="1:42" hidden="1" outlineLevel="1">
      <c r="A8" s="270" t="s">
        <v>2</v>
      </c>
      <c r="B8" s="557">
        <f t="shared" si="0"/>
        <v>11</v>
      </c>
      <c r="C8" s="558">
        <f t="shared" si="1"/>
        <v>65610</v>
      </c>
      <c r="D8" s="767">
        <f t="shared" si="2"/>
        <v>65640</v>
      </c>
      <c r="E8" s="561">
        <f t="shared" si="3"/>
        <v>151910</v>
      </c>
      <c r="F8" s="768">
        <f t="shared" si="4"/>
        <v>65640</v>
      </c>
      <c r="G8" s="470">
        <f t="shared" si="5"/>
        <v>-2.69E-2</v>
      </c>
      <c r="H8" s="229">
        <f t="shared" si="6"/>
        <v>67500</v>
      </c>
      <c r="I8" s="773">
        <f t="shared" si="7"/>
        <v>67840</v>
      </c>
      <c r="J8" s="774">
        <f t="shared" si="8"/>
        <v>65150</v>
      </c>
      <c r="K8" s="224">
        <f t="shared" si="9"/>
        <v>67460</v>
      </c>
      <c r="L8" s="241">
        <f t="shared" si="10"/>
        <v>94219781819</v>
      </c>
      <c r="M8" s="744">
        <f t="shared" si="11"/>
        <v>142946212</v>
      </c>
      <c r="N8" s="501">
        <f t="shared" si="12"/>
        <v>29548</v>
      </c>
      <c r="O8" s="495">
        <f t="shared" si="13"/>
        <v>45436.708449074074</v>
      </c>
      <c r="P8" s="258">
        <v>7</v>
      </c>
      <c r="Q8" s="509"/>
      <c r="R8" s="541"/>
      <c r="S8" s="517"/>
      <c r="T8" s="538"/>
      <c r="U8" s="506"/>
      <c r="V8" s="460"/>
      <c r="W8" s="464"/>
      <c r="X8" s="398"/>
      <c r="Y8" s="393">
        <f t="shared" si="14"/>
        <v>86</v>
      </c>
      <c r="Z8" s="522">
        <f>IFERROR($C8*(1-$AB$1)/100*INT($Y8),"")</f>
        <v>56418.957540000003</v>
      </c>
      <c r="AA8" s="796">
        <f>IFERROR($Z8-$Z9,"")</f>
        <v>128.95754000000306</v>
      </c>
      <c r="AB8" s="721"/>
      <c r="AC8" s="710"/>
      <c r="AD8" s="710"/>
      <c r="AE8" s="710"/>
      <c r="AG8" s="261" t="s">
        <v>324</v>
      </c>
      <c r="AH8" s="268">
        <v>45443</v>
      </c>
      <c r="AI8" s="259">
        <v>494697789.56</v>
      </c>
      <c r="AJ8" s="260">
        <v>0.31</v>
      </c>
      <c r="AK8" s="260">
        <v>0.32</v>
      </c>
      <c r="AL8" s="259">
        <v>159867504.62</v>
      </c>
      <c r="AM8" s="264">
        <v>0.31</v>
      </c>
      <c r="AN8" s="259">
        <v>60684102558</v>
      </c>
    </row>
    <row r="9" spans="1:42" ht="12.75" hidden="1" customHeight="1" outlineLevel="1">
      <c r="A9" s="362" t="s">
        <v>188</v>
      </c>
      <c r="B9" s="562">
        <f t="shared" si="0"/>
        <v>99</v>
      </c>
      <c r="C9" s="769">
        <f t="shared" si="1"/>
        <v>55910</v>
      </c>
      <c r="D9" s="563">
        <f t="shared" si="2"/>
        <v>56290</v>
      </c>
      <c r="E9" s="564">
        <f t="shared" si="3"/>
        <v>808</v>
      </c>
      <c r="F9" s="770">
        <f t="shared" si="4"/>
        <v>56290</v>
      </c>
      <c r="G9" s="472">
        <f t="shared" si="5"/>
        <v>-8.8000000000000005E-3</v>
      </c>
      <c r="H9" s="236">
        <f t="shared" si="6"/>
        <v>56990</v>
      </c>
      <c r="I9" s="771">
        <f t="shared" si="7"/>
        <v>57250</v>
      </c>
      <c r="J9" s="772">
        <f t="shared" si="8"/>
        <v>55600</v>
      </c>
      <c r="K9" s="238">
        <f t="shared" si="9"/>
        <v>56790</v>
      </c>
      <c r="L9" s="239">
        <f t="shared" si="10"/>
        <v>547923317</v>
      </c>
      <c r="M9" s="743">
        <f t="shared" si="11"/>
        <v>972017</v>
      </c>
      <c r="N9" s="502">
        <f t="shared" si="12"/>
        <v>180</v>
      </c>
      <c r="O9" s="253">
        <f t="shared" si="13"/>
        <v>45436.708356481482</v>
      </c>
      <c r="P9" s="406">
        <v>8</v>
      </c>
      <c r="Q9" s="508"/>
      <c r="R9" s="540"/>
      <c r="S9" s="518"/>
      <c r="T9" s="537"/>
      <c r="U9" s="507"/>
      <c r="V9" s="461"/>
      <c r="W9" s="407"/>
      <c r="X9" s="408"/>
      <c r="Y9" s="475">
        <f t="shared" ref="Y9" si="17">IFERROR($Z8/($D9*(1+$AB$1)/100),0)</f>
        <v>100.21907302963078</v>
      </c>
      <c r="Z9" s="523">
        <f>IFERROR($D9/100*INT($Y9),"")</f>
        <v>56290</v>
      </c>
      <c r="AA9" s="804"/>
      <c r="AB9" s="726"/>
      <c r="AC9" s="727"/>
      <c r="AD9" s="727"/>
      <c r="AE9" s="727"/>
      <c r="AG9" s="47" t="s">
        <v>586</v>
      </c>
      <c r="AH9" s="268">
        <v>45444</v>
      </c>
      <c r="AI9" s="262"/>
      <c r="AJ9" s="263"/>
      <c r="AK9" s="263"/>
      <c r="AL9" s="262"/>
      <c r="AM9" s="266"/>
      <c r="AN9" s="262"/>
    </row>
    <row r="10" spans="1:42" ht="12.75" hidden="1" customHeight="1" outlineLevel="1">
      <c r="A10" s="363" t="s">
        <v>538</v>
      </c>
      <c r="B10" s="557">
        <f t="shared" si="0"/>
        <v>1136</v>
      </c>
      <c r="C10" s="558">
        <f t="shared" si="1"/>
        <v>44.31</v>
      </c>
      <c r="D10" s="759">
        <f t="shared" si="2"/>
        <v>46.3</v>
      </c>
      <c r="E10" s="534">
        <f t="shared" si="3"/>
        <v>500</v>
      </c>
      <c r="F10" s="760">
        <f t="shared" si="4"/>
        <v>44.250999999999998</v>
      </c>
      <c r="G10" s="470">
        <f t="shared" si="5"/>
        <v>-3.7599999999999995E-2</v>
      </c>
      <c r="H10" s="229">
        <f t="shared" si="6"/>
        <v>45.9</v>
      </c>
      <c r="I10" s="773">
        <f t="shared" si="7"/>
        <v>45.988999999999997</v>
      </c>
      <c r="J10" s="774">
        <f t="shared" si="8"/>
        <v>44.05</v>
      </c>
      <c r="K10" s="224">
        <f t="shared" si="9"/>
        <v>45.98</v>
      </c>
      <c r="L10" s="241">
        <f t="shared" si="10"/>
        <v>5224</v>
      </c>
      <c r="M10" s="744">
        <f t="shared" si="11"/>
        <v>11515</v>
      </c>
      <c r="N10" s="501">
        <f t="shared" si="12"/>
        <v>30</v>
      </c>
      <c r="O10" s="495">
        <f t="shared" si="13"/>
        <v>45436.662893518522</v>
      </c>
      <c r="P10" s="258">
        <v>9</v>
      </c>
      <c r="Q10" s="509"/>
      <c r="R10" s="541"/>
      <c r="S10" s="517"/>
      <c r="T10" s="538"/>
      <c r="U10" s="506"/>
      <c r="V10" s="460"/>
      <c r="W10" s="728"/>
      <c r="X10" s="729"/>
      <c r="Y10" s="730">
        <f t="shared" ref="Y10" si="18">IFERROR(IF($AA$1&lt;1000,INT($AA$1/(D13/100)),100),100)</f>
        <v>100</v>
      </c>
      <c r="Z10" s="731">
        <f>IFERROR($C10*(1-$AB$1)/100*$Y10,"")</f>
        <v>44.305569000000006</v>
      </c>
      <c r="AA10" s="803">
        <f>IFERROR($Z10-$Z11,"")</f>
        <v>0.1605690000000024</v>
      </c>
      <c r="AB10" s="732"/>
      <c r="AC10" s="733"/>
      <c r="AD10" s="733"/>
      <c r="AE10" s="733"/>
      <c r="AG10" s="47" t="s">
        <v>587</v>
      </c>
      <c r="AH10" s="268">
        <v>45445</v>
      </c>
      <c r="AI10" s="262"/>
      <c r="AJ10" s="263"/>
      <c r="AK10" s="263"/>
      <c r="AL10" s="262"/>
      <c r="AM10" s="266"/>
      <c r="AN10" s="262"/>
    </row>
    <row r="11" spans="1:42" ht="12.75" hidden="1" customHeight="1" outlineLevel="1">
      <c r="A11" s="271" t="s">
        <v>551</v>
      </c>
      <c r="B11" s="529">
        <f t="shared" si="0"/>
        <v>1000</v>
      </c>
      <c r="C11" s="763">
        <f t="shared" si="1"/>
        <v>40</v>
      </c>
      <c r="D11" s="559">
        <f t="shared" si="2"/>
        <v>40.5</v>
      </c>
      <c r="E11" s="560">
        <f t="shared" si="3"/>
        <v>2475</v>
      </c>
      <c r="F11" s="764">
        <f t="shared" si="4"/>
        <v>40.5</v>
      </c>
      <c r="G11" s="471">
        <f t="shared" si="5"/>
        <v>1.21E-2</v>
      </c>
      <c r="H11" s="230">
        <f t="shared" si="6"/>
        <v>40.049999999999997</v>
      </c>
      <c r="I11" s="775">
        <f t="shared" si="7"/>
        <v>40.996000000000002</v>
      </c>
      <c r="J11" s="776">
        <f t="shared" si="8"/>
        <v>38.9</v>
      </c>
      <c r="K11" s="225">
        <f t="shared" si="9"/>
        <v>40.012</v>
      </c>
      <c r="L11" s="228">
        <f t="shared" si="10"/>
        <v>62488</v>
      </c>
      <c r="M11" s="746">
        <f t="shared" si="11"/>
        <v>155497</v>
      </c>
      <c r="N11" s="499">
        <f t="shared" si="12"/>
        <v>185</v>
      </c>
      <c r="O11" s="251">
        <f t="shared" si="13"/>
        <v>45436.680578703701</v>
      </c>
      <c r="P11" s="257">
        <v>10</v>
      </c>
      <c r="Q11" s="508"/>
      <c r="R11" s="540"/>
      <c r="S11" s="518"/>
      <c r="T11" s="537"/>
      <c r="U11" s="507"/>
      <c r="V11" s="461"/>
      <c r="W11" s="357"/>
      <c r="X11" s="396"/>
      <c r="Y11" s="392">
        <f t="shared" ref="Y11" si="19">IFERROR(INT($Z10/($D11*(1+$AB$1)/100)),0)</f>
        <v>109</v>
      </c>
      <c r="Z11" s="521">
        <f>IFERROR($D11/100*INT($Y11),"")</f>
        <v>44.145000000000003</v>
      </c>
      <c r="AA11" s="795"/>
      <c r="AB11" s="720"/>
      <c r="AC11" s="711"/>
      <c r="AD11" s="711"/>
      <c r="AE11" s="711"/>
      <c r="AG11" s="47" t="s">
        <v>588</v>
      </c>
      <c r="AH11" s="268">
        <v>45446</v>
      </c>
      <c r="AI11" s="262">
        <v>94484244.599999994</v>
      </c>
      <c r="AJ11" s="263">
        <v>0.30499999999999999</v>
      </c>
      <c r="AK11" s="263">
        <v>0.34899999999999998</v>
      </c>
      <c r="AL11" s="262">
        <v>21920.95</v>
      </c>
      <c r="AM11" s="266">
        <v>0.30499999999999999</v>
      </c>
      <c r="AN11" s="262">
        <v>977972937</v>
      </c>
    </row>
    <row r="12" spans="1:42" ht="12.75" hidden="1" customHeight="1" outlineLevel="1">
      <c r="A12" s="270" t="s">
        <v>549</v>
      </c>
      <c r="B12" s="557">
        <f t="shared" si="0"/>
        <v>10352</v>
      </c>
      <c r="C12" s="558">
        <f t="shared" si="1"/>
        <v>48400</v>
      </c>
      <c r="D12" s="767">
        <f t="shared" si="2"/>
        <v>49000</v>
      </c>
      <c r="E12" s="561">
        <f t="shared" si="3"/>
        <v>900</v>
      </c>
      <c r="F12" s="768">
        <f t="shared" si="4"/>
        <v>48275</v>
      </c>
      <c r="G12" s="470">
        <f t="shared" si="5"/>
        <v>-2.3700000000000002E-2</v>
      </c>
      <c r="H12" s="229">
        <f t="shared" si="6"/>
        <v>49240</v>
      </c>
      <c r="I12" s="773">
        <f t="shared" si="7"/>
        <v>49550</v>
      </c>
      <c r="J12" s="774">
        <f t="shared" si="8"/>
        <v>47000</v>
      </c>
      <c r="K12" s="224">
        <f t="shared" si="9"/>
        <v>49450</v>
      </c>
      <c r="L12" s="241">
        <f t="shared" si="10"/>
        <v>98070288</v>
      </c>
      <c r="M12" s="744">
        <f t="shared" si="11"/>
        <v>202631</v>
      </c>
      <c r="N12" s="501">
        <f t="shared" si="12"/>
        <v>442</v>
      </c>
      <c r="O12" s="495">
        <f t="shared" si="13"/>
        <v>45436.68346064815</v>
      </c>
      <c r="P12" s="258">
        <v>11</v>
      </c>
      <c r="Q12" s="509"/>
      <c r="R12" s="541"/>
      <c r="S12" s="517"/>
      <c r="T12" s="538"/>
      <c r="U12" s="506"/>
      <c r="V12" s="460"/>
      <c r="W12" s="464"/>
      <c r="X12" s="398"/>
      <c r="Y12" s="393">
        <f t="shared" si="14"/>
        <v>109</v>
      </c>
      <c r="Z12" s="522">
        <f>IFERROR($C12*(1-$AB$1)/100*INT($Y12),"")</f>
        <v>52750.724400000006</v>
      </c>
      <c r="AA12" s="796">
        <f>IFERROR($Z12-$Z13,"")</f>
        <v>467.72440000000643</v>
      </c>
      <c r="AB12" s="721"/>
      <c r="AC12" s="710"/>
      <c r="AD12" s="710"/>
      <c r="AE12" s="710"/>
    </row>
    <row r="13" spans="1:42" ht="12.75" hidden="1" customHeight="1" outlineLevel="1">
      <c r="A13" s="362" t="s">
        <v>534</v>
      </c>
      <c r="B13" s="562">
        <f t="shared" si="0"/>
        <v>2</v>
      </c>
      <c r="C13" s="769">
        <f t="shared" si="1"/>
        <v>53750</v>
      </c>
      <c r="D13" s="563">
        <f t="shared" si="2"/>
        <v>53900</v>
      </c>
      <c r="E13" s="564">
        <f t="shared" si="3"/>
        <v>50</v>
      </c>
      <c r="F13" s="770">
        <f t="shared" si="4"/>
        <v>53750</v>
      </c>
      <c r="G13" s="472">
        <f t="shared" si="5"/>
        <v>-2.53E-2</v>
      </c>
      <c r="H13" s="236">
        <f t="shared" si="6"/>
        <v>55100</v>
      </c>
      <c r="I13" s="771">
        <f t="shared" si="7"/>
        <v>55520</v>
      </c>
      <c r="J13" s="772">
        <f t="shared" si="8"/>
        <v>53500</v>
      </c>
      <c r="K13" s="238">
        <f t="shared" si="9"/>
        <v>55150</v>
      </c>
      <c r="L13" s="239">
        <f t="shared" si="10"/>
        <v>27813381</v>
      </c>
      <c r="M13" s="743">
        <f t="shared" si="11"/>
        <v>51302</v>
      </c>
      <c r="N13" s="502">
        <f t="shared" si="12"/>
        <v>191</v>
      </c>
      <c r="O13" s="253">
        <f t="shared" si="13"/>
        <v>45436.679375</v>
      </c>
      <c r="P13" s="257">
        <v>12</v>
      </c>
      <c r="Q13" s="508"/>
      <c r="R13" s="540"/>
      <c r="S13" s="518"/>
      <c r="T13" s="537"/>
      <c r="U13" s="507"/>
      <c r="V13" s="461"/>
      <c r="W13" s="407"/>
      <c r="X13" s="408"/>
      <c r="Y13" s="475">
        <f t="shared" ref="Y13" si="20">IFERROR($Z12/($D13*(1+$AB$1)/100),0)</f>
        <v>97.85797746755938</v>
      </c>
      <c r="Z13" s="523">
        <f>IFERROR($D13/100*INT($Y13),"")</f>
        <v>52283</v>
      </c>
      <c r="AA13" s="804"/>
      <c r="AB13" s="726"/>
      <c r="AC13" s="727"/>
      <c r="AD13" s="727"/>
      <c r="AE13" s="727"/>
    </row>
    <row r="14" spans="1:42" ht="12.75" hidden="1" customHeight="1" outlineLevel="1">
      <c r="A14" s="363" t="s">
        <v>276</v>
      </c>
      <c r="B14" s="557">
        <f t="shared" si="0"/>
        <v>100</v>
      </c>
      <c r="C14" s="558">
        <f t="shared" si="1"/>
        <v>47</v>
      </c>
      <c r="D14" s="759">
        <f t="shared" si="2"/>
        <v>47.23</v>
      </c>
      <c r="E14" s="534">
        <f t="shared" si="3"/>
        <v>300</v>
      </c>
      <c r="F14" s="760">
        <f t="shared" si="4"/>
        <v>47</v>
      </c>
      <c r="G14" s="470">
        <f t="shared" si="5"/>
        <v>-1.06E-2</v>
      </c>
      <c r="H14" s="231">
        <f t="shared" si="6"/>
        <v>47</v>
      </c>
      <c r="I14" s="761">
        <f t="shared" si="7"/>
        <v>47.4</v>
      </c>
      <c r="J14" s="762">
        <f t="shared" si="8"/>
        <v>46</v>
      </c>
      <c r="K14" s="227">
        <f t="shared" si="9"/>
        <v>47</v>
      </c>
      <c r="L14" s="235">
        <f t="shared" si="10"/>
        <v>9759</v>
      </c>
      <c r="M14" s="741">
        <f t="shared" si="11"/>
        <v>20936</v>
      </c>
      <c r="N14" s="498">
        <f t="shared" si="12"/>
        <v>46</v>
      </c>
      <c r="O14" s="250">
        <f t="shared" si="13"/>
        <v>45436.685891203706</v>
      </c>
      <c r="P14" s="258">
        <v>13</v>
      </c>
      <c r="Q14" s="509"/>
      <c r="R14" s="541"/>
      <c r="S14" s="517"/>
      <c r="T14" s="538"/>
      <c r="U14" s="506"/>
      <c r="V14" s="460"/>
      <c r="W14" s="728"/>
      <c r="X14" s="729"/>
      <c r="Y14" s="730">
        <f t="shared" ref="Y14" si="21">IFERROR(IF($AA$1&lt;1000,INT($AA$1/(D17/100)),100),100)</f>
        <v>100</v>
      </c>
      <c r="Z14" s="731">
        <f>IFERROR($C14*(1-$AB$1)/100*$Y14,"")</f>
        <v>46.9953</v>
      </c>
      <c r="AA14" s="803">
        <f>IFERROR($Z14-$Z15,"")</f>
        <v>8.2300000000003593E-2</v>
      </c>
      <c r="AB14" s="732"/>
      <c r="AC14" s="733"/>
      <c r="AD14" s="733"/>
      <c r="AE14" s="733"/>
      <c r="AN14" s="45"/>
      <c r="AO14" s="45"/>
      <c r="AP14" s="45"/>
    </row>
    <row r="15" spans="1:42" ht="12.75" hidden="1" customHeight="1" outlineLevel="1">
      <c r="A15" s="271" t="s">
        <v>4</v>
      </c>
      <c r="B15" s="529">
        <f t="shared" si="0"/>
        <v>15000</v>
      </c>
      <c r="C15" s="763">
        <f t="shared" si="1"/>
        <v>54.44</v>
      </c>
      <c r="D15" s="559">
        <f t="shared" si="2"/>
        <v>54.55</v>
      </c>
      <c r="E15" s="560">
        <f t="shared" si="3"/>
        <v>25000</v>
      </c>
      <c r="F15" s="764">
        <f t="shared" si="4"/>
        <v>54.44</v>
      </c>
      <c r="G15" s="555">
        <f t="shared" si="5"/>
        <v>-3.8E-3</v>
      </c>
      <c r="H15" s="350">
        <f t="shared" si="6"/>
        <v>54.5</v>
      </c>
      <c r="I15" s="765">
        <f t="shared" si="7"/>
        <v>54.74</v>
      </c>
      <c r="J15" s="766">
        <f t="shared" si="8"/>
        <v>54.05</v>
      </c>
      <c r="K15" s="351">
        <f t="shared" si="9"/>
        <v>54.65</v>
      </c>
      <c r="L15" s="352">
        <f t="shared" si="10"/>
        <v>16751014</v>
      </c>
      <c r="M15" s="742">
        <f t="shared" si="11"/>
        <v>30824123</v>
      </c>
      <c r="N15" s="503">
        <f t="shared" si="12"/>
        <v>12209</v>
      </c>
      <c r="O15" s="496">
        <f t="shared" si="13"/>
        <v>45436.708425925928</v>
      </c>
      <c r="P15" s="257">
        <v>14</v>
      </c>
      <c r="Q15" s="508"/>
      <c r="R15" s="540"/>
      <c r="S15" s="518"/>
      <c r="T15" s="537"/>
      <c r="U15" s="507"/>
      <c r="V15" s="461"/>
      <c r="W15" s="357"/>
      <c r="X15" s="396"/>
      <c r="Y15" s="392">
        <f t="shared" ref="Y15" si="22">IFERROR(INT($Z14/($D15*(1+$AB$1)/100)),0)</f>
        <v>86</v>
      </c>
      <c r="Z15" s="521">
        <f>IFERROR($D15/100*INT($Y15),"")</f>
        <v>46.912999999999997</v>
      </c>
      <c r="AA15" s="795"/>
      <c r="AB15" s="720"/>
      <c r="AC15" s="711"/>
      <c r="AD15" s="711"/>
      <c r="AE15" s="711"/>
    </row>
    <row r="16" spans="1:42" ht="12.75" hidden="1" customHeight="1" outlineLevel="1">
      <c r="A16" s="270" t="s">
        <v>2</v>
      </c>
      <c r="B16" s="557">
        <f t="shared" si="0"/>
        <v>11</v>
      </c>
      <c r="C16" s="558">
        <f t="shared" si="1"/>
        <v>65610</v>
      </c>
      <c r="D16" s="767">
        <f t="shared" si="2"/>
        <v>65640</v>
      </c>
      <c r="E16" s="561">
        <f t="shared" si="3"/>
        <v>151910</v>
      </c>
      <c r="F16" s="768">
        <f t="shared" si="4"/>
        <v>65640</v>
      </c>
      <c r="G16" s="470">
        <f t="shared" si="5"/>
        <v>-2.69E-2</v>
      </c>
      <c r="H16" s="229">
        <f t="shared" si="6"/>
        <v>67500</v>
      </c>
      <c r="I16" s="773">
        <f t="shared" si="7"/>
        <v>67840</v>
      </c>
      <c r="J16" s="773">
        <f t="shared" si="8"/>
        <v>65150</v>
      </c>
      <c r="K16" s="224">
        <f t="shared" si="9"/>
        <v>67460</v>
      </c>
      <c r="L16" s="241">
        <f t="shared" si="10"/>
        <v>94219781819</v>
      </c>
      <c r="M16" s="744">
        <f t="shared" si="11"/>
        <v>142946212</v>
      </c>
      <c r="N16" s="501">
        <f t="shared" si="12"/>
        <v>29548</v>
      </c>
      <c r="O16" s="495">
        <f t="shared" si="13"/>
        <v>45436.708449074074</v>
      </c>
      <c r="P16" s="258">
        <v>15</v>
      </c>
      <c r="Q16" s="509"/>
      <c r="R16" s="541"/>
      <c r="S16" s="517"/>
      <c r="T16" s="538"/>
      <c r="U16" s="506"/>
      <c r="V16" s="460"/>
      <c r="W16" s="464"/>
      <c r="X16" s="398"/>
      <c r="Y16" s="393">
        <f t="shared" si="14"/>
        <v>86</v>
      </c>
      <c r="Z16" s="522">
        <f>IFERROR($C16*(1-$AB$1)/100*INT($Y16),"")</f>
        <v>56418.957540000003</v>
      </c>
      <c r="AA16" s="796">
        <f>IFERROR($Z16-$Z17,"")</f>
        <v>128.95754000000306</v>
      </c>
      <c r="AB16" s="721"/>
      <c r="AC16" s="710"/>
      <c r="AD16" s="710"/>
      <c r="AE16" s="710"/>
    </row>
    <row r="17" spans="1:41" ht="12.75" hidden="1" customHeight="1" outlineLevel="1">
      <c r="A17" s="362" t="s">
        <v>188</v>
      </c>
      <c r="B17" s="562">
        <f t="shared" si="0"/>
        <v>99</v>
      </c>
      <c r="C17" s="769">
        <f t="shared" si="1"/>
        <v>55910</v>
      </c>
      <c r="D17" s="563">
        <f t="shared" si="2"/>
        <v>56290</v>
      </c>
      <c r="E17" s="564">
        <f t="shared" si="3"/>
        <v>808</v>
      </c>
      <c r="F17" s="770">
        <f t="shared" si="4"/>
        <v>56290</v>
      </c>
      <c r="G17" s="472">
        <f t="shared" si="5"/>
        <v>-8.8000000000000005E-3</v>
      </c>
      <c r="H17" s="236">
        <f t="shared" si="6"/>
        <v>56990</v>
      </c>
      <c r="I17" s="771">
        <f t="shared" si="7"/>
        <v>57250</v>
      </c>
      <c r="J17" s="772">
        <f t="shared" si="8"/>
        <v>55600</v>
      </c>
      <c r="K17" s="238">
        <f t="shared" si="9"/>
        <v>56790</v>
      </c>
      <c r="L17" s="239">
        <f t="shared" si="10"/>
        <v>547923317</v>
      </c>
      <c r="M17" s="743">
        <f t="shared" si="11"/>
        <v>972017</v>
      </c>
      <c r="N17" s="502">
        <f t="shared" si="12"/>
        <v>180</v>
      </c>
      <c r="O17" s="253">
        <f t="shared" si="13"/>
        <v>45436.708356481482</v>
      </c>
      <c r="P17" s="406">
        <v>16</v>
      </c>
      <c r="Q17" s="508"/>
      <c r="R17" s="540"/>
      <c r="S17" s="518"/>
      <c r="T17" s="537"/>
      <c r="U17" s="507"/>
      <c r="V17" s="461"/>
      <c r="W17" s="407"/>
      <c r="X17" s="408"/>
      <c r="Y17" s="475">
        <f t="shared" ref="Y17" si="23">IFERROR($Z16/($D17*(1+$AB$1)/100),0)</f>
        <v>100.21907302963078</v>
      </c>
      <c r="Z17" s="523">
        <f>IFERROR($D17/100*INT($Y17),"")</f>
        <v>56290</v>
      </c>
      <c r="AA17" s="804"/>
      <c r="AB17" s="726"/>
      <c r="AC17" s="727"/>
      <c r="AD17" s="727"/>
      <c r="AE17" s="727"/>
      <c r="AO17" s="283"/>
    </row>
    <row r="18" spans="1:41" ht="12.75" hidden="1" customHeight="1" outlineLevel="1">
      <c r="A18" s="363" t="s">
        <v>538</v>
      </c>
      <c r="B18" s="557">
        <f t="shared" si="0"/>
        <v>1136</v>
      </c>
      <c r="C18" s="558">
        <f t="shared" si="1"/>
        <v>44.31</v>
      </c>
      <c r="D18" s="759">
        <f t="shared" si="2"/>
        <v>46.3</v>
      </c>
      <c r="E18" s="534">
        <f t="shared" si="3"/>
        <v>500</v>
      </c>
      <c r="F18" s="760">
        <f t="shared" si="4"/>
        <v>44.250999999999998</v>
      </c>
      <c r="G18" s="470">
        <f t="shared" si="5"/>
        <v>-3.7599999999999995E-2</v>
      </c>
      <c r="H18" s="272">
        <f t="shared" si="6"/>
        <v>45.9</v>
      </c>
      <c r="I18" s="777">
        <f t="shared" si="7"/>
        <v>45.988999999999997</v>
      </c>
      <c r="J18" s="778">
        <f t="shared" si="8"/>
        <v>44.05</v>
      </c>
      <c r="K18" s="273">
        <f t="shared" si="9"/>
        <v>45.98</v>
      </c>
      <c r="L18" s="274">
        <f t="shared" si="10"/>
        <v>5224</v>
      </c>
      <c r="M18" s="747">
        <f t="shared" si="11"/>
        <v>11515</v>
      </c>
      <c r="N18" s="498">
        <f t="shared" si="12"/>
        <v>30</v>
      </c>
      <c r="O18" s="250"/>
      <c r="P18" s="258">
        <v>17</v>
      </c>
      <c r="Q18" s="509"/>
      <c r="R18" s="541"/>
      <c r="S18" s="517"/>
      <c r="T18" s="538"/>
      <c r="U18" s="506"/>
      <c r="V18" s="460"/>
      <c r="W18" s="728"/>
      <c r="X18" s="729"/>
      <c r="Y18" s="730">
        <f t="shared" ref="Y18" si="24">IFERROR(IF($AA$1&lt;1000,INT($AA$1/(D21/100)),100),100)</f>
        <v>100</v>
      </c>
      <c r="Z18" s="731">
        <f>IFERROR($C18*(1-$AB$1)/100*$Y18,"")</f>
        <v>44.305569000000006</v>
      </c>
      <c r="AA18" s="803">
        <f>IFERROR($Z18-$Z19,"")</f>
        <v>0.1605690000000024</v>
      </c>
      <c r="AB18" s="732"/>
      <c r="AC18" s="733"/>
      <c r="AD18" s="733"/>
      <c r="AE18" s="733"/>
    </row>
    <row r="19" spans="1:41" ht="12.75" hidden="1" customHeight="1" outlineLevel="1">
      <c r="A19" s="271" t="s">
        <v>14</v>
      </c>
      <c r="B19" s="529">
        <f t="shared" si="0"/>
        <v>50208</v>
      </c>
      <c r="C19" s="763">
        <f t="shared" si="1"/>
        <v>54.37</v>
      </c>
      <c r="D19" s="559">
        <f t="shared" si="2"/>
        <v>54.5</v>
      </c>
      <c r="E19" s="560">
        <f t="shared" si="3"/>
        <v>105955</v>
      </c>
      <c r="F19" s="764">
        <f t="shared" si="4"/>
        <v>54.5</v>
      </c>
      <c r="G19" s="555">
        <f t="shared" si="5"/>
        <v>-6.3E-3</v>
      </c>
      <c r="H19" s="734">
        <f t="shared" si="6"/>
        <v>54.5</v>
      </c>
      <c r="I19" s="779">
        <f t="shared" si="7"/>
        <v>54.72</v>
      </c>
      <c r="J19" s="780">
        <f t="shared" si="8"/>
        <v>54.02</v>
      </c>
      <c r="K19" s="735">
        <f t="shared" si="9"/>
        <v>54.85</v>
      </c>
      <c r="L19" s="736">
        <f t="shared" si="10"/>
        <v>87180571</v>
      </c>
      <c r="M19" s="748">
        <f t="shared" si="11"/>
        <v>160485238</v>
      </c>
      <c r="N19" s="503">
        <f t="shared" si="12"/>
        <v>78173</v>
      </c>
      <c r="O19" s="496">
        <f t="shared" ref="O19:O29" si="25">IF($A19&lt;&gt;"",VLOOKUP($A19,$A$60:$O$199,15,0),"")</f>
        <v>45436.687731481485</v>
      </c>
      <c r="P19" s="257">
        <v>18</v>
      </c>
      <c r="Q19" s="508"/>
      <c r="R19" s="540"/>
      <c r="S19" s="518"/>
      <c r="T19" s="537"/>
      <c r="U19" s="507"/>
      <c r="V19" s="461"/>
      <c r="W19" s="357"/>
      <c r="X19" s="396"/>
      <c r="Y19" s="392">
        <f t="shared" ref="Y19" si="26">IFERROR(INT($Z18/($D19*(1+$AB$1)/100)),0)</f>
        <v>81</v>
      </c>
      <c r="Z19" s="521">
        <f>IFERROR($D19/100*INT($Y19),"")</f>
        <v>44.145000000000003</v>
      </c>
      <c r="AA19" s="795"/>
      <c r="AB19" s="720"/>
      <c r="AC19" s="711"/>
      <c r="AD19" s="711"/>
      <c r="AE19" s="711"/>
    </row>
    <row r="20" spans="1:41" ht="12.75" hidden="1" customHeight="1" outlineLevel="1">
      <c r="A20" s="270" t="s">
        <v>15</v>
      </c>
      <c r="B20" s="557">
        <f t="shared" si="0"/>
        <v>100</v>
      </c>
      <c r="C20" s="558">
        <f t="shared" si="1"/>
        <v>52.27</v>
      </c>
      <c r="D20" s="767">
        <f t="shared" si="2"/>
        <v>53.28</v>
      </c>
      <c r="E20" s="561">
        <f t="shared" si="3"/>
        <v>122606</v>
      </c>
      <c r="F20" s="768">
        <f t="shared" si="4"/>
        <v>53.28</v>
      </c>
      <c r="G20" s="470">
        <f t="shared" si="5"/>
        <v>-8.6999999999999994E-3</v>
      </c>
      <c r="H20" s="275">
        <f t="shared" si="6"/>
        <v>53.44</v>
      </c>
      <c r="I20" s="781">
        <f t="shared" si="7"/>
        <v>53.69</v>
      </c>
      <c r="J20" s="782">
        <f t="shared" si="8"/>
        <v>52</v>
      </c>
      <c r="K20" s="276">
        <f t="shared" si="9"/>
        <v>53.75</v>
      </c>
      <c r="L20" s="277">
        <f t="shared" si="10"/>
        <v>41538084</v>
      </c>
      <c r="M20" s="749">
        <f t="shared" si="11"/>
        <v>77834546</v>
      </c>
      <c r="N20" s="501">
        <f t="shared" si="12"/>
        <v>14472</v>
      </c>
      <c r="O20" s="495">
        <f t="shared" si="25"/>
        <v>45436.687557870369</v>
      </c>
      <c r="P20" s="258">
        <v>19</v>
      </c>
      <c r="Q20" s="509"/>
      <c r="R20" s="541"/>
      <c r="S20" s="517"/>
      <c r="T20" s="538"/>
      <c r="U20" s="506"/>
      <c r="V20" s="460"/>
      <c r="W20" s="464"/>
      <c r="X20" s="397"/>
      <c r="Y20" s="393">
        <f t="shared" si="14"/>
        <v>81</v>
      </c>
      <c r="Z20" s="522">
        <f>IFERROR($C20*(1-$AB$1)/100*INT($Y20),"")</f>
        <v>42.33446613000001</v>
      </c>
      <c r="AA20" s="796">
        <f>IFERROR($Z20-$Z21,"")</f>
        <v>42.33446613000001</v>
      </c>
      <c r="AB20" s="721"/>
      <c r="AC20" s="710"/>
      <c r="AD20" s="710"/>
      <c r="AE20" s="710"/>
    </row>
    <row r="21" spans="1:41" ht="12.75" hidden="1" customHeight="1" outlineLevel="1">
      <c r="A21" s="362" t="s">
        <v>536</v>
      </c>
      <c r="B21" s="562">
        <f t="shared" si="0"/>
        <v>0</v>
      </c>
      <c r="C21" s="769">
        <f t="shared" si="1"/>
        <v>0</v>
      </c>
      <c r="D21" s="563">
        <f t="shared" si="2"/>
        <v>0</v>
      </c>
      <c r="E21" s="564">
        <f t="shared" si="3"/>
        <v>0</v>
      </c>
      <c r="F21" s="770">
        <f t="shared" si="4"/>
        <v>0</v>
      </c>
      <c r="G21" s="472">
        <f t="shared" si="5"/>
        <v>0</v>
      </c>
      <c r="H21" s="403">
        <f t="shared" si="6"/>
        <v>0</v>
      </c>
      <c r="I21" s="783">
        <f t="shared" si="7"/>
        <v>0</v>
      </c>
      <c r="J21" s="784">
        <f t="shared" si="8"/>
        <v>0</v>
      </c>
      <c r="K21" s="404">
        <f t="shared" si="9"/>
        <v>38.42</v>
      </c>
      <c r="L21" s="405">
        <f t="shared" si="10"/>
        <v>0</v>
      </c>
      <c r="M21" s="750">
        <f t="shared" si="11"/>
        <v>0</v>
      </c>
      <c r="N21" s="502">
        <f t="shared" si="12"/>
        <v>0</v>
      </c>
      <c r="O21" s="253">
        <f t="shared" si="25"/>
        <v>0</v>
      </c>
      <c r="P21" s="406">
        <v>20</v>
      </c>
      <c r="Q21" s="508"/>
      <c r="R21" s="540"/>
      <c r="S21" s="518"/>
      <c r="T21" s="537"/>
      <c r="U21" s="507"/>
      <c r="V21" s="461"/>
      <c r="W21" s="407"/>
      <c r="X21" s="408"/>
      <c r="Y21" s="475">
        <f t="shared" ref="Y21" si="27">IFERROR($Z20/($D21*(1+$AB$1)/100),0)</f>
        <v>0</v>
      </c>
      <c r="Z21" s="523">
        <f>IFERROR($D21/100*INT($Y21),"")</f>
        <v>0</v>
      </c>
      <c r="AA21" s="804"/>
      <c r="AB21" s="726"/>
      <c r="AC21" s="727"/>
      <c r="AD21" s="727"/>
      <c r="AE21" s="727"/>
    </row>
    <row r="22" spans="1:41" ht="12.75" hidden="1" customHeight="1" outlineLevel="1">
      <c r="A22" s="363" t="s">
        <v>276</v>
      </c>
      <c r="B22" s="557">
        <f t="shared" si="0"/>
        <v>100</v>
      </c>
      <c r="C22" s="558">
        <f t="shared" si="1"/>
        <v>47</v>
      </c>
      <c r="D22" s="759">
        <f t="shared" si="2"/>
        <v>47.23</v>
      </c>
      <c r="E22" s="534">
        <f t="shared" si="3"/>
        <v>300</v>
      </c>
      <c r="F22" s="760">
        <f t="shared" si="4"/>
        <v>47</v>
      </c>
      <c r="G22" s="470">
        <f t="shared" si="5"/>
        <v>-1.06E-2</v>
      </c>
      <c r="H22" s="272">
        <f t="shared" si="6"/>
        <v>47</v>
      </c>
      <c r="I22" s="777">
        <f t="shared" si="7"/>
        <v>47.4</v>
      </c>
      <c r="J22" s="778">
        <f t="shared" si="8"/>
        <v>46</v>
      </c>
      <c r="K22" s="273">
        <f t="shared" si="9"/>
        <v>47</v>
      </c>
      <c r="L22" s="274">
        <f t="shared" si="10"/>
        <v>9759</v>
      </c>
      <c r="M22" s="751">
        <f t="shared" si="11"/>
        <v>20936</v>
      </c>
      <c r="N22" s="498">
        <f t="shared" si="12"/>
        <v>46</v>
      </c>
      <c r="O22" s="250">
        <f t="shared" si="25"/>
        <v>45436.685891203706</v>
      </c>
      <c r="P22" s="258">
        <v>21</v>
      </c>
      <c r="Q22" s="509"/>
      <c r="R22" s="541"/>
      <c r="S22" s="517"/>
      <c r="T22" s="538"/>
      <c r="U22" s="506"/>
      <c r="V22" s="460"/>
      <c r="W22" s="464"/>
      <c r="X22" s="397"/>
      <c r="Y22" s="394">
        <f t="shared" ref="Y22" si="28">IFERROR(IF($AA$1&lt;1000,INT($AA$1/(D25/100)),100),100)</f>
        <v>100</v>
      </c>
      <c r="Z22" s="520">
        <f>IFERROR($C22*(1-$AB$1)/100*$Y22,"")</f>
        <v>46.9953</v>
      </c>
      <c r="AA22" s="794">
        <f>IFERROR($Z22-$Z23,"")</f>
        <v>8.2300000000003593E-2</v>
      </c>
      <c r="AB22" s="719"/>
      <c r="AC22" s="710"/>
      <c r="AD22" s="710"/>
      <c r="AE22" s="710"/>
    </row>
    <row r="23" spans="1:41" ht="12.75" hidden="1" customHeight="1" outlineLevel="1">
      <c r="A23" s="271" t="s">
        <v>4</v>
      </c>
      <c r="B23" s="529">
        <f t="shared" si="0"/>
        <v>15000</v>
      </c>
      <c r="C23" s="763">
        <f t="shared" si="1"/>
        <v>54.44</v>
      </c>
      <c r="D23" s="559">
        <f t="shared" si="2"/>
        <v>54.55</v>
      </c>
      <c r="E23" s="560">
        <f t="shared" si="3"/>
        <v>25000</v>
      </c>
      <c r="F23" s="764">
        <f t="shared" si="4"/>
        <v>54.44</v>
      </c>
      <c r="G23" s="555">
        <f t="shared" si="5"/>
        <v>-3.8E-3</v>
      </c>
      <c r="H23" s="734">
        <f t="shared" si="6"/>
        <v>54.5</v>
      </c>
      <c r="I23" s="779">
        <f t="shared" si="7"/>
        <v>54.74</v>
      </c>
      <c r="J23" s="780">
        <f t="shared" si="8"/>
        <v>54.05</v>
      </c>
      <c r="K23" s="735">
        <f t="shared" si="9"/>
        <v>54.65</v>
      </c>
      <c r="L23" s="736">
        <f t="shared" si="10"/>
        <v>16751014</v>
      </c>
      <c r="M23" s="752">
        <f t="shared" si="11"/>
        <v>30824123</v>
      </c>
      <c r="N23" s="499">
        <f t="shared" si="12"/>
        <v>12209</v>
      </c>
      <c r="O23" s="251">
        <f t="shared" si="25"/>
        <v>45436.708425925928</v>
      </c>
      <c r="P23" s="257">
        <v>22</v>
      </c>
      <c r="Q23" s="508"/>
      <c r="R23" s="540"/>
      <c r="S23" s="518"/>
      <c r="T23" s="537"/>
      <c r="U23" s="507"/>
      <c r="V23" s="461"/>
      <c r="W23" s="357"/>
      <c r="X23" s="396"/>
      <c r="Y23" s="392">
        <f t="shared" ref="Y23" si="29">IFERROR(INT($Z22/($D23*(1+$AB$1)/100)),0)</f>
        <v>86</v>
      </c>
      <c r="Z23" s="521">
        <f>IFERROR($D23/100*INT($Y23),"")</f>
        <v>46.912999999999997</v>
      </c>
      <c r="AA23" s="795"/>
      <c r="AB23" s="720"/>
      <c r="AC23" s="711"/>
      <c r="AD23" s="711"/>
      <c r="AE23" s="711"/>
    </row>
    <row r="24" spans="1:41" ht="12.75" hidden="1" customHeight="1" outlineLevel="1">
      <c r="A24" s="270" t="s">
        <v>3</v>
      </c>
      <c r="B24" s="557">
        <f t="shared" si="0"/>
        <v>108130</v>
      </c>
      <c r="C24" s="558">
        <f t="shared" si="1"/>
        <v>53.28</v>
      </c>
      <c r="D24" s="767">
        <f t="shared" si="2"/>
        <v>53.4</v>
      </c>
      <c r="E24" s="561">
        <f t="shared" si="3"/>
        <v>100000</v>
      </c>
      <c r="F24" s="768">
        <f t="shared" si="4"/>
        <v>53.28</v>
      </c>
      <c r="G24" s="470">
        <f t="shared" si="5"/>
        <v>-6.8000000000000005E-3</v>
      </c>
      <c r="H24" s="272">
        <f t="shared" si="6"/>
        <v>53.01</v>
      </c>
      <c r="I24" s="773">
        <f t="shared" si="7"/>
        <v>54.8</v>
      </c>
      <c r="J24" s="778">
        <f t="shared" si="8"/>
        <v>53</v>
      </c>
      <c r="K24" s="273">
        <f t="shared" si="9"/>
        <v>53.65</v>
      </c>
      <c r="L24" s="274">
        <f t="shared" si="10"/>
        <v>4529677</v>
      </c>
      <c r="M24" s="753">
        <f t="shared" si="11"/>
        <v>8488682</v>
      </c>
      <c r="N24" s="498">
        <f t="shared" si="12"/>
        <v>1670</v>
      </c>
      <c r="O24" s="250">
        <f t="shared" si="25"/>
        <v>45436.70616898148</v>
      </c>
      <c r="P24" s="258">
        <v>23</v>
      </c>
      <c r="Q24" s="509"/>
      <c r="R24" s="541"/>
      <c r="S24" s="517"/>
      <c r="T24" s="538"/>
      <c r="U24" s="506"/>
      <c r="V24" s="460"/>
      <c r="W24" s="695"/>
      <c r="X24" s="398"/>
      <c r="Y24" s="393">
        <f t="shared" si="14"/>
        <v>86</v>
      </c>
      <c r="Z24" s="522">
        <f>IFERROR($C24*(1-$AB$1)/100*INT($Y24),"")</f>
        <v>45.81621792</v>
      </c>
      <c r="AA24" s="796">
        <f>IFERROR($Z24-$Z25,"")</f>
        <v>45.81621792</v>
      </c>
      <c r="AB24" s="721"/>
      <c r="AC24" s="710"/>
      <c r="AD24" s="710"/>
      <c r="AE24" s="710"/>
    </row>
    <row r="25" spans="1:41" ht="12.75" hidden="1" customHeight="1" outlineLevel="1">
      <c r="A25" s="688" t="s">
        <v>275</v>
      </c>
      <c r="B25" s="689">
        <f t="shared" si="0"/>
        <v>0</v>
      </c>
      <c r="C25" s="785">
        <f t="shared" si="1"/>
        <v>0</v>
      </c>
      <c r="D25" s="690">
        <f t="shared" si="2"/>
        <v>0</v>
      </c>
      <c r="E25" s="691">
        <f t="shared" si="3"/>
        <v>0</v>
      </c>
      <c r="F25" s="786">
        <f t="shared" si="4"/>
        <v>0</v>
      </c>
      <c r="G25" s="646">
        <f t="shared" si="5"/>
        <v>0</v>
      </c>
      <c r="H25" s="692">
        <f t="shared" si="6"/>
        <v>0</v>
      </c>
      <c r="I25" s="787">
        <f t="shared" si="7"/>
        <v>0</v>
      </c>
      <c r="J25" s="788">
        <f t="shared" si="8"/>
        <v>0</v>
      </c>
      <c r="K25" s="693">
        <f t="shared" si="9"/>
        <v>25.27</v>
      </c>
      <c r="L25" s="694">
        <f t="shared" si="10"/>
        <v>0</v>
      </c>
      <c r="M25" s="754">
        <f t="shared" si="11"/>
        <v>0</v>
      </c>
      <c r="N25" s="504">
        <f t="shared" si="12"/>
        <v>0</v>
      </c>
      <c r="O25" s="418">
        <f t="shared" si="25"/>
        <v>0</v>
      </c>
      <c r="P25" s="419">
        <v>24</v>
      </c>
      <c r="Q25" s="508"/>
      <c r="R25" s="540"/>
      <c r="S25" s="518"/>
      <c r="T25" s="537"/>
      <c r="U25" s="507"/>
      <c r="V25" s="461"/>
      <c r="W25" s="654"/>
      <c r="X25" s="655"/>
      <c r="Y25" s="696">
        <f t="shared" ref="Y25" si="30">IFERROR($Z24/($D25*(1+$AB$1)/100),0)</f>
        <v>0</v>
      </c>
      <c r="Z25" s="697">
        <f>IFERROR($D25/100*INT($Y25),"")</f>
        <v>0</v>
      </c>
      <c r="AA25" s="797"/>
      <c r="AB25" s="725"/>
      <c r="AC25" s="724"/>
      <c r="AD25" s="724"/>
      <c r="AE25" s="724"/>
    </row>
    <row r="26" spans="1:41" ht="12.75" customHeight="1" collapsed="1">
      <c r="A26" s="709" t="s">
        <v>14</v>
      </c>
      <c r="B26" s="557">
        <f t="shared" si="0"/>
        <v>50208</v>
      </c>
      <c r="C26" s="558">
        <f>IF(A26&lt;&gt;"",VLOOKUP($A26,$A$30:$N$199,3,0),"")</f>
        <v>54.37</v>
      </c>
      <c r="D26" s="558">
        <f>IF(A26&lt;&gt;"",VLOOKUP($A26,$A$30:$N$199,4,0),"")</f>
        <v>54.5</v>
      </c>
      <c r="E26" s="557">
        <f>IF(A26&lt;&gt;"",VLOOKUP($A26,$A$30:$N$199,5,0),"")</f>
        <v>105955</v>
      </c>
      <c r="F26" s="768">
        <f>IF($A26&lt;&gt;"",VLOOKUP($A26,$A$30:$N$199,6,0),"")</f>
        <v>54.5</v>
      </c>
      <c r="G26" s="470">
        <f>IF($A26&lt;&gt;"",VLOOKUP($A26,$A$30:$N$199,7,0),"")</f>
        <v>-6.3E-3</v>
      </c>
      <c r="H26" s="231">
        <f>IF($A26&lt;&gt;"",VLOOKUP($A26,$A$30:$N$199,8,0),"")</f>
        <v>54.5</v>
      </c>
      <c r="I26" s="761">
        <f>IF($A26&lt;&gt;"",VLOOKUP($A26,$A$30:$N$199,9,0),"")</f>
        <v>54.72</v>
      </c>
      <c r="J26" s="762">
        <f>IF($A26&lt;&gt;"",VLOOKUP($A26,$A$30:$N$199,10,0),"")</f>
        <v>54.02</v>
      </c>
      <c r="K26" s="227">
        <f>IF($A26&lt;&gt;"",VLOOKUP($A26,$A$30:$N$199,11,0),"")</f>
        <v>54.85</v>
      </c>
      <c r="L26" s="235">
        <f>IF($A26&lt;&gt;"",VLOOKUP($A26,$A$30:$N$199,12,0),"")</f>
        <v>87180571</v>
      </c>
      <c r="M26" s="751">
        <f>IF($A26&lt;&gt;"",VLOOKUP($A26,$A$30:$N$199,13,0),"")</f>
        <v>160485238</v>
      </c>
      <c r="N26" s="498">
        <f t="shared" si="12"/>
        <v>78173</v>
      </c>
      <c r="O26" s="250">
        <f t="shared" si="25"/>
        <v>45436.687731481485</v>
      </c>
      <c r="P26" s="258">
        <v>25</v>
      </c>
      <c r="Q26" s="509"/>
      <c r="R26" s="539"/>
      <c r="S26" s="517"/>
      <c r="T26" s="542"/>
      <c r="U26" s="506"/>
      <c r="V26" s="466">
        <v>102</v>
      </c>
      <c r="W26" s="464"/>
      <c r="X26" s="397"/>
      <c r="Y26" s="601">
        <v>30</v>
      </c>
      <c r="Z26" s="809">
        <f>F27/F26/100</f>
        <v>1.0256880733944953E-2</v>
      </c>
      <c r="AA26" s="737">
        <f>($C26*$V26/100)/($D27/100)</f>
        <v>99.013390465988223</v>
      </c>
      <c r="AB26" s="719"/>
      <c r="AC26" s="710"/>
      <c r="AD26" s="710"/>
      <c r="AE26" s="710"/>
    </row>
    <row r="27" spans="1:41" ht="12.75" customHeight="1">
      <c r="A27" s="457" t="s">
        <v>18</v>
      </c>
      <c r="B27" s="789">
        <f t="shared" si="0"/>
        <v>300</v>
      </c>
      <c r="C27" s="559">
        <f>IF(A27&lt;&gt;"",VLOOKUP($A27,$A$30:$N$199,3,0),"")</f>
        <v>55.64</v>
      </c>
      <c r="D27" s="565">
        <f>IF(A27&lt;&gt;"",VLOOKUP($A27,$A$30:$N$199,4,0),"")</f>
        <v>56.01</v>
      </c>
      <c r="E27" s="789">
        <f>IF(A27&lt;&gt;"",VLOOKUP($A27,$A$30:$N$199,5,0),"")</f>
        <v>10</v>
      </c>
      <c r="F27" s="764">
        <f>IF($A27&lt;&gt;"",VLOOKUP($A27,$A$30:$N$199,6,0),"")</f>
        <v>55.9</v>
      </c>
      <c r="G27" s="471">
        <f>IF($A27&lt;&gt;"",VLOOKUP($A27,$A$30:$N$199,7,0),"")</f>
        <v>-4.7999999999999996E-3</v>
      </c>
      <c r="H27" s="350">
        <f>IF($A27&lt;&gt;"",VLOOKUP($A27,$A$30:$N$199,8,0),"")</f>
        <v>55.52</v>
      </c>
      <c r="I27" s="765">
        <f>IF($A27&lt;&gt;"",VLOOKUP($A27,$A$30:$N$199,9,0),"")</f>
        <v>56.4</v>
      </c>
      <c r="J27" s="766">
        <f>IF($A27&lt;&gt;"",VLOOKUP($A27,$A$30:$N$199,10,0),"")</f>
        <v>55.3</v>
      </c>
      <c r="K27" s="351">
        <f>IF($A27&lt;&gt;"",VLOOKUP($A27,$A$30:$N$199,11,0),"")</f>
        <v>56.17</v>
      </c>
      <c r="L27" s="352">
        <f>IF($A27&lt;&gt;"",VLOOKUP($A27,$A$30:$N$199,12,0),"")</f>
        <v>3821209</v>
      </c>
      <c r="M27" s="752">
        <f>IF($A27&lt;&gt;"",VLOOKUP($A27,$A$30:$N$199,13,0),"")</f>
        <v>6836599</v>
      </c>
      <c r="N27" s="505">
        <f t="shared" si="12"/>
        <v>3416</v>
      </c>
      <c r="O27" s="497">
        <f t="shared" si="25"/>
        <v>45436.685312499998</v>
      </c>
      <c r="P27" s="257">
        <v>26</v>
      </c>
      <c r="Q27" s="508"/>
      <c r="R27" s="540"/>
      <c r="S27" s="518"/>
      <c r="T27" s="537"/>
      <c r="U27" s="507"/>
      <c r="V27" s="516">
        <v>100</v>
      </c>
      <c r="W27" s="357"/>
      <c r="X27" s="396"/>
      <c r="Y27" s="600">
        <v>30</v>
      </c>
      <c r="Z27" s="810"/>
      <c r="AA27" s="738">
        <f>($C27*$V27/100)/($D26/100)</f>
        <v>102.09174311926604</v>
      </c>
      <c r="AB27" s="720"/>
      <c r="AC27" s="711"/>
      <c r="AD27" s="711"/>
      <c r="AE27" s="711"/>
    </row>
    <row r="28" spans="1:41" ht="12.75" customHeight="1">
      <c r="A28" s="456" t="s">
        <v>13</v>
      </c>
      <c r="B28" s="557">
        <f t="shared" si="0"/>
        <v>8696</v>
      </c>
      <c r="C28" s="558">
        <f>IF(A28&lt;&gt;"",VLOOKUP($A28,$A$30:$N$199,3,0),"")</f>
        <v>65330</v>
      </c>
      <c r="D28" s="558">
        <f>IF(A28&lt;&gt;"",VLOOKUP($A28,$A$30:$N$199,4,0),"")</f>
        <v>65390</v>
      </c>
      <c r="E28" s="557">
        <f>IF(A28&lt;&gt;"",VLOOKUP($A28,$A$30:$N$199,5,0),"")</f>
        <v>400</v>
      </c>
      <c r="F28" s="760">
        <f>IF($A28&lt;&gt;"",VLOOKUP($A28,$A$30:$N$199,6,0),"")</f>
        <v>65330</v>
      </c>
      <c r="G28" s="470">
        <f>IF($A28&lt;&gt;"",VLOOKUP($A28,$A$30:$N$199,7,0),"")</f>
        <v>-2.6499999999999999E-2</v>
      </c>
      <c r="H28" s="229">
        <f>IF($A28&lt;&gt;"",VLOOKUP($A28,$A$30:$N$199,8,0),"")</f>
        <v>69090</v>
      </c>
      <c r="I28" s="773">
        <f>IF($A28&lt;&gt;"",VLOOKUP($A28,$A$30:$N$199,9,0),"")</f>
        <v>69090</v>
      </c>
      <c r="J28" s="773">
        <f>IF($A28&lt;&gt;"",VLOOKUP($A28,$A$30:$N$199,10,0),"")</f>
        <v>64900</v>
      </c>
      <c r="K28" s="224">
        <f>IF($A28&lt;&gt;"",VLOOKUP($A28,$A$30:$N$199,11,0),"")</f>
        <v>67110</v>
      </c>
      <c r="L28" s="241">
        <f>IF($A28&lt;&gt;"",VLOOKUP($A28,$A$30:$N$199,12,0),"")</f>
        <v>137649434863</v>
      </c>
      <c r="M28" s="753">
        <f>IF($A28&lt;&gt;"",VLOOKUP($A28,$A$30:$N$199,13,0),"")</f>
        <v>209300160</v>
      </c>
      <c r="N28" s="501">
        <f t="shared" si="12"/>
        <v>81710</v>
      </c>
      <c r="O28" s="495">
        <f t="shared" si="25"/>
        <v>45436.6877662037</v>
      </c>
      <c r="P28" s="258">
        <v>27</v>
      </c>
      <c r="Q28" s="509"/>
      <c r="R28" s="539"/>
      <c r="S28" s="517"/>
      <c r="T28" s="542"/>
      <c r="U28" s="506"/>
      <c r="V28" s="598">
        <v>102</v>
      </c>
      <c r="W28" s="464"/>
      <c r="X28" s="397"/>
      <c r="Y28" s="394">
        <v>50</v>
      </c>
      <c r="Z28" s="798">
        <f>F29/F28/100</f>
        <v>1.0270932190417879E-2</v>
      </c>
      <c r="AA28" s="739">
        <f>($C28*$V28/100)/($D29/100)</f>
        <v>99.265008193058264</v>
      </c>
      <c r="AB28" s="721"/>
      <c r="AC28" s="710"/>
      <c r="AD28" s="710"/>
      <c r="AE28" s="710"/>
    </row>
    <row r="29" spans="1:41" ht="12.75" customHeight="1">
      <c r="A29" s="660" t="s">
        <v>16</v>
      </c>
      <c r="B29" s="790">
        <f t="shared" si="0"/>
        <v>1595</v>
      </c>
      <c r="C29" s="661">
        <f>IF(A29&lt;&gt;"",VLOOKUP($A29,$A$30:$N$199,3,0),"")</f>
        <v>67100</v>
      </c>
      <c r="D29" s="662">
        <f>IF(A29&lt;&gt;"",VLOOKUP($A29,$A$30:$N$199,4,0),"")</f>
        <v>67130</v>
      </c>
      <c r="E29" s="790">
        <f>IF(A29&lt;&gt;"",VLOOKUP($A29,$A$30:$N$199,5,0),"")</f>
        <v>10000</v>
      </c>
      <c r="F29" s="786">
        <f>IF($A29&lt;&gt;"",VLOOKUP($A29,$A$30:$N$199,6,0),"")</f>
        <v>67100</v>
      </c>
      <c r="G29" s="646">
        <f>IF($A29&lt;&gt;"",VLOOKUP($A29,$A$30:$N$199,7,0),"")</f>
        <v>-3.1699999999999999E-2</v>
      </c>
      <c r="H29" s="647">
        <f>IF($A29&lt;&gt;"",VLOOKUP($A29,$A$30:$N$199,8,0),"")</f>
        <v>69300</v>
      </c>
      <c r="I29" s="791">
        <f>IF($A29&lt;&gt;"",VLOOKUP($A29,$A$30:$N$199,9,0),"")</f>
        <v>69590</v>
      </c>
      <c r="J29" s="792">
        <f>IF($A29&lt;&gt;"",VLOOKUP($A29,$A$30:$N$199,10,0),"")</f>
        <v>66800</v>
      </c>
      <c r="K29" s="650">
        <f>IF($A29&lt;&gt;"",VLOOKUP($A29,$A$30:$N$199,11,0),"")</f>
        <v>69300</v>
      </c>
      <c r="L29" s="651">
        <f>IF($A29&lt;&gt;"",VLOOKUP($A29,$A$30:$N$199,12,0),"")</f>
        <v>7430906234</v>
      </c>
      <c r="M29" s="754">
        <f>IF($A29&lt;&gt;"",VLOOKUP($A29,$A$30:$N$199,13,0),"")</f>
        <v>10971016</v>
      </c>
      <c r="N29" s="504">
        <f t="shared" si="12"/>
        <v>4439</v>
      </c>
      <c r="O29" s="418">
        <f t="shared" si="25"/>
        <v>45436.687650462962</v>
      </c>
      <c r="P29" s="419">
        <v>28</v>
      </c>
      <c r="Q29" s="508"/>
      <c r="R29" s="540"/>
      <c r="S29" s="518"/>
      <c r="T29" s="537"/>
      <c r="U29" s="507"/>
      <c r="V29" s="599">
        <v>100</v>
      </c>
      <c r="W29" s="654"/>
      <c r="X29" s="655"/>
      <c r="Y29" s="663">
        <v>50</v>
      </c>
      <c r="Z29" s="799"/>
      <c r="AA29" s="740">
        <f>($C29*$V29/100)/($D28/100)</f>
        <v>102.61507875821991</v>
      </c>
      <c r="AB29" s="725"/>
      <c r="AC29" s="724"/>
      <c r="AD29" s="724"/>
      <c r="AE29" s="724"/>
    </row>
    <row r="30" spans="1:41" ht="12.75" customHeight="1">
      <c r="A30" s="556" t="s">
        <v>627</v>
      </c>
      <c r="B30" s="530">
        <v>8</v>
      </c>
      <c r="C30" s="566">
        <v>0.8</v>
      </c>
      <c r="D30" s="567">
        <v>0.81899999999999995</v>
      </c>
      <c r="E30" s="534">
        <v>20</v>
      </c>
      <c r="F30" s="554">
        <v>0.81899999999999995</v>
      </c>
      <c r="G30" s="470">
        <v>-0.3795</v>
      </c>
      <c r="H30" s="231">
        <v>1.55</v>
      </c>
      <c r="I30" s="223">
        <v>1.65</v>
      </c>
      <c r="J30" s="255">
        <v>0.5</v>
      </c>
      <c r="K30" s="227">
        <v>1.32</v>
      </c>
      <c r="L30" s="235">
        <v>152042</v>
      </c>
      <c r="M30" s="741">
        <v>1703</v>
      </c>
      <c r="N30" s="347">
        <v>247</v>
      </c>
      <c r="O30" s="250">
        <v>45436.708067129628</v>
      </c>
      <c r="P30" s="258">
        <v>29</v>
      </c>
      <c r="Q30" s="509"/>
      <c r="R30" s="539"/>
      <c r="S30" s="517"/>
      <c r="T30" s="538"/>
      <c r="U30" s="506"/>
      <c r="V30" s="466"/>
      <c r="W30" s="464"/>
      <c r="X30" s="397"/>
      <c r="Y30" s="544"/>
      <c r="Z30" s="590">
        <f>IF(A30&lt;&gt;"",(MID(A30,5,4))-F30)</f>
        <v>2759.181</v>
      </c>
      <c r="AA30" s="372">
        <f t="shared" ref="AA30:AA47" si="31">IF(V30&lt;&gt;"",Z30*100*V30,0)</f>
        <v>0</v>
      </c>
      <c r="AB30" s="714"/>
      <c r="AC30" s="710"/>
      <c r="AD30" s="710"/>
      <c r="AE30" s="710"/>
    </row>
    <row r="31" spans="1:41" ht="12.75" customHeight="1">
      <c r="A31" s="344" t="s">
        <v>628</v>
      </c>
      <c r="B31" s="529">
        <v>1</v>
      </c>
      <c r="C31" s="568">
        <v>1.29</v>
      </c>
      <c r="D31" s="568">
        <v>1.38</v>
      </c>
      <c r="E31" s="529">
        <v>31</v>
      </c>
      <c r="F31" s="462">
        <v>1.38</v>
      </c>
      <c r="G31" s="471">
        <v>-0.37920000000000004</v>
      </c>
      <c r="H31" s="230">
        <v>3</v>
      </c>
      <c r="I31" s="221">
        <v>3</v>
      </c>
      <c r="J31" s="254">
        <v>1.103</v>
      </c>
      <c r="K31" s="225">
        <v>2.2229999999999999</v>
      </c>
      <c r="L31" s="228">
        <v>237706</v>
      </c>
      <c r="M31" s="746">
        <v>1710</v>
      </c>
      <c r="N31" s="348">
        <v>210</v>
      </c>
      <c r="O31" s="251">
        <v>45436.708101851851</v>
      </c>
      <c r="P31" s="257">
        <v>30</v>
      </c>
      <c r="Q31" s="508"/>
      <c r="R31" s="540"/>
      <c r="S31" s="518"/>
      <c r="T31" s="537"/>
      <c r="U31" s="507"/>
      <c r="V31" s="465"/>
      <c r="W31" s="357"/>
      <c r="X31" s="396"/>
      <c r="Y31" s="545"/>
      <c r="Z31" s="591">
        <f t="shared" ref="Z31:Z39" si="32">IF(A31&lt;&gt;"",(MID(A31,5,4))-F31)</f>
        <v>2858.62</v>
      </c>
      <c r="AA31" s="373">
        <f t="shared" si="31"/>
        <v>0</v>
      </c>
      <c r="AB31" s="715"/>
      <c r="AC31" s="711"/>
      <c r="AD31" s="711"/>
      <c r="AE31" s="711"/>
    </row>
    <row r="32" spans="1:41" ht="12.75" customHeight="1">
      <c r="A32" s="556" t="s">
        <v>629</v>
      </c>
      <c r="B32" s="530">
        <v>36</v>
      </c>
      <c r="C32" s="566">
        <v>2.0099999999999998</v>
      </c>
      <c r="D32" s="567">
        <v>2.222</v>
      </c>
      <c r="E32" s="530">
        <v>7</v>
      </c>
      <c r="F32" s="553">
        <v>2.0099999999999998</v>
      </c>
      <c r="G32" s="470">
        <v>-0.40789999999999998</v>
      </c>
      <c r="H32" s="232">
        <v>3.3</v>
      </c>
      <c r="I32" s="222">
        <v>3.5</v>
      </c>
      <c r="J32" s="256">
        <v>1.52</v>
      </c>
      <c r="K32" s="226">
        <v>3.395</v>
      </c>
      <c r="L32" s="233">
        <v>720177</v>
      </c>
      <c r="M32" s="755">
        <v>3165</v>
      </c>
      <c r="N32" s="349">
        <v>737</v>
      </c>
      <c r="O32" s="252">
        <v>45436.708101851851</v>
      </c>
      <c r="P32" s="258">
        <v>31</v>
      </c>
      <c r="Q32" s="509"/>
      <c r="R32" s="541"/>
      <c r="S32" s="517"/>
      <c r="T32" s="538"/>
      <c r="U32" s="506"/>
      <c r="V32" s="466"/>
      <c r="W32" s="464"/>
      <c r="X32" s="422"/>
      <c r="Y32" s="546"/>
      <c r="Z32" s="592">
        <f t="shared" si="32"/>
        <v>3007.99</v>
      </c>
      <c r="AA32" s="372">
        <f t="shared" si="31"/>
        <v>0</v>
      </c>
      <c r="AB32" s="716"/>
      <c r="AC32" s="712"/>
      <c r="AD32" s="712"/>
      <c r="AE32" s="712"/>
    </row>
    <row r="33" spans="1:37" ht="12.75" customHeight="1">
      <c r="A33" s="526" t="s">
        <v>630</v>
      </c>
      <c r="B33" s="529">
        <v>6</v>
      </c>
      <c r="C33" s="568">
        <v>3.61</v>
      </c>
      <c r="D33" s="568">
        <v>4.0999999999999996</v>
      </c>
      <c r="E33" s="529">
        <v>10</v>
      </c>
      <c r="F33" s="462">
        <v>3.61</v>
      </c>
      <c r="G33" s="471">
        <v>-0.41249999999999998</v>
      </c>
      <c r="H33" s="230">
        <v>6.0149999999999997</v>
      </c>
      <c r="I33" s="221">
        <v>6.25</v>
      </c>
      <c r="J33" s="254">
        <v>3.2</v>
      </c>
      <c r="K33" s="225">
        <v>6.1449999999999996</v>
      </c>
      <c r="L33" s="228">
        <v>1906137</v>
      </c>
      <c r="M33" s="746">
        <v>4646</v>
      </c>
      <c r="N33" s="348">
        <v>607</v>
      </c>
      <c r="O33" s="251">
        <v>45436.708101851851</v>
      </c>
      <c r="P33" s="257">
        <v>32</v>
      </c>
      <c r="Q33" s="508"/>
      <c r="R33" s="540"/>
      <c r="S33" s="518"/>
      <c r="T33" s="537"/>
      <c r="U33" s="507"/>
      <c r="V33" s="465"/>
      <c r="W33" s="357"/>
      <c r="X33" s="396"/>
      <c r="Y33" s="545"/>
      <c r="Z33" s="591">
        <f t="shared" si="32"/>
        <v>3156.39</v>
      </c>
      <c r="AA33" s="373">
        <f t="shared" si="31"/>
        <v>0</v>
      </c>
      <c r="AB33" s="715"/>
      <c r="AC33" s="711"/>
      <c r="AD33" s="711"/>
      <c r="AE33" s="718"/>
    </row>
    <row r="34" spans="1:37" ht="12.75" customHeight="1">
      <c r="A34" s="556" t="s">
        <v>631</v>
      </c>
      <c r="B34" s="530">
        <v>5</v>
      </c>
      <c r="C34" s="566">
        <v>7.25</v>
      </c>
      <c r="D34" s="567">
        <v>8.5500000000000007</v>
      </c>
      <c r="E34" s="530">
        <v>73</v>
      </c>
      <c r="F34" s="553">
        <v>8.1999999999999993</v>
      </c>
      <c r="G34" s="470">
        <v>-0.36099999999999999</v>
      </c>
      <c r="H34" s="232">
        <v>12</v>
      </c>
      <c r="I34" s="222">
        <v>13</v>
      </c>
      <c r="J34" s="256">
        <v>6.6040000000000001</v>
      </c>
      <c r="K34" s="226">
        <v>12.833</v>
      </c>
      <c r="L34" s="233">
        <v>3776994</v>
      </c>
      <c r="M34" s="755">
        <v>4239</v>
      </c>
      <c r="N34" s="349">
        <v>602</v>
      </c>
      <c r="O34" s="252">
        <v>45436.707731481481</v>
      </c>
      <c r="P34" s="258">
        <v>33</v>
      </c>
      <c r="Q34" s="509"/>
      <c r="R34" s="541"/>
      <c r="S34" s="517"/>
      <c r="T34" s="538"/>
      <c r="U34" s="506"/>
      <c r="V34" s="466"/>
      <c r="W34" s="464"/>
      <c r="X34" s="422"/>
      <c r="Y34" s="546"/>
      <c r="Z34" s="592">
        <f t="shared" si="32"/>
        <v>3301.8</v>
      </c>
      <c r="AA34" s="372">
        <f t="shared" si="31"/>
        <v>0</v>
      </c>
      <c r="AB34" s="716"/>
      <c r="AC34" s="712"/>
      <c r="AD34" s="712"/>
      <c r="AE34" s="712"/>
    </row>
    <row r="35" spans="1:37" ht="12.75" customHeight="1">
      <c r="A35" s="526" t="s">
        <v>632</v>
      </c>
      <c r="B35" s="529">
        <v>45</v>
      </c>
      <c r="C35" s="568">
        <v>17</v>
      </c>
      <c r="D35" s="568">
        <v>18.100000000000001</v>
      </c>
      <c r="E35" s="529">
        <v>1</v>
      </c>
      <c r="F35" s="462">
        <v>17</v>
      </c>
      <c r="G35" s="471">
        <v>-0.37680000000000002</v>
      </c>
      <c r="H35" s="230">
        <v>20</v>
      </c>
      <c r="I35" s="221">
        <v>27.55</v>
      </c>
      <c r="J35" s="254">
        <v>16.5</v>
      </c>
      <c r="K35" s="225">
        <v>27.279</v>
      </c>
      <c r="L35" s="228">
        <v>13617955</v>
      </c>
      <c r="M35" s="746">
        <v>6604</v>
      </c>
      <c r="N35" s="348">
        <v>706</v>
      </c>
      <c r="O35" s="251">
        <v>45436.70826388889</v>
      </c>
      <c r="P35" s="257">
        <v>34</v>
      </c>
      <c r="Q35" s="508"/>
      <c r="R35" s="540"/>
      <c r="S35" s="518"/>
      <c r="T35" s="537"/>
      <c r="U35" s="507"/>
      <c r="V35" s="465"/>
      <c r="W35" s="357"/>
      <c r="X35" s="396"/>
      <c r="Y35" s="547"/>
      <c r="Z35" s="593">
        <f t="shared" si="32"/>
        <v>3443</v>
      </c>
      <c r="AA35" s="373">
        <f t="shared" si="31"/>
        <v>0</v>
      </c>
      <c r="AB35" s="715"/>
      <c r="AC35" s="711"/>
      <c r="AD35" s="711"/>
      <c r="AE35" s="718"/>
    </row>
    <row r="36" spans="1:37" ht="12.75" customHeight="1">
      <c r="A36" s="556" t="s">
        <v>633</v>
      </c>
      <c r="B36" s="531">
        <v>7</v>
      </c>
      <c r="C36" s="566">
        <v>35.002000000000002</v>
      </c>
      <c r="D36" s="567">
        <v>36</v>
      </c>
      <c r="E36" s="531">
        <v>21</v>
      </c>
      <c r="F36" s="553">
        <v>36</v>
      </c>
      <c r="G36" s="470">
        <v>-0.33039999999999997</v>
      </c>
      <c r="H36" s="232">
        <v>50</v>
      </c>
      <c r="I36" s="222">
        <v>56</v>
      </c>
      <c r="J36" s="256">
        <v>32.119999999999997</v>
      </c>
      <c r="K36" s="226">
        <v>53.768999999999998</v>
      </c>
      <c r="L36" s="233">
        <v>24675206</v>
      </c>
      <c r="M36" s="755">
        <v>6195</v>
      </c>
      <c r="N36" s="349">
        <v>773</v>
      </c>
      <c r="O36" s="252">
        <v>45436.708101851851</v>
      </c>
      <c r="P36" s="258">
        <v>35</v>
      </c>
      <c r="Q36" s="509"/>
      <c r="R36" s="541"/>
      <c r="S36" s="517"/>
      <c r="T36" s="538"/>
      <c r="U36" s="506"/>
      <c r="V36" s="466"/>
      <c r="W36" s="464"/>
      <c r="X36" s="422"/>
      <c r="Y36" s="544"/>
      <c r="Z36" s="590">
        <f t="shared" si="32"/>
        <v>3574</v>
      </c>
      <c r="AA36" s="372">
        <f t="shared" si="31"/>
        <v>0</v>
      </c>
      <c r="AB36" s="716"/>
      <c r="AC36" s="712"/>
      <c r="AD36" s="712"/>
      <c r="AE36" s="712"/>
    </row>
    <row r="37" spans="1:37" ht="12.75" customHeight="1">
      <c r="A37" s="526" t="s">
        <v>634</v>
      </c>
      <c r="B37" s="529">
        <v>2</v>
      </c>
      <c r="C37" s="568">
        <v>67.099999999999994</v>
      </c>
      <c r="D37" s="568">
        <v>69</v>
      </c>
      <c r="E37" s="529">
        <v>1</v>
      </c>
      <c r="F37" s="462">
        <v>67.099999999999994</v>
      </c>
      <c r="G37" s="471">
        <v>-0.29710000000000003</v>
      </c>
      <c r="H37" s="230">
        <v>100</v>
      </c>
      <c r="I37" s="221">
        <v>100</v>
      </c>
      <c r="J37" s="254">
        <v>62.999000000000002</v>
      </c>
      <c r="K37" s="225">
        <v>95.468000000000004</v>
      </c>
      <c r="L37" s="228">
        <v>65404499</v>
      </c>
      <c r="M37" s="746">
        <v>8832</v>
      </c>
      <c r="N37" s="348">
        <v>1263</v>
      </c>
      <c r="O37" s="251">
        <v>45436.708067129628</v>
      </c>
      <c r="P37" s="257">
        <v>36</v>
      </c>
      <c r="Q37" s="508"/>
      <c r="R37" s="540"/>
      <c r="S37" s="518"/>
      <c r="T37" s="537"/>
      <c r="U37" s="507"/>
      <c r="V37" s="465"/>
      <c r="W37" s="357"/>
      <c r="X37" s="396"/>
      <c r="Y37" s="545"/>
      <c r="Z37" s="591">
        <f t="shared" si="32"/>
        <v>3692.9</v>
      </c>
      <c r="AA37" s="373">
        <f t="shared" si="31"/>
        <v>0</v>
      </c>
      <c r="AB37" s="715">
        <v>6234189</v>
      </c>
      <c r="AC37" s="711">
        <v>2</v>
      </c>
      <c r="AD37" s="711"/>
      <c r="AE37" s="711"/>
    </row>
    <row r="38" spans="1:37" ht="12.75" customHeight="1">
      <c r="A38" s="556" t="s">
        <v>635</v>
      </c>
      <c r="B38" s="530">
        <v>5</v>
      </c>
      <c r="C38" s="566">
        <v>119.001</v>
      </c>
      <c r="D38" s="567">
        <v>123.5</v>
      </c>
      <c r="E38" s="530">
        <v>1</v>
      </c>
      <c r="F38" s="553">
        <v>120</v>
      </c>
      <c r="G38" s="470">
        <v>-0.22320000000000001</v>
      </c>
      <c r="H38" s="232">
        <v>133</v>
      </c>
      <c r="I38" s="222">
        <v>158.00200000000001</v>
      </c>
      <c r="J38" s="256">
        <v>106</v>
      </c>
      <c r="K38" s="226">
        <v>154.494</v>
      </c>
      <c r="L38" s="233">
        <v>68210062</v>
      </c>
      <c r="M38" s="755">
        <v>5420</v>
      </c>
      <c r="N38" s="349">
        <v>806</v>
      </c>
      <c r="O38" s="252">
        <v>45436.707916666666</v>
      </c>
      <c r="P38" s="258">
        <v>37</v>
      </c>
      <c r="Q38" s="509"/>
      <c r="R38" s="541"/>
      <c r="S38" s="517"/>
      <c r="T38" s="538"/>
      <c r="U38" s="506"/>
      <c r="V38" s="466"/>
      <c r="W38" s="464"/>
      <c r="X38" s="422"/>
      <c r="Y38" s="546"/>
      <c r="Z38" s="592">
        <f t="shared" si="32"/>
        <v>3790</v>
      </c>
      <c r="AA38" s="372">
        <f t="shared" si="31"/>
        <v>0</v>
      </c>
      <c r="AB38" s="716">
        <v>6234453</v>
      </c>
      <c r="AC38" s="712">
        <v>2</v>
      </c>
      <c r="AD38" s="712"/>
      <c r="AE38" s="712"/>
    </row>
    <row r="39" spans="1:37" ht="12.75" customHeight="1">
      <c r="A39" s="605" t="s">
        <v>636</v>
      </c>
      <c r="B39" s="606">
        <v>21</v>
      </c>
      <c r="C39" s="607">
        <v>193.12299999999999</v>
      </c>
      <c r="D39" s="607">
        <v>199.5</v>
      </c>
      <c r="E39" s="606">
        <v>5</v>
      </c>
      <c r="F39" s="608">
        <v>195</v>
      </c>
      <c r="G39" s="609">
        <v>-0.1477</v>
      </c>
      <c r="H39" s="610">
        <v>200</v>
      </c>
      <c r="I39" s="611">
        <v>238</v>
      </c>
      <c r="J39" s="612">
        <v>165</v>
      </c>
      <c r="K39" s="613">
        <v>228.80699999999999</v>
      </c>
      <c r="L39" s="614">
        <v>38635608</v>
      </c>
      <c r="M39" s="756">
        <v>1986</v>
      </c>
      <c r="N39" s="583">
        <v>300</v>
      </c>
      <c r="O39" s="584">
        <v>45436.70789351852</v>
      </c>
      <c r="P39" s="585">
        <v>38</v>
      </c>
      <c r="Q39" s="508"/>
      <c r="R39" s="540"/>
      <c r="S39" s="518"/>
      <c r="T39" s="537"/>
      <c r="U39" s="507"/>
      <c r="V39" s="465"/>
      <c r="W39" s="615"/>
      <c r="X39" s="616"/>
      <c r="Y39" s="617"/>
      <c r="Z39" s="618">
        <f t="shared" si="32"/>
        <v>3865</v>
      </c>
      <c r="AA39" s="619">
        <f t="shared" si="31"/>
        <v>0</v>
      </c>
      <c r="AB39" s="840"/>
      <c r="AC39" s="722"/>
      <c r="AD39" s="722"/>
      <c r="AE39" s="722"/>
    </row>
    <row r="40" spans="1:37" ht="12.75" customHeight="1">
      <c r="A40" s="524" t="s">
        <v>637</v>
      </c>
      <c r="B40" s="534">
        <v>2</v>
      </c>
      <c r="C40" s="569">
        <v>493.00799999999998</v>
      </c>
      <c r="D40" s="569">
        <v>510</v>
      </c>
      <c r="E40" s="534">
        <v>5</v>
      </c>
      <c r="F40" s="554">
        <v>493</v>
      </c>
      <c r="G40" s="470">
        <v>0.10039999999999999</v>
      </c>
      <c r="H40" s="231">
        <v>498</v>
      </c>
      <c r="I40" s="223">
        <v>530</v>
      </c>
      <c r="J40" s="255">
        <v>445</v>
      </c>
      <c r="K40" s="227">
        <v>447.99900000000002</v>
      </c>
      <c r="L40" s="235">
        <v>22961478</v>
      </c>
      <c r="M40" s="741">
        <v>465</v>
      </c>
      <c r="N40" s="347">
        <v>110</v>
      </c>
      <c r="O40" s="250">
        <v>45436.69630787037</v>
      </c>
      <c r="P40" s="258">
        <v>39</v>
      </c>
      <c r="Q40" s="509"/>
      <c r="R40" s="541"/>
      <c r="S40" s="517"/>
      <c r="T40" s="538"/>
      <c r="U40" s="506"/>
      <c r="V40" s="466"/>
      <c r="W40" s="464"/>
      <c r="X40" s="397"/>
      <c r="Y40" s="544"/>
      <c r="Z40" s="590">
        <f t="shared" ref="Z40:Z49" si="33">IF(A40&lt;&gt;"",(MID(A40,5,4))+F40)</f>
        <v>4103</v>
      </c>
      <c r="AA40" s="467">
        <f t="shared" si="31"/>
        <v>0</v>
      </c>
      <c r="AB40" s="714"/>
      <c r="AC40" s="710"/>
      <c r="AD40" s="710"/>
      <c r="AE40" s="710"/>
    </row>
    <row r="41" spans="1:37" ht="12.75" customHeight="1">
      <c r="A41" s="552" t="s">
        <v>638</v>
      </c>
      <c r="B41" s="535">
        <v>1</v>
      </c>
      <c r="C41" s="568">
        <v>376.00799999999998</v>
      </c>
      <c r="D41" s="570">
        <v>389</v>
      </c>
      <c r="E41" s="532">
        <v>3</v>
      </c>
      <c r="F41" s="462">
        <v>390</v>
      </c>
      <c r="G41" s="471">
        <v>0.14499999999999999</v>
      </c>
      <c r="H41" s="230">
        <v>400.05</v>
      </c>
      <c r="I41" s="221">
        <v>411</v>
      </c>
      <c r="J41" s="254">
        <v>330</v>
      </c>
      <c r="K41" s="225">
        <v>340.60700000000003</v>
      </c>
      <c r="L41" s="228">
        <v>144282986</v>
      </c>
      <c r="M41" s="746">
        <v>3954</v>
      </c>
      <c r="N41" s="348">
        <v>527</v>
      </c>
      <c r="O41" s="251">
        <v>45436.707372685189</v>
      </c>
      <c r="P41" s="257">
        <v>40</v>
      </c>
      <c r="Q41" s="508"/>
      <c r="R41" s="540"/>
      <c r="S41" s="518"/>
      <c r="T41" s="537"/>
      <c r="U41" s="507"/>
      <c r="V41" s="465"/>
      <c r="W41" s="357"/>
      <c r="X41" s="396"/>
      <c r="Y41" s="545"/>
      <c r="Z41" s="591">
        <f t="shared" si="33"/>
        <v>4150</v>
      </c>
      <c r="AA41" s="468">
        <f t="shared" si="31"/>
        <v>0</v>
      </c>
      <c r="AB41" s="715"/>
      <c r="AC41" s="711"/>
      <c r="AD41" s="711"/>
      <c r="AE41" s="711"/>
    </row>
    <row r="42" spans="1:37" ht="12.75" customHeight="1">
      <c r="A42" s="524" t="s">
        <v>639</v>
      </c>
      <c r="B42" s="533">
        <v>6</v>
      </c>
      <c r="C42" s="571">
        <v>291</v>
      </c>
      <c r="D42" s="571">
        <v>294.99900000000002</v>
      </c>
      <c r="E42" s="533">
        <v>1</v>
      </c>
      <c r="F42" s="553">
        <v>293</v>
      </c>
      <c r="G42" s="470">
        <v>0.1913</v>
      </c>
      <c r="H42" s="232">
        <v>265</v>
      </c>
      <c r="I42" s="222">
        <v>310</v>
      </c>
      <c r="J42" s="256">
        <v>231.5</v>
      </c>
      <c r="K42" s="226">
        <v>245.93199999999999</v>
      </c>
      <c r="L42" s="233">
        <v>160809793</v>
      </c>
      <c r="M42" s="755">
        <v>5876</v>
      </c>
      <c r="N42" s="349">
        <v>734</v>
      </c>
      <c r="O42" s="252">
        <v>45436.708298611113</v>
      </c>
      <c r="P42" s="258">
        <v>41</v>
      </c>
      <c r="Q42" s="509"/>
      <c r="R42" s="541"/>
      <c r="S42" s="517"/>
      <c r="T42" s="538"/>
      <c r="U42" s="506"/>
      <c r="V42" s="466"/>
      <c r="W42" s="464"/>
      <c r="X42" s="422"/>
      <c r="Y42" s="546"/>
      <c r="Z42" s="592">
        <f t="shared" si="33"/>
        <v>4203</v>
      </c>
      <c r="AA42" s="467">
        <f t="shared" si="31"/>
        <v>0</v>
      </c>
      <c r="AB42" s="716"/>
      <c r="AC42" s="712"/>
      <c r="AD42" s="712"/>
      <c r="AE42" s="712"/>
    </row>
    <row r="43" spans="1:37" ht="12.75" customHeight="1">
      <c r="A43" s="603" t="s">
        <v>640</v>
      </c>
      <c r="B43" s="535">
        <v>72</v>
      </c>
      <c r="C43" s="568">
        <v>205</v>
      </c>
      <c r="D43" s="570">
        <v>205.5</v>
      </c>
      <c r="E43" s="532">
        <v>12</v>
      </c>
      <c r="F43" s="462">
        <v>207</v>
      </c>
      <c r="G43" s="471">
        <v>0.2157</v>
      </c>
      <c r="H43" s="230">
        <v>169</v>
      </c>
      <c r="I43" s="221">
        <v>218</v>
      </c>
      <c r="J43" s="254">
        <v>161.09</v>
      </c>
      <c r="K43" s="225">
        <v>170.261</v>
      </c>
      <c r="L43" s="228">
        <v>737266609</v>
      </c>
      <c r="M43" s="746">
        <v>37846</v>
      </c>
      <c r="N43" s="348">
        <v>2319</v>
      </c>
      <c r="O43" s="251">
        <v>45436.708321759259</v>
      </c>
      <c r="P43" s="257">
        <v>42</v>
      </c>
      <c r="Q43" s="508"/>
      <c r="R43" s="540"/>
      <c r="S43" s="518"/>
      <c r="T43" s="537"/>
      <c r="U43" s="507"/>
      <c r="V43" s="465">
        <v>0</v>
      </c>
      <c r="W43" s="357">
        <v>20350</v>
      </c>
      <c r="X43" s="396">
        <v>20682</v>
      </c>
      <c r="Y43" s="545"/>
      <c r="Z43" s="591">
        <f t="shared" si="33"/>
        <v>4267</v>
      </c>
      <c r="AA43" s="468">
        <f t="shared" si="31"/>
        <v>0</v>
      </c>
      <c r="AB43" s="715">
        <v>6234934</v>
      </c>
      <c r="AC43" s="711">
        <v>1</v>
      </c>
      <c r="AD43" s="711"/>
      <c r="AE43" s="718"/>
      <c r="AF43" s="548"/>
      <c r="AG43" s="548"/>
      <c r="AH43" s="548"/>
      <c r="AI43" s="548"/>
      <c r="AJ43" s="548"/>
      <c r="AK43" s="548"/>
    </row>
    <row r="44" spans="1:37" ht="12.75" customHeight="1">
      <c r="A44" s="604" t="s">
        <v>641</v>
      </c>
      <c r="B44" s="533">
        <v>4</v>
      </c>
      <c r="C44" s="571">
        <v>127</v>
      </c>
      <c r="D44" s="571">
        <v>127.9</v>
      </c>
      <c r="E44" s="533">
        <v>16</v>
      </c>
      <c r="F44" s="553">
        <v>127</v>
      </c>
      <c r="G44" s="470">
        <v>0.20499999999999999</v>
      </c>
      <c r="H44" s="232">
        <v>110</v>
      </c>
      <c r="I44" s="222">
        <v>136.5</v>
      </c>
      <c r="J44" s="256">
        <v>99.998999999999995</v>
      </c>
      <c r="K44" s="226">
        <v>105.386</v>
      </c>
      <c r="L44" s="233">
        <v>218750963</v>
      </c>
      <c r="M44" s="755">
        <v>17939</v>
      </c>
      <c r="N44" s="349">
        <v>1786</v>
      </c>
      <c r="O44" s="252">
        <v>45436.708275462966</v>
      </c>
      <c r="P44" s="258">
        <v>43</v>
      </c>
      <c r="Q44" s="509"/>
      <c r="R44" s="541"/>
      <c r="S44" s="517"/>
      <c r="T44" s="538"/>
      <c r="U44" s="506"/>
      <c r="V44" s="466"/>
      <c r="W44" s="464"/>
      <c r="X44" s="422"/>
      <c r="Y44" s="546"/>
      <c r="Z44" s="592">
        <f t="shared" si="33"/>
        <v>4387</v>
      </c>
      <c r="AA44" s="467">
        <f t="shared" si="31"/>
        <v>0</v>
      </c>
      <c r="AB44" s="716"/>
      <c r="AC44" s="712"/>
      <c r="AD44" s="712"/>
      <c r="AE44" s="712"/>
      <c r="AF44" s="548"/>
      <c r="AH44" s="548"/>
      <c r="AI44" s="548"/>
      <c r="AJ44" s="548"/>
      <c r="AK44" s="548"/>
    </row>
    <row r="45" spans="1:37" ht="12.75" customHeight="1">
      <c r="A45" s="603" t="s">
        <v>642</v>
      </c>
      <c r="B45" s="535">
        <v>95</v>
      </c>
      <c r="C45" s="568">
        <v>74</v>
      </c>
      <c r="D45" s="570">
        <v>74.5</v>
      </c>
      <c r="E45" s="532">
        <v>10</v>
      </c>
      <c r="F45" s="462">
        <v>74</v>
      </c>
      <c r="G45" s="471">
        <v>0.1326</v>
      </c>
      <c r="H45" s="230">
        <v>69.989999999999995</v>
      </c>
      <c r="I45" s="221">
        <v>82.5</v>
      </c>
      <c r="J45" s="254">
        <v>60</v>
      </c>
      <c r="K45" s="225">
        <v>65.331000000000003</v>
      </c>
      <c r="L45" s="228">
        <v>279427509</v>
      </c>
      <c r="M45" s="746">
        <v>37571</v>
      </c>
      <c r="N45" s="228">
        <v>1915</v>
      </c>
      <c r="O45" s="251">
        <v>45436.708275462966</v>
      </c>
      <c r="P45" s="358">
        <v>44</v>
      </c>
      <c r="Q45" s="510"/>
      <c r="R45" s="540"/>
      <c r="S45" s="518"/>
      <c r="T45" s="537"/>
      <c r="U45" s="507"/>
      <c r="V45" s="465"/>
      <c r="W45" s="357"/>
      <c r="X45" s="396"/>
      <c r="Y45" s="547"/>
      <c r="Z45" s="593">
        <f t="shared" si="33"/>
        <v>4534</v>
      </c>
      <c r="AA45" s="468">
        <f t="shared" si="31"/>
        <v>0</v>
      </c>
      <c r="AB45" s="715">
        <v>6232139</v>
      </c>
      <c r="AC45" s="711"/>
      <c r="AD45" s="711"/>
      <c r="AE45" s="718"/>
      <c r="AG45" s="548"/>
      <c r="AH45" s="548"/>
      <c r="AI45" s="548"/>
      <c r="AJ45" s="548"/>
      <c r="AK45" s="548"/>
    </row>
    <row r="46" spans="1:37" ht="12.75" customHeight="1">
      <c r="A46" s="604" t="s">
        <v>643</v>
      </c>
      <c r="B46" s="533">
        <v>7</v>
      </c>
      <c r="C46" s="571">
        <v>45</v>
      </c>
      <c r="D46" s="571">
        <v>45.999000000000002</v>
      </c>
      <c r="E46" s="533">
        <v>2</v>
      </c>
      <c r="F46" s="553">
        <v>46</v>
      </c>
      <c r="G46" s="470">
        <v>0.20010000000000003</v>
      </c>
      <c r="H46" s="232">
        <v>46</v>
      </c>
      <c r="I46" s="222">
        <v>50</v>
      </c>
      <c r="J46" s="256">
        <v>37.5</v>
      </c>
      <c r="K46" s="226">
        <v>38.326999999999998</v>
      </c>
      <c r="L46" s="233">
        <v>39142519</v>
      </c>
      <c r="M46" s="755">
        <v>8824</v>
      </c>
      <c r="N46" s="233">
        <v>825</v>
      </c>
      <c r="O46" s="252">
        <v>45436.708101851851</v>
      </c>
      <c r="P46" s="359">
        <v>45</v>
      </c>
      <c r="Q46" s="509"/>
      <c r="R46" s="541"/>
      <c r="S46" s="517"/>
      <c r="T46" s="538"/>
      <c r="U46" s="506"/>
      <c r="V46" s="466"/>
      <c r="W46" s="464"/>
      <c r="X46" s="422"/>
      <c r="Y46" s="602"/>
      <c r="Z46" s="590">
        <f t="shared" si="33"/>
        <v>4706</v>
      </c>
      <c r="AA46" s="467">
        <f t="shared" si="31"/>
        <v>0</v>
      </c>
      <c r="AB46" s="716"/>
      <c r="AC46" s="712"/>
      <c r="AD46" s="712"/>
      <c r="AE46" s="712"/>
      <c r="AG46" s="548"/>
      <c r="AH46" s="548"/>
      <c r="AI46" s="548"/>
      <c r="AJ46" s="548"/>
      <c r="AK46" s="548"/>
    </row>
    <row r="47" spans="1:37" ht="12.75" customHeight="1">
      <c r="A47" s="552" t="s">
        <v>644</v>
      </c>
      <c r="B47" s="535">
        <v>8</v>
      </c>
      <c r="C47" s="568">
        <v>25.001000000000001</v>
      </c>
      <c r="D47" s="568">
        <v>26</v>
      </c>
      <c r="E47" s="532">
        <v>1000</v>
      </c>
      <c r="F47" s="462">
        <v>26</v>
      </c>
      <c r="G47" s="471">
        <v>0.14550000000000002</v>
      </c>
      <c r="H47" s="230">
        <v>23</v>
      </c>
      <c r="I47" s="221">
        <v>28.7</v>
      </c>
      <c r="J47" s="254">
        <v>21.51</v>
      </c>
      <c r="K47" s="225">
        <v>22.696999999999999</v>
      </c>
      <c r="L47" s="228">
        <v>16981270</v>
      </c>
      <c r="M47" s="746">
        <v>6590</v>
      </c>
      <c r="N47" s="228">
        <v>701</v>
      </c>
      <c r="O47" s="251">
        <v>45436.708171296297</v>
      </c>
      <c r="P47" s="360">
        <v>46</v>
      </c>
      <c r="Q47" s="510"/>
      <c r="R47" s="540"/>
      <c r="S47" s="518"/>
      <c r="T47" s="537"/>
      <c r="U47" s="507"/>
      <c r="V47" s="465"/>
      <c r="W47" s="357"/>
      <c r="X47" s="396"/>
      <c r="Y47" s="545"/>
      <c r="Z47" s="591">
        <f t="shared" si="33"/>
        <v>4886</v>
      </c>
      <c r="AA47" s="468">
        <f t="shared" si="31"/>
        <v>0</v>
      </c>
      <c r="AB47" s="715">
        <v>6232144</v>
      </c>
      <c r="AC47" s="711"/>
      <c r="AD47" s="711"/>
      <c r="AE47" s="711"/>
      <c r="AG47" s="548"/>
      <c r="AH47" s="548"/>
      <c r="AI47" s="548"/>
      <c r="AJ47" s="548"/>
      <c r="AK47" s="548"/>
    </row>
    <row r="48" spans="1:37" ht="12.75" customHeight="1">
      <c r="A48" s="524" t="s">
        <v>645</v>
      </c>
      <c r="B48" s="533">
        <v>5</v>
      </c>
      <c r="C48" s="571">
        <v>15.34</v>
      </c>
      <c r="D48" s="572">
        <v>16.3</v>
      </c>
      <c r="E48" s="533">
        <v>10</v>
      </c>
      <c r="F48" s="553">
        <v>16.3</v>
      </c>
      <c r="G48" s="470">
        <v>0.1217</v>
      </c>
      <c r="H48" s="232">
        <v>16.5</v>
      </c>
      <c r="I48" s="222">
        <v>18</v>
      </c>
      <c r="J48" s="256">
        <v>14.000999999999999</v>
      </c>
      <c r="K48" s="226">
        <v>14.531000000000001</v>
      </c>
      <c r="L48" s="233">
        <v>2672508</v>
      </c>
      <c r="M48" s="755">
        <v>1694</v>
      </c>
      <c r="N48" s="233">
        <v>356</v>
      </c>
      <c r="O48" s="252">
        <v>45436.708113425928</v>
      </c>
      <c r="P48" s="359">
        <v>47</v>
      </c>
      <c r="Q48" s="509"/>
      <c r="R48" s="541"/>
      <c r="S48" s="517"/>
      <c r="T48" s="538"/>
      <c r="U48" s="506"/>
      <c r="V48" s="466"/>
      <c r="W48" s="464"/>
      <c r="X48" s="422"/>
      <c r="Y48" s="546"/>
      <c r="Z48" s="592">
        <f t="shared" si="33"/>
        <v>5076.3</v>
      </c>
      <c r="AA48" s="467">
        <f>IF(V48&lt;&gt;"",Z48*100*V48,0)</f>
        <v>0</v>
      </c>
      <c r="AB48" s="716">
        <v>6233082</v>
      </c>
      <c r="AC48" s="712"/>
      <c r="AD48" s="712"/>
      <c r="AE48" s="841"/>
      <c r="AF48" s="548"/>
      <c r="AG48" s="548"/>
      <c r="AH48" s="548"/>
      <c r="AI48" s="548"/>
      <c r="AJ48" s="548"/>
      <c r="AK48" s="548"/>
    </row>
    <row r="49" spans="1:40" ht="12.75" customHeight="1">
      <c r="A49" s="620" t="s">
        <v>646</v>
      </c>
      <c r="B49" s="621">
        <v>1</v>
      </c>
      <c r="C49" s="622">
        <v>11</v>
      </c>
      <c r="D49" s="622">
        <v>11.1</v>
      </c>
      <c r="E49" s="621">
        <v>15</v>
      </c>
      <c r="F49" s="623">
        <v>10.25</v>
      </c>
      <c r="G49" s="624">
        <v>0.1003</v>
      </c>
      <c r="H49" s="625">
        <v>13.69</v>
      </c>
      <c r="I49" s="626">
        <v>13.69</v>
      </c>
      <c r="J49" s="627">
        <v>8.9</v>
      </c>
      <c r="K49" s="628">
        <v>9.3149999999999995</v>
      </c>
      <c r="L49" s="629">
        <v>4802006</v>
      </c>
      <c r="M49" s="757">
        <v>4454</v>
      </c>
      <c r="N49" s="586">
        <v>807</v>
      </c>
      <c r="O49" s="587">
        <v>45436.70820601852</v>
      </c>
      <c r="P49" s="588">
        <v>48</v>
      </c>
      <c r="Q49" s="508"/>
      <c r="R49" s="540"/>
      <c r="S49" s="518"/>
      <c r="T49" s="537"/>
      <c r="U49" s="507"/>
      <c r="V49" s="465"/>
      <c r="W49" s="630"/>
      <c r="X49" s="631"/>
      <c r="Y49" s="632"/>
      <c r="Z49" s="633">
        <f t="shared" si="33"/>
        <v>5270.25</v>
      </c>
      <c r="AA49" s="634">
        <f>IF(V49&lt;&gt;"",Z49*100*V49,0)</f>
        <v>0</v>
      </c>
      <c r="AB49" s="717"/>
      <c r="AC49" s="713"/>
      <c r="AD49" s="713"/>
      <c r="AE49" s="713"/>
      <c r="AF49" s="548"/>
      <c r="AG49" s="548"/>
      <c r="AH49" s="548"/>
      <c r="AI49" s="548"/>
      <c r="AJ49" s="548"/>
      <c r="AK49" s="548"/>
    </row>
    <row r="50" spans="1:40" ht="12.75" customHeight="1">
      <c r="A50" s="594" t="s">
        <v>652</v>
      </c>
      <c r="B50" s="530"/>
      <c r="C50" s="573"/>
      <c r="D50" s="574"/>
      <c r="E50" s="534"/>
      <c r="F50" s="554"/>
      <c r="G50" s="470"/>
      <c r="H50" s="231"/>
      <c r="I50" s="223"/>
      <c r="J50" s="255"/>
      <c r="K50" s="227"/>
      <c r="L50" s="235"/>
      <c r="M50" s="741"/>
      <c r="N50" s="235"/>
      <c r="O50" s="250"/>
      <c r="P50" s="359">
        <v>49</v>
      </c>
      <c r="Q50" s="509"/>
      <c r="R50" s="541"/>
      <c r="S50" s="517"/>
      <c r="T50" s="538"/>
      <c r="U50" s="506"/>
      <c r="V50" s="466"/>
      <c r="W50" s="464"/>
      <c r="X50" s="397"/>
      <c r="Y50" s="589"/>
      <c r="Z50" s="420"/>
      <c r="AA50" s="372">
        <f t="shared" ref="AA50:AA59" si="34">IF(V50&lt;&gt;"",Z50*100*V50,0)</f>
        <v>0</v>
      </c>
      <c r="AB50" s="714"/>
      <c r="AC50" s="710"/>
      <c r="AD50" s="710"/>
      <c r="AE50" s="710"/>
      <c r="AF50" s="548"/>
      <c r="AG50" s="548"/>
      <c r="AH50" s="548"/>
      <c r="AI50" s="548"/>
      <c r="AJ50" s="548"/>
      <c r="AK50" s="548"/>
    </row>
    <row r="51" spans="1:40" ht="12.75" customHeight="1">
      <c r="A51" s="595" t="s">
        <v>653</v>
      </c>
      <c r="B51" s="529">
        <v>1</v>
      </c>
      <c r="C51" s="575">
        <v>30</v>
      </c>
      <c r="D51" s="575">
        <v>30</v>
      </c>
      <c r="E51" s="529">
        <v>4</v>
      </c>
      <c r="F51" s="462">
        <v>30</v>
      </c>
      <c r="G51" s="471"/>
      <c r="H51" s="230">
        <v>30</v>
      </c>
      <c r="I51" s="221">
        <v>30</v>
      </c>
      <c r="J51" s="254">
        <v>30</v>
      </c>
      <c r="K51" s="225"/>
      <c r="L51" s="228">
        <v>3000</v>
      </c>
      <c r="M51" s="746">
        <v>1</v>
      </c>
      <c r="N51" s="228">
        <v>1</v>
      </c>
      <c r="O51" s="251">
        <v>45436.647037037037</v>
      </c>
      <c r="P51" s="360">
        <v>50</v>
      </c>
      <c r="Q51" s="510"/>
      <c r="R51" s="540"/>
      <c r="S51" s="518"/>
      <c r="T51" s="537"/>
      <c r="U51" s="507"/>
      <c r="V51" s="465"/>
      <c r="W51" s="357"/>
      <c r="X51" s="396"/>
      <c r="Y51" s="412"/>
      <c r="Z51" s="413"/>
      <c r="AA51" s="373">
        <f t="shared" si="34"/>
        <v>0</v>
      </c>
      <c r="AB51" s="715"/>
      <c r="AC51" s="713"/>
      <c r="AD51" s="713"/>
      <c r="AE51" s="713"/>
      <c r="AF51" s="548"/>
      <c r="AG51" s="548"/>
      <c r="AH51" s="548"/>
      <c r="AI51" s="548"/>
      <c r="AJ51" s="548"/>
      <c r="AK51" s="548"/>
    </row>
    <row r="52" spans="1:40" ht="12.75" customHeight="1">
      <c r="A52" s="594" t="s">
        <v>654</v>
      </c>
      <c r="B52" s="530"/>
      <c r="C52" s="576"/>
      <c r="D52" s="576"/>
      <c r="E52" s="534"/>
      <c r="F52" s="553"/>
      <c r="G52" s="470"/>
      <c r="H52" s="232"/>
      <c r="I52" s="222"/>
      <c r="J52" s="256"/>
      <c r="K52" s="226"/>
      <c r="L52" s="233"/>
      <c r="M52" s="755"/>
      <c r="N52" s="233"/>
      <c r="O52" s="252"/>
      <c r="P52" s="359">
        <v>51</v>
      </c>
      <c r="Q52" s="509"/>
      <c r="R52" s="541"/>
      <c r="S52" s="517"/>
      <c r="T52" s="538"/>
      <c r="U52" s="506"/>
      <c r="V52" s="466"/>
      <c r="W52" s="464"/>
      <c r="X52" s="422"/>
      <c r="Y52" s="414"/>
      <c r="Z52" s="415"/>
      <c r="AA52" s="372">
        <f t="shared" si="34"/>
        <v>0</v>
      </c>
      <c r="AB52" s="716"/>
      <c r="AC52" s="712"/>
      <c r="AD52" s="712"/>
      <c r="AE52" s="712"/>
      <c r="AF52" s="548"/>
      <c r="AG52" s="548"/>
      <c r="AH52" s="548"/>
      <c r="AI52" s="548"/>
      <c r="AJ52" s="548"/>
      <c r="AK52" s="548"/>
    </row>
    <row r="53" spans="1:40" ht="12.75" customHeight="1">
      <c r="A53" s="595" t="s">
        <v>655</v>
      </c>
      <c r="B53" s="529">
        <v>40</v>
      </c>
      <c r="C53" s="575">
        <v>25</v>
      </c>
      <c r="D53" s="577"/>
      <c r="E53" s="529"/>
      <c r="F53" s="462"/>
      <c r="G53" s="471"/>
      <c r="H53" s="230"/>
      <c r="I53" s="221"/>
      <c r="J53" s="254"/>
      <c r="K53" s="225"/>
      <c r="L53" s="228"/>
      <c r="M53" s="746"/>
      <c r="N53" s="228"/>
      <c r="O53" s="251"/>
      <c r="P53" s="360">
        <v>52</v>
      </c>
      <c r="Q53" s="510"/>
      <c r="R53" s="540"/>
      <c r="S53" s="518"/>
      <c r="T53" s="537"/>
      <c r="U53" s="507"/>
      <c r="V53" s="465"/>
      <c r="W53" s="357"/>
      <c r="X53" s="396"/>
      <c r="Y53" s="412"/>
      <c r="Z53" s="413"/>
      <c r="AA53" s="373">
        <f t="shared" si="34"/>
        <v>0</v>
      </c>
      <c r="AB53" s="715"/>
      <c r="AC53" s="713"/>
      <c r="AD53" s="713"/>
      <c r="AE53" s="713"/>
      <c r="AF53" s="548"/>
      <c r="AG53" s="548"/>
      <c r="AH53" s="548"/>
      <c r="AI53" s="548"/>
      <c r="AJ53" s="548"/>
      <c r="AK53" s="548"/>
    </row>
    <row r="54" spans="1:40" ht="12.75" customHeight="1">
      <c r="A54" s="594" t="s">
        <v>656</v>
      </c>
      <c r="B54" s="536"/>
      <c r="C54" s="576"/>
      <c r="D54" s="576">
        <v>119</v>
      </c>
      <c r="E54" s="533">
        <v>18</v>
      </c>
      <c r="F54" s="553"/>
      <c r="G54" s="470"/>
      <c r="H54" s="232"/>
      <c r="I54" s="222"/>
      <c r="J54" s="256"/>
      <c r="K54" s="226">
        <v>73.599999999999994</v>
      </c>
      <c r="L54" s="233"/>
      <c r="M54" s="755"/>
      <c r="N54" s="233"/>
      <c r="O54" s="252"/>
      <c r="P54" s="458">
        <v>53</v>
      </c>
      <c r="Q54" s="509"/>
      <c r="R54" s="541"/>
      <c r="S54" s="517"/>
      <c r="T54" s="538"/>
      <c r="U54" s="506"/>
      <c r="V54" s="466"/>
      <c r="W54" s="464"/>
      <c r="X54" s="398"/>
      <c r="Y54" s="414"/>
      <c r="Z54" s="415"/>
      <c r="AA54" s="459">
        <f t="shared" si="34"/>
        <v>0</v>
      </c>
      <c r="AB54" s="716"/>
      <c r="AC54" s="712"/>
      <c r="AD54" s="712"/>
      <c r="AE54" s="712"/>
      <c r="AF54" s="548"/>
      <c r="AG54" s="548"/>
      <c r="AH54" s="548"/>
      <c r="AI54" s="548"/>
      <c r="AJ54" s="548"/>
      <c r="AK54" s="548"/>
    </row>
    <row r="55" spans="1:40" ht="12.75" customHeight="1">
      <c r="A55" s="596" t="s">
        <v>647</v>
      </c>
      <c r="B55" s="535">
        <v>4</v>
      </c>
      <c r="C55" s="575">
        <v>473</v>
      </c>
      <c r="D55" s="577">
        <v>500</v>
      </c>
      <c r="E55" s="532">
        <v>4</v>
      </c>
      <c r="F55" s="462">
        <v>495</v>
      </c>
      <c r="G55" s="471">
        <v>0.1804</v>
      </c>
      <c r="H55" s="230">
        <v>435</v>
      </c>
      <c r="I55" s="221">
        <v>500</v>
      </c>
      <c r="J55" s="254">
        <v>435</v>
      </c>
      <c r="K55" s="225">
        <v>419.34800000000001</v>
      </c>
      <c r="L55" s="228">
        <v>5524700</v>
      </c>
      <c r="M55" s="746">
        <v>114</v>
      </c>
      <c r="N55" s="228">
        <v>31</v>
      </c>
      <c r="O55" s="251">
        <v>45436.708043981482</v>
      </c>
      <c r="P55" s="360">
        <v>54</v>
      </c>
      <c r="Q55" s="510"/>
      <c r="R55" s="540"/>
      <c r="S55" s="518"/>
      <c r="T55" s="537"/>
      <c r="U55" s="507"/>
      <c r="V55" s="465"/>
      <c r="W55" s="357"/>
      <c r="X55" s="423"/>
      <c r="Y55" s="392"/>
      <c r="Z55" s="424"/>
      <c r="AA55" s="425">
        <f t="shared" si="34"/>
        <v>0</v>
      </c>
      <c r="AB55" s="715"/>
      <c r="AC55" s="713"/>
      <c r="AD55" s="713"/>
      <c r="AE55" s="713"/>
      <c r="AF55" s="548"/>
      <c r="AG55" s="548"/>
      <c r="AH55" s="548"/>
      <c r="AI55" s="548"/>
      <c r="AJ55" s="548"/>
      <c r="AK55" s="548"/>
    </row>
    <row r="56" spans="1:40" ht="12.75" customHeight="1">
      <c r="A56" s="597" t="s">
        <v>648</v>
      </c>
      <c r="B56" s="533">
        <v>1</v>
      </c>
      <c r="C56" s="576">
        <v>350</v>
      </c>
      <c r="D56" s="576">
        <v>378</v>
      </c>
      <c r="E56" s="533">
        <v>33</v>
      </c>
      <c r="F56" s="553">
        <v>379</v>
      </c>
      <c r="G56" s="470">
        <v>0.21280000000000002</v>
      </c>
      <c r="H56" s="232">
        <v>354</v>
      </c>
      <c r="I56" s="222">
        <v>379</v>
      </c>
      <c r="J56" s="256">
        <v>354</v>
      </c>
      <c r="K56" s="226">
        <v>312.5</v>
      </c>
      <c r="L56" s="233">
        <v>3334600</v>
      </c>
      <c r="M56" s="755">
        <v>93</v>
      </c>
      <c r="N56" s="233">
        <v>28</v>
      </c>
      <c r="O56" s="252">
        <v>45436.70275462963</v>
      </c>
      <c r="P56" s="359">
        <v>55</v>
      </c>
      <c r="Q56" s="509"/>
      <c r="R56" s="541"/>
      <c r="S56" s="517"/>
      <c r="T56" s="538"/>
      <c r="U56" s="506"/>
      <c r="V56" s="466"/>
      <c r="W56" s="464"/>
      <c r="X56" s="422"/>
      <c r="Y56" s="416"/>
      <c r="Z56" s="417"/>
      <c r="AA56" s="372">
        <f t="shared" si="34"/>
        <v>0</v>
      </c>
      <c r="AB56" s="716"/>
      <c r="AC56" s="712"/>
      <c r="AD56" s="712"/>
      <c r="AE56" s="712"/>
    </row>
    <row r="57" spans="1:40" ht="12.75" customHeight="1">
      <c r="A57" s="596" t="s">
        <v>649</v>
      </c>
      <c r="B57" s="535">
        <v>2</v>
      </c>
      <c r="C57" s="575">
        <v>321</v>
      </c>
      <c r="D57" s="577">
        <v>339</v>
      </c>
      <c r="E57" s="532">
        <v>10</v>
      </c>
      <c r="F57" s="462">
        <v>320</v>
      </c>
      <c r="G57" s="471">
        <v>-0.10859999999999999</v>
      </c>
      <c r="H57" s="230">
        <v>390</v>
      </c>
      <c r="I57" s="221">
        <v>390</v>
      </c>
      <c r="J57" s="254">
        <v>320</v>
      </c>
      <c r="K57" s="225">
        <v>359</v>
      </c>
      <c r="L57" s="228">
        <v>2572900</v>
      </c>
      <c r="M57" s="746">
        <v>74</v>
      </c>
      <c r="N57" s="228">
        <v>17</v>
      </c>
      <c r="O57" s="251">
        <v>45436.626307870371</v>
      </c>
      <c r="P57" s="360">
        <v>56</v>
      </c>
      <c r="Q57" s="510"/>
      <c r="R57" s="540"/>
      <c r="S57" s="518"/>
      <c r="T57" s="537"/>
      <c r="U57" s="507"/>
      <c r="V57" s="465"/>
      <c r="W57" s="357"/>
      <c r="X57" s="396"/>
      <c r="Y57" s="412"/>
      <c r="Z57" s="413"/>
      <c r="AA57" s="373">
        <f t="shared" si="34"/>
        <v>0</v>
      </c>
      <c r="AB57" s="715"/>
      <c r="AC57" s="713"/>
      <c r="AD57" s="713"/>
      <c r="AE57" s="713"/>
    </row>
    <row r="58" spans="1:40" ht="12.75" customHeight="1">
      <c r="A58" s="597" t="s">
        <v>650</v>
      </c>
      <c r="B58" s="533">
        <v>2</v>
      </c>
      <c r="C58" s="576">
        <v>100</v>
      </c>
      <c r="D58" s="576">
        <v>144</v>
      </c>
      <c r="E58" s="533">
        <v>11</v>
      </c>
      <c r="F58" s="553">
        <v>115</v>
      </c>
      <c r="G58" s="470">
        <v>-0.30430000000000001</v>
      </c>
      <c r="H58" s="232">
        <v>80</v>
      </c>
      <c r="I58" s="222">
        <v>115</v>
      </c>
      <c r="J58" s="256">
        <v>80</v>
      </c>
      <c r="K58" s="226">
        <v>115</v>
      </c>
      <c r="L58" s="233">
        <v>274500</v>
      </c>
      <c r="M58" s="755">
        <v>33</v>
      </c>
      <c r="N58" s="233">
        <v>3</v>
      </c>
      <c r="O58" s="252">
        <v>45436.665520833332</v>
      </c>
      <c r="P58" s="359">
        <v>57</v>
      </c>
      <c r="Q58" s="509"/>
      <c r="R58" s="541"/>
      <c r="S58" s="517"/>
      <c r="T58" s="538"/>
      <c r="U58" s="506"/>
      <c r="V58" s="466"/>
      <c r="W58" s="464"/>
      <c r="X58" s="422"/>
      <c r="Y58" s="414"/>
      <c r="Z58" s="415"/>
      <c r="AA58" s="372">
        <f t="shared" si="34"/>
        <v>0</v>
      </c>
      <c r="AB58" s="716"/>
      <c r="AC58" s="712"/>
      <c r="AD58" s="712"/>
      <c r="AE58" s="712"/>
    </row>
    <row r="59" spans="1:40" ht="12.75" customHeight="1">
      <c r="A59" s="640" t="s">
        <v>651</v>
      </c>
      <c r="B59" s="641">
        <v>7</v>
      </c>
      <c r="C59" s="642">
        <v>70</v>
      </c>
      <c r="D59" s="643">
        <v>84.998000000000005</v>
      </c>
      <c r="E59" s="644">
        <v>20</v>
      </c>
      <c r="F59" s="645">
        <v>78</v>
      </c>
      <c r="G59" s="646">
        <v>0.2</v>
      </c>
      <c r="H59" s="647">
        <v>79</v>
      </c>
      <c r="I59" s="648">
        <v>85</v>
      </c>
      <c r="J59" s="649">
        <v>78</v>
      </c>
      <c r="K59" s="650">
        <v>65</v>
      </c>
      <c r="L59" s="651">
        <v>210799</v>
      </c>
      <c r="M59" s="758">
        <v>26</v>
      </c>
      <c r="N59" s="651">
        <v>8</v>
      </c>
      <c r="O59" s="652">
        <v>45436.639386574076</v>
      </c>
      <c r="P59" s="653">
        <v>58</v>
      </c>
      <c r="Q59" s="510"/>
      <c r="R59" s="540"/>
      <c r="S59" s="518"/>
      <c r="T59" s="537"/>
      <c r="U59" s="507"/>
      <c r="V59" s="465"/>
      <c r="W59" s="654"/>
      <c r="X59" s="655"/>
      <c r="Y59" s="656"/>
      <c r="Z59" s="657"/>
      <c r="AA59" s="658">
        <f t="shared" si="34"/>
        <v>0</v>
      </c>
      <c r="AB59" s="723"/>
      <c r="AC59" s="724"/>
      <c r="AD59" s="724"/>
      <c r="AE59" s="724"/>
    </row>
    <row r="60" spans="1:40">
      <c r="A60" s="524" t="s">
        <v>334</v>
      </c>
      <c r="B60" s="534">
        <v>356</v>
      </c>
      <c r="C60" s="578">
        <v>3970</v>
      </c>
      <c r="D60" s="578">
        <v>4020.5</v>
      </c>
      <c r="E60" s="534">
        <v>4958</v>
      </c>
      <c r="F60" s="554">
        <v>4020.5</v>
      </c>
      <c r="G60" s="470">
        <v>2.1700000000000001E-2</v>
      </c>
      <c r="H60" s="231">
        <v>3955</v>
      </c>
      <c r="I60" s="223">
        <v>4065</v>
      </c>
      <c r="J60" s="255">
        <v>3854.55</v>
      </c>
      <c r="K60" s="227">
        <v>3935</v>
      </c>
      <c r="L60" s="235">
        <v>345137130</v>
      </c>
      <c r="M60" s="227">
        <v>86942</v>
      </c>
      <c r="N60" s="235">
        <v>1153</v>
      </c>
      <c r="O60" s="250">
        <v>45436.687488425923</v>
      </c>
      <c r="P60" s="359">
        <v>59</v>
      </c>
      <c r="Q60" s="246"/>
      <c r="R60" s="388">
        <v>0</v>
      </c>
      <c r="S60" s="400">
        <v>0</v>
      </c>
      <c r="T60" s="511">
        <v>0</v>
      </c>
      <c r="U60" s="511"/>
      <c r="V60" s="511"/>
      <c r="W60" s="635"/>
      <c r="X60" s="636"/>
      <c r="Y60" s="374">
        <f>IF(D60&lt;&gt;0,($C61*(1-$AB$1))-$D60,0)</f>
        <v>-17.900299999999788</v>
      </c>
      <c r="Z60" s="637"/>
      <c r="AA60" s="638">
        <v>32.130000000000003</v>
      </c>
      <c r="AB60" s="639"/>
    </row>
    <row r="61" spans="1:40" ht="12.75" customHeight="1">
      <c r="A61" s="664" t="s">
        <v>335</v>
      </c>
      <c r="B61" s="665">
        <v>600</v>
      </c>
      <c r="C61" s="666">
        <v>4003</v>
      </c>
      <c r="D61" s="667">
        <v>4006</v>
      </c>
      <c r="E61" s="668">
        <v>2888</v>
      </c>
      <c r="F61" s="669">
        <v>4004</v>
      </c>
      <c r="G61" s="670">
        <v>2.6699999999999998E-2</v>
      </c>
      <c r="H61" s="671">
        <v>3905</v>
      </c>
      <c r="I61" s="672">
        <v>4055</v>
      </c>
      <c r="J61" s="673">
        <v>3890.8</v>
      </c>
      <c r="K61" s="674">
        <v>3899.75</v>
      </c>
      <c r="L61" s="675">
        <v>9337637897</v>
      </c>
      <c r="M61" s="674">
        <v>2350223</v>
      </c>
      <c r="N61" s="675">
        <v>6637</v>
      </c>
      <c r="O61" s="676">
        <v>45436.70820601852</v>
      </c>
      <c r="P61" s="677">
        <v>60</v>
      </c>
      <c r="Q61" s="678">
        <v>0</v>
      </c>
      <c r="R61" s="679">
        <v>0</v>
      </c>
      <c r="S61" s="680">
        <v>0</v>
      </c>
      <c r="T61" s="681">
        <v>0</v>
      </c>
      <c r="U61" s="681"/>
      <c r="V61" s="681"/>
      <c r="W61" s="682">
        <v>0</v>
      </c>
      <c r="X61" s="683">
        <v>0</v>
      </c>
      <c r="Y61" s="684" t="str">
        <f>IFERROR(INT(#REF!/(F60)),"")</f>
        <v/>
      </c>
      <c r="Z61" s="685"/>
      <c r="AA61" s="686">
        <f>F61/AA60*10</f>
        <v>1246.1873638344225</v>
      </c>
      <c r="AB61" s="687"/>
    </row>
    <row r="62" spans="1:40" ht="12.75" customHeight="1">
      <c r="A62" s="456" t="s">
        <v>13</v>
      </c>
      <c r="B62" s="530">
        <v>8696</v>
      </c>
      <c r="C62" s="573">
        <v>65330</v>
      </c>
      <c r="D62" s="574">
        <v>65390</v>
      </c>
      <c r="E62" s="534">
        <v>400</v>
      </c>
      <c r="F62" s="554">
        <v>65330</v>
      </c>
      <c r="G62" s="470">
        <v>-2.6499999999999999E-2</v>
      </c>
      <c r="H62" s="231">
        <v>69090</v>
      </c>
      <c r="I62" s="223">
        <v>69090</v>
      </c>
      <c r="J62" s="255">
        <v>64900</v>
      </c>
      <c r="K62" s="227">
        <v>67110</v>
      </c>
      <c r="L62" s="235">
        <v>137649434863</v>
      </c>
      <c r="M62" s="227">
        <v>209300160</v>
      </c>
      <c r="N62" s="235">
        <v>81710</v>
      </c>
      <c r="O62" s="250">
        <v>45436.6877662037</v>
      </c>
      <c r="P62" s="359">
        <v>61</v>
      </c>
      <c r="Q62" s="246">
        <v>0</v>
      </c>
      <c r="R62" s="388">
        <v>0</v>
      </c>
      <c r="S62" s="400">
        <v>0</v>
      </c>
      <c r="T62" s="511">
        <v>0</v>
      </c>
      <c r="U62" s="511"/>
      <c r="V62" s="511"/>
      <c r="W62" s="481">
        <f t="shared" ref="W62" si="35">(V62*X62)</f>
        <v>0</v>
      </c>
      <c r="X62" s="397"/>
      <c r="Y62" s="374">
        <f>IF(D62&lt;&gt;0,($C63*(1-$AB$1))-$D62,0)</f>
        <v>213.43899999999849</v>
      </c>
      <c r="Z62" s="375"/>
      <c r="AA62" s="376"/>
      <c r="AB62" s="639"/>
      <c r="AN62" s="282"/>
    </row>
    <row r="63" spans="1:40" ht="12.75" customHeight="1">
      <c r="A63" s="344" t="s">
        <v>2</v>
      </c>
      <c r="B63" s="529">
        <v>11</v>
      </c>
      <c r="C63" s="575">
        <v>65610</v>
      </c>
      <c r="D63" s="575">
        <v>65640</v>
      </c>
      <c r="E63" s="529">
        <v>151910</v>
      </c>
      <c r="F63" s="462">
        <v>65640</v>
      </c>
      <c r="G63" s="471">
        <v>-2.69E-2</v>
      </c>
      <c r="H63" s="230">
        <v>67500</v>
      </c>
      <c r="I63" s="221">
        <v>67840</v>
      </c>
      <c r="J63" s="254">
        <v>65150</v>
      </c>
      <c r="K63" s="225">
        <v>67460</v>
      </c>
      <c r="L63" s="228">
        <v>94219781819</v>
      </c>
      <c r="M63" s="225">
        <v>142946212</v>
      </c>
      <c r="N63" s="228">
        <v>29548</v>
      </c>
      <c r="O63" s="251">
        <v>45436.708449074074</v>
      </c>
      <c r="P63" s="360">
        <v>30</v>
      </c>
      <c r="Q63" s="244">
        <v>0</v>
      </c>
      <c r="R63" s="387">
        <v>0</v>
      </c>
      <c r="S63" s="401">
        <v>0</v>
      </c>
      <c r="T63" s="512">
        <v>0</v>
      </c>
      <c r="U63" s="512"/>
      <c r="V63" s="512"/>
      <c r="W63" s="356">
        <f>V62*(F63/100)</f>
        <v>0</v>
      </c>
      <c r="X63" s="396"/>
      <c r="Y63" s="353" t="str">
        <f>IFERROR(INT(#REF!/(F30/100)),"")</f>
        <v/>
      </c>
      <c r="Z63" s="377"/>
      <c r="AA63" s="378"/>
      <c r="AB63" s="469"/>
      <c r="AN63" s="282"/>
    </row>
    <row r="64" spans="1:40" ht="12.75" hidden="1" customHeight="1">
      <c r="A64" s="455" t="s">
        <v>15</v>
      </c>
      <c r="B64" s="530">
        <v>100</v>
      </c>
      <c r="C64" s="573">
        <v>52.27</v>
      </c>
      <c r="D64" s="574">
        <v>53.28</v>
      </c>
      <c r="E64" s="534">
        <v>122606</v>
      </c>
      <c r="F64" s="553">
        <v>53.28</v>
      </c>
      <c r="G64" s="470">
        <v>-8.6999999999999994E-3</v>
      </c>
      <c r="H64" s="232">
        <v>53.44</v>
      </c>
      <c r="I64" s="222">
        <v>53.69</v>
      </c>
      <c r="J64" s="256">
        <v>52</v>
      </c>
      <c r="K64" s="226">
        <v>53.75</v>
      </c>
      <c r="L64" s="233">
        <v>41538084</v>
      </c>
      <c r="M64" s="226">
        <v>77834546</v>
      </c>
      <c r="N64" s="233">
        <v>14472</v>
      </c>
      <c r="O64" s="252">
        <v>45436.687557870369</v>
      </c>
      <c r="P64" s="359">
        <v>63</v>
      </c>
      <c r="Q64" s="245">
        <v>0</v>
      </c>
      <c r="R64" s="390">
        <v>0</v>
      </c>
      <c r="S64" s="402">
        <v>0</v>
      </c>
      <c r="T64" s="513">
        <v>0</v>
      </c>
      <c r="U64" s="513"/>
      <c r="V64" s="513"/>
      <c r="W64" s="482">
        <f t="shared" ref="W64:W66" si="36">(V64*X64)</f>
        <v>0</v>
      </c>
      <c r="X64" s="399"/>
      <c r="Y64" s="379">
        <f>IF(D64&lt;&gt;0,($C65*(1-$AB$1))-$D64,0)</f>
        <v>-5.3279999999986671E-3</v>
      </c>
      <c r="Z64" s="380">
        <f>IFERROR(IF(C64&lt;&gt;"",$AA$1/(D62/100)*(C64/100),""),"")</f>
        <v>0.95820254198170185</v>
      </c>
      <c r="AA64" s="381">
        <f>IFERROR($AC$1/(D64/100)*(C62/100),"")</f>
        <v>1226.1636636636633</v>
      </c>
      <c r="AB64" s="480"/>
      <c r="AN64" s="282"/>
    </row>
    <row r="65" spans="1:40" ht="12.75" hidden="1" customHeight="1">
      <c r="A65" s="344" t="s">
        <v>3</v>
      </c>
      <c r="B65" s="529">
        <v>108130</v>
      </c>
      <c r="C65" s="575">
        <v>53.28</v>
      </c>
      <c r="D65" s="575">
        <v>53.4</v>
      </c>
      <c r="E65" s="529">
        <v>100000</v>
      </c>
      <c r="F65" s="462">
        <v>53.28</v>
      </c>
      <c r="G65" s="555">
        <v>-6.8000000000000005E-3</v>
      </c>
      <c r="H65" s="230">
        <v>53.01</v>
      </c>
      <c r="I65" s="221">
        <v>54.8</v>
      </c>
      <c r="J65" s="254">
        <v>53</v>
      </c>
      <c r="K65" s="225">
        <v>53.65</v>
      </c>
      <c r="L65" s="228">
        <v>4529677</v>
      </c>
      <c r="M65" s="225">
        <v>8488682</v>
      </c>
      <c r="N65" s="228">
        <v>1670</v>
      </c>
      <c r="O65" s="251">
        <v>45436.70616898148</v>
      </c>
      <c r="P65" s="360">
        <v>64</v>
      </c>
      <c r="Q65" s="244">
        <v>0</v>
      </c>
      <c r="R65" s="387">
        <v>0</v>
      </c>
      <c r="S65" s="401">
        <v>0</v>
      </c>
      <c r="T65" s="512">
        <v>0</v>
      </c>
      <c r="U65" s="512"/>
      <c r="V65" s="512"/>
      <c r="W65" s="483">
        <f>V64*(F64/100)</f>
        <v>0</v>
      </c>
      <c r="X65" s="396"/>
      <c r="Y65" s="354" t="str">
        <f>IFERROR(INT(#REF!/(F64/100)),"")</f>
        <v/>
      </c>
      <c r="Z65" s="382">
        <f>IFERROR(IF(C65&lt;&gt;"",$AA$1/(D63/100)*(C65/100),""),"")</f>
        <v>0.97299766868490345</v>
      </c>
      <c r="AA65" s="383">
        <f>IFERROR($AC$1/(D65/100)*(C63/100),"")</f>
        <v>1228.6516853932585</v>
      </c>
      <c r="AB65" s="469"/>
      <c r="AN65" s="282"/>
    </row>
    <row r="66" spans="1:40" ht="12.75" customHeight="1">
      <c r="A66" s="455" t="s">
        <v>14</v>
      </c>
      <c r="B66" s="530">
        <v>50208</v>
      </c>
      <c r="C66" s="573">
        <v>54.37</v>
      </c>
      <c r="D66" s="574">
        <v>54.5</v>
      </c>
      <c r="E66" s="534">
        <v>105955</v>
      </c>
      <c r="F66" s="554">
        <v>54.5</v>
      </c>
      <c r="G66" s="470">
        <v>-6.3E-3</v>
      </c>
      <c r="H66" s="232">
        <v>54.5</v>
      </c>
      <c r="I66" s="222">
        <v>54.72</v>
      </c>
      <c r="J66" s="256">
        <v>54.02</v>
      </c>
      <c r="K66" s="226">
        <v>54.85</v>
      </c>
      <c r="L66" s="233">
        <v>87180571</v>
      </c>
      <c r="M66" s="226">
        <v>160485238</v>
      </c>
      <c r="N66" s="233">
        <v>78173</v>
      </c>
      <c r="O66" s="252">
        <v>45436.687731481485</v>
      </c>
      <c r="P66" s="359">
        <v>65</v>
      </c>
      <c r="Q66" s="245">
        <v>0</v>
      </c>
      <c r="R66" s="390">
        <v>0</v>
      </c>
      <c r="S66" s="402">
        <v>0</v>
      </c>
      <c r="T66" s="513">
        <v>0</v>
      </c>
      <c r="U66" s="513"/>
      <c r="V66" s="513"/>
      <c r="W66" s="484">
        <f t="shared" si="36"/>
        <v>0</v>
      </c>
      <c r="X66" s="398"/>
      <c r="Y66" s="384">
        <f>IF(D66&lt;&gt;0,($C67*(1-$AB$1))-$D66,0)</f>
        <v>-6.5443999999999392E-2</v>
      </c>
      <c r="Z66" s="385">
        <f>IFERROR(IF(C66&lt;&gt;"",$AA$1/(D62/100)*(C66/100),""),"")</f>
        <v>0.99669929610761665</v>
      </c>
      <c r="AA66" s="386">
        <f>IFERROR($AC$1/(D66/100)*(C62/100),"")</f>
        <v>1198.715596330275</v>
      </c>
      <c r="AB66" s="480"/>
    </row>
    <row r="67" spans="1:40" ht="12.75" customHeight="1">
      <c r="A67" s="439" t="s">
        <v>4</v>
      </c>
      <c r="B67" s="579">
        <v>15000</v>
      </c>
      <c r="C67" s="580">
        <v>54.44</v>
      </c>
      <c r="D67" s="580">
        <v>54.55</v>
      </c>
      <c r="E67" s="579">
        <v>25000</v>
      </c>
      <c r="F67" s="463">
        <v>54.44</v>
      </c>
      <c r="G67" s="473">
        <v>-3.8E-3</v>
      </c>
      <c r="H67" s="440">
        <v>54.5</v>
      </c>
      <c r="I67" s="441">
        <v>54.74</v>
      </c>
      <c r="J67" s="442">
        <v>54.05</v>
      </c>
      <c r="K67" s="443">
        <v>54.65</v>
      </c>
      <c r="L67" s="444">
        <v>16751014</v>
      </c>
      <c r="M67" s="443">
        <v>30824123</v>
      </c>
      <c r="N67" s="444">
        <v>12209</v>
      </c>
      <c r="O67" s="445">
        <v>45436.708425925928</v>
      </c>
      <c r="P67" s="360">
        <v>66</v>
      </c>
      <c r="Q67" s="446">
        <v>0</v>
      </c>
      <c r="R67" s="447">
        <v>0</v>
      </c>
      <c r="S67" s="448">
        <v>0</v>
      </c>
      <c r="T67" s="514">
        <v>0</v>
      </c>
      <c r="U67" s="514"/>
      <c r="V67" s="514"/>
      <c r="W67" s="485">
        <f>V66*(C66/100)</f>
        <v>0</v>
      </c>
      <c r="X67" s="449"/>
      <c r="Y67" s="450" t="str">
        <f>IFERROR(INT(#REF!/(F66/100)),"")</f>
        <v/>
      </c>
      <c r="Z67" s="451">
        <f>IFERROR(IF(C67&lt;&gt;"",$AA$1/(D63/100)*(C67/100),""),"")</f>
        <v>0.9941815518619771</v>
      </c>
      <c r="AA67" s="452">
        <f>IFERROR($AC$1/(D67/100)*(C63/100),"")</f>
        <v>1202.749770852429</v>
      </c>
      <c r="AB67" s="469"/>
    </row>
    <row r="68" spans="1:40" ht="12.75" customHeight="1">
      <c r="A68" s="456" t="s">
        <v>16</v>
      </c>
      <c r="B68" s="530">
        <v>1595</v>
      </c>
      <c r="C68" s="573">
        <v>67100</v>
      </c>
      <c r="D68" s="574">
        <v>67130</v>
      </c>
      <c r="E68" s="534">
        <v>10000</v>
      </c>
      <c r="F68" s="553">
        <v>67100</v>
      </c>
      <c r="G68" s="470">
        <v>-3.1699999999999999E-2</v>
      </c>
      <c r="H68" s="231">
        <v>69300</v>
      </c>
      <c r="I68" s="223">
        <v>69590</v>
      </c>
      <c r="J68" s="255">
        <v>66800</v>
      </c>
      <c r="K68" s="227">
        <v>69300</v>
      </c>
      <c r="L68" s="235">
        <v>7430906234</v>
      </c>
      <c r="M68" s="227">
        <v>10971016</v>
      </c>
      <c r="N68" s="235">
        <v>4439</v>
      </c>
      <c r="O68" s="250">
        <v>45436.687650462962</v>
      </c>
      <c r="P68" s="359">
        <v>67</v>
      </c>
      <c r="Q68" s="246"/>
      <c r="R68" s="388">
        <v>0</v>
      </c>
      <c r="S68" s="400">
        <v>0</v>
      </c>
      <c r="T68" s="511">
        <v>0</v>
      </c>
      <c r="U68" s="511"/>
      <c r="V68" s="511">
        <v>0</v>
      </c>
      <c r="W68" s="481">
        <f t="shared" ref="W68:W80" si="37">(V68*X68)</f>
        <v>0</v>
      </c>
      <c r="X68" s="397"/>
      <c r="Y68" s="374">
        <f>IF(D68&lt;&gt;0,($C69*(1-$AB$1))-$D68,0)</f>
        <v>463.24000000000524</v>
      </c>
      <c r="Z68" s="375"/>
      <c r="AA68" s="376"/>
      <c r="AB68" s="480"/>
    </row>
    <row r="69" spans="1:40" ht="12.75" customHeight="1">
      <c r="A69" s="344" t="s">
        <v>5</v>
      </c>
      <c r="B69" s="529">
        <v>7041</v>
      </c>
      <c r="C69" s="575">
        <v>67600</v>
      </c>
      <c r="D69" s="575">
        <v>67750</v>
      </c>
      <c r="E69" s="529">
        <v>1000</v>
      </c>
      <c r="F69" s="462">
        <v>67600</v>
      </c>
      <c r="G69" s="471">
        <v>-2.7799999999999998E-2</v>
      </c>
      <c r="H69" s="230">
        <v>70400</v>
      </c>
      <c r="I69" s="221">
        <v>70400</v>
      </c>
      <c r="J69" s="254">
        <v>67000</v>
      </c>
      <c r="K69" s="225">
        <v>69540</v>
      </c>
      <c r="L69" s="228">
        <v>11986232353</v>
      </c>
      <c r="M69" s="225">
        <v>17626568</v>
      </c>
      <c r="N69" s="228">
        <v>4011</v>
      </c>
      <c r="O69" s="251">
        <v>45436.70857638889</v>
      </c>
      <c r="P69" s="360">
        <v>68</v>
      </c>
      <c r="Q69" s="244">
        <v>0</v>
      </c>
      <c r="R69" s="387">
        <v>0</v>
      </c>
      <c r="S69" s="401">
        <v>0</v>
      </c>
      <c r="T69" s="512">
        <v>0</v>
      </c>
      <c r="U69" s="512"/>
      <c r="V69" s="512">
        <v>0</v>
      </c>
      <c r="W69" s="355">
        <f>V68*(F69/100)</f>
        <v>0</v>
      </c>
      <c r="X69" s="396"/>
      <c r="Y69" s="353" t="str">
        <f>IFERROR(INT(#REF!/(F68/100)),"")</f>
        <v/>
      </c>
      <c r="Z69" s="377"/>
      <c r="AA69" s="378"/>
      <c r="AB69" s="469"/>
    </row>
    <row r="70" spans="1:40" ht="12.75" hidden="1" customHeight="1">
      <c r="A70" s="455" t="s">
        <v>17</v>
      </c>
      <c r="B70" s="530">
        <v>16465</v>
      </c>
      <c r="C70" s="573">
        <v>31</v>
      </c>
      <c r="D70" s="574">
        <v>55.3</v>
      </c>
      <c r="E70" s="534">
        <v>2255</v>
      </c>
      <c r="F70" s="553">
        <v>54.96</v>
      </c>
      <c r="G70" s="470">
        <v>-6.9999999999999993E-3</v>
      </c>
      <c r="H70" s="232">
        <v>54.85</v>
      </c>
      <c r="I70" s="222">
        <v>57.31</v>
      </c>
      <c r="J70" s="256">
        <v>54.5</v>
      </c>
      <c r="K70" s="226">
        <v>55.35</v>
      </c>
      <c r="L70" s="233">
        <v>1001094</v>
      </c>
      <c r="M70" s="226">
        <v>1822192</v>
      </c>
      <c r="N70" s="233">
        <v>907</v>
      </c>
      <c r="O70" s="252">
        <v>45436.684363425928</v>
      </c>
      <c r="P70" s="359">
        <v>69</v>
      </c>
      <c r="Q70" s="245">
        <v>0</v>
      </c>
      <c r="R70" s="390">
        <v>0</v>
      </c>
      <c r="S70" s="402">
        <v>0</v>
      </c>
      <c r="T70" s="513">
        <v>0</v>
      </c>
      <c r="U70" s="513"/>
      <c r="V70" s="513">
        <v>0</v>
      </c>
      <c r="W70" s="482">
        <f t="shared" ref="W70" si="38">(V70*X70)</f>
        <v>0</v>
      </c>
      <c r="X70" s="399"/>
      <c r="Y70" s="379">
        <f>IF(D70&lt;&gt;0,($C71*(1-$AB$1))-$D70,0)</f>
        <v>-5.255004999999997</v>
      </c>
      <c r="Z70" s="380">
        <f>IFERROR(IF(C70&lt;&gt;"",$AA$1/(D68/100)*(C70/100),""),"")</f>
        <v>0.55355554128167039</v>
      </c>
      <c r="AA70" s="381">
        <f>IFERROR($AC$1/(D70/100)*(C68/100),"")</f>
        <v>1213.3815551537073</v>
      </c>
      <c r="AB70" s="480"/>
    </row>
    <row r="71" spans="1:40" ht="12.75" hidden="1" customHeight="1">
      <c r="A71" s="344" t="s">
        <v>6</v>
      </c>
      <c r="B71" s="529">
        <v>1108</v>
      </c>
      <c r="C71" s="575">
        <v>50.05</v>
      </c>
      <c r="D71" s="575">
        <v>55</v>
      </c>
      <c r="E71" s="529">
        <v>150000</v>
      </c>
      <c r="F71" s="462">
        <v>54.5</v>
      </c>
      <c r="G71" s="555">
        <v>-1.8000000000000002E-2</v>
      </c>
      <c r="H71" s="230">
        <v>54.81</v>
      </c>
      <c r="I71" s="221">
        <v>55.34</v>
      </c>
      <c r="J71" s="254">
        <v>54.5</v>
      </c>
      <c r="K71" s="225">
        <v>55.5</v>
      </c>
      <c r="L71" s="228">
        <v>223901</v>
      </c>
      <c r="M71" s="225">
        <v>408129</v>
      </c>
      <c r="N71" s="228">
        <v>280</v>
      </c>
      <c r="O71" s="251">
        <v>45436.667893518519</v>
      </c>
      <c r="P71" s="360">
        <v>70</v>
      </c>
      <c r="Q71" s="244">
        <v>0</v>
      </c>
      <c r="R71" s="387">
        <v>0</v>
      </c>
      <c r="S71" s="401">
        <v>0</v>
      </c>
      <c r="T71" s="512">
        <v>0</v>
      </c>
      <c r="U71" s="512"/>
      <c r="V71" s="512">
        <v>0</v>
      </c>
      <c r="W71" s="483">
        <f>V70*(F70/100)</f>
        <v>0</v>
      </c>
      <c r="X71" s="396"/>
      <c r="Y71" s="354" t="str">
        <f>IFERROR(INT(#REF!/(F70/100)),"")</f>
        <v/>
      </c>
      <c r="Z71" s="382">
        <f>IFERROR(IF(C71&lt;&gt;"",$AA$1/(D69/100)*(C71/100),""),"")</f>
        <v>0.88554561765801121</v>
      </c>
      <c r="AA71" s="383">
        <f>IFERROR($AC$1/(D71/100)*(C69/100),"")</f>
        <v>1229.090909090909</v>
      </c>
      <c r="AB71" s="469"/>
    </row>
    <row r="72" spans="1:40" ht="12.75" customHeight="1">
      <c r="A72" s="455" t="s">
        <v>18</v>
      </c>
      <c r="B72" s="530">
        <v>300</v>
      </c>
      <c r="C72" s="573">
        <v>55.64</v>
      </c>
      <c r="D72" s="574">
        <v>56.01</v>
      </c>
      <c r="E72" s="534">
        <v>10</v>
      </c>
      <c r="F72" s="554">
        <v>55.9</v>
      </c>
      <c r="G72" s="470">
        <v>-4.7999999999999996E-3</v>
      </c>
      <c r="H72" s="232">
        <v>55.52</v>
      </c>
      <c r="I72" s="222">
        <v>56.4</v>
      </c>
      <c r="J72" s="256">
        <v>55.3</v>
      </c>
      <c r="K72" s="226">
        <v>56.17</v>
      </c>
      <c r="L72" s="233">
        <v>3821209</v>
      </c>
      <c r="M72" s="226">
        <v>6836599</v>
      </c>
      <c r="N72" s="233">
        <v>3416</v>
      </c>
      <c r="O72" s="252">
        <v>45436.685312499998</v>
      </c>
      <c r="P72" s="359">
        <v>71</v>
      </c>
      <c r="Q72" s="245">
        <v>0</v>
      </c>
      <c r="R72" s="390">
        <v>0</v>
      </c>
      <c r="S72" s="402">
        <v>0</v>
      </c>
      <c r="T72" s="513">
        <v>0</v>
      </c>
      <c r="U72" s="513"/>
      <c r="V72" s="513">
        <v>0</v>
      </c>
      <c r="W72" s="484">
        <f t="shared" si="37"/>
        <v>0</v>
      </c>
      <c r="X72" s="398"/>
      <c r="Y72" s="384">
        <f>IF(D72&lt;&gt;0,($C73*(1-$AB$1))-$D72,0)</f>
        <v>4.3980000000090058E-3</v>
      </c>
      <c r="Z72" s="385">
        <f>IFERROR(IF(C72&lt;&gt;"",$AA$1/(D68/100)*(C72/100),""),"")</f>
        <v>0.99354291344877865</v>
      </c>
      <c r="AA72" s="386">
        <f>IFERROR($AC$1/(D72/100)*(C68/100),"")</f>
        <v>1198.0003570790932</v>
      </c>
      <c r="AB72" s="480"/>
    </row>
    <row r="73" spans="1:40" ht="12.75" customHeight="1">
      <c r="A73" s="439" t="s">
        <v>7</v>
      </c>
      <c r="B73" s="579">
        <v>4833</v>
      </c>
      <c r="C73" s="580">
        <v>56.02</v>
      </c>
      <c r="D73" s="580">
        <v>56.24</v>
      </c>
      <c r="E73" s="579">
        <v>175</v>
      </c>
      <c r="F73" s="463">
        <v>56.02</v>
      </c>
      <c r="G73" s="473">
        <v>-3.3E-3</v>
      </c>
      <c r="H73" s="440">
        <v>55</v>
      </c>
      <c r="I73" s="441">
        <v>56.31</v>
      </c>
      <c r="J73" s="442">
        <v>55</v>
      </c>
      <c r="K73" s="443">
        <v>56.21</v>
      </c>
      <c r="L73" s="453">
        <v>1469359</v>
      </c>
      <c r="M73" s="443">
        <v>2628002</v>
      </c>
      <c r="N73" s="444">
        <v>1967</v>
      </c>
      <c r="O73" s="445">
        <v>45436.706134259257</v>
      </c>
      <c r="P73" s="360">
        <v>72</v>
      </c>
      <c r="Q73" s="446">
        <v>0</v>
      </c>
      <c r="R73" s="447">
        <v>0</v>
      </c>
      <c r="S73" s="448">
        <v>0</v>
      </c>
      <c r="T73" s="514">
        <v>0</v>
      </c>
      <c r="U73" s="514"/>
      <c r="V73" s="514">
        <v>0</v>
      </c>
      <c r="W73" s="486">
        <f>V72*(F72/100)</f>
        <v>0</v>
      </c>
      <c r="X73" s="408"/>
      <c r="Y73" s="427" t="str">
        <f>IFERROR(INT(#REF!/(F72/100)),"")</f>
        <v/>
      </c>
      <c r="Z73" s="428">
        <f>IFERROR(IF(C73&lt;&gt;"",$AA$1/(D69/100)*(C73/100),""),"")</f>
        <v>0.99117413588814773</v>
      </c>
      <c r="AA73" s="429">
        <f>IFERROR($AC$1/(D73/100)*(C69/100),"")</f>
        <v>1201.9914651493598</v>
      </c>
      <c r="AB73" s="469"/>
    </row>
    <row r="74" spans="1:40" ht="12.75" customHeight="1">
      <c r="A74" s="456" t="s">
        <v>657</v>
      </c>
      <c r="B74" s="530">
        <v>20000000</v>
      </c>
      <c r="C74" s="573">
        <v>100.9</v>
      </c>
      <c r="D74" s="574">
        <v>101.1</v>
      </c>
      <c r="E74" s="534">
        <v>50147000</v>
      </c>
      <c r="F74" s="553">
        <v>101.1</v>
      </c>
      <c r="G74" s="470">
        <v>2E-3</v>
      </c>
      <c r="H74" s="231">
        <v>101.85</v>
      </c>
      <c r="I74" s="223">
        <v>101.85</v>
      </c>
      <c r="J74" s="255">
        <v>100.801</v>
      </c>
      <c r="K74" s="227">
        <v>100.89</v>
      </c>
      <c r="L74" s="235">
        <v>17373790599</v>
      </c>
      <c r="M74" s="227">
        <v>17196391701</v>
      </c>
      <c r="N74" s="235">
        <v>1041</v>
      </c>
      <c r="O74" s="250">
        <v>45436.687789351854</v>
      </c>
      <c r="P74" s="359">
        <v>73</v>
      </c>
      <c r="Q74" s="246">
        <v>0</v>
      </c>
      <c r="R74" s="388">
        <v>0</v>
      </c>
      <c r="S74" s="400">
        <v>0</v>
      </c>
      <c r="T74" s="511">
        <v>0</v>
      </c>
      <c r="U74" s="511"/>
      <c r="V74" s="511"/>
      <c r="W74" s="487">
        <f>V74*X74</f>
        <v>0</v>
      </c>
      <c r="X74" s="397"/>
      <c r="Y74" s="374">
        <f>IF(D74&lt;&gt;0,($C75*(1-$AB$1))-$D74,0)</f>
        <v>0.20086890000001745</v>
      </c>
      <c r="Z74" s="375"/>
      <c r="AA74" s="376"/>
      <c r="AB74" s="480"/>
    </row>
    <row r="75" spans="1:40" ht="12.75" customHeight="1">
      <c r="A75" s="344" t="s">
        <v>658</v>
      </c>
      <c r="B75" s="529">
        <v>1913619</v>
      </c>
      <c r="C75" s="575">
        <v>101.31100000000001</v>
      </c>
      <c r="D75" s="575">
        <v>101.4</v>
      </c>
      <c r="E75" s="529">
        <v>98539411</v>
      </c>
      <c r="F75" s="462">
        <v>101.4</v>
      </c>
      <c r="G75" s="471">
        <v>1.9E-3</v>
      </c>
      <c r="H75" s="230">
        <v>102.25</v>
      </c>
      <c r="I75" s="221">
        <v>102.25</v>
      </c>
      <c r="J75" s="254">
        <v>101.3</v>
      </c>
      <c r="K75" s="225">
        <v>101.2</v>
      </c>
      <c r="L75" s="228">
        <v>41187831475</v>
      </c>
      <c r="M75" s="225">
        <v>40643951575</v>
      </c>
      <c r="N75" s="228">
        <v>1058</v>
      </c>
      <c r="O75" s="251">
        <v>45436.708379629628</v>
      </c>
      <c r="P75" s="360">
        <v>74</v>
      </c>
      <c r="Q75" s="244">
        <v>0</v>
      </c>
      <c r="R75" s="387">
        <v>0</v>
      </c>
      <c r="S75" s="401">
        <v>0</v>
      </c>
      <c r="T75" s="512">
        <v>0</v>
      </c>
      <c r="U75" s="512"/>
      <c r="V75" s="512">
        <v>0</v>
      </c>
      <c r="W75" s="289">
        <f>V74*(F74/100)</f>
        <v>0</v>
      </c>
      <c r="X75" s="396"/>
      <c r="Y75" s="353" t="str">
        <f>IFERROR(INT(#REF!/(F74/100)),"")</f>
        <v/>
      </c>
      <c r="Z75" s="377"/>
      <c r="AA75" s="378"/>
      <c r="AB75" s="469"/>
    </row>
    <row r="76" spans="1:40" ht="12.75" customHeight="1">
      <c r="A76" s="455" t="s">
        <v>659</v>
      </c>
      <c r="B76" s="530">
        <v>500000000</v>
      </c>
      <c r="C76" s="573">
        <v>8.2000000000000003E-2</v>
      </c>
      <c r="D76" s="574">
        <v>8.3000000000000004E-2</v>
      </c>
      <c r="E76" s="534">
        <v>1521466565</v>
      </c>
      <c r="F76" s="553">
        <v>8.3000000000000004E-2</v>
      </c>
      <c r="G76" s="470">
        <v>3.7499999999999999E-2</v>
      </c>
      <c r="H76" s="232">
        <v>8.1000000000000003E-2</v>
      </c>
      <c r="I76" s="222">
        <v>8.4000000000000005E-2</v>
      </c>
      <c r="J76" s="256">
        <v>8.1000000000000003E-2</v>
      </c>
      <c r="K76" s="226">
        <v>0.08</v>
      </c>
      <c r="L76" s="233">
        <v>6078295</v>
      </c>
      <c r="M76" s="226">
        <v>7399991711</v>
      </c>
      <c r="N76" s="233">
        <v>356</v>
      </c>
      <c r="O76" s="252">
        <v>45436.673726851855</v>
      </c>
      <c r="P76" s="359">
        <v>75</v>
      </c>
      <c r="Q76" s="245">
        <v>0</v>
      </c>
      <c r="R76" s="390">
        <v>0</v>
      </c>
      <c r="S76" s="402">
        <v>0</v>
      </c>
      <c r="T76" s="513">
        <v>0</v>
      </c>
      <c r="U76" s="513"/>
      <c r="V76" s="513">
        <v>0</v>
      </c>
      <c r="W76" s="488">
        <f t="shared" ref="W76" si="39">(V76*X76)</f>
        <v>0</v>
      </c>
      <c r="X76" s="399"/>
      <c r="Y76" s="379">
        <f>IF(D76&lt;&gt;0,($C77*(1-$AB$1))-$D76,0)</f>
        <v>-8.3000000000000004E-2</v>
      </c>
      <c r="Z76" s="380">
        <f>IFERROR(IF(C76&lt;&gt;"",$AA$1/(D74/100)*(C76/100),""),"")</f>
        <v>0.97225201680596007</v>
      </c>
      <c r="AA76" s="381">
        <f>IFERROR($AC$1/(D76/100)*(C74/100),"")</f>
        <v>1215.6626506024097</v>
      </c>
      <c r="AB76" s="480"/>
    </row>
    <row r="77" spans="1:40" ht="12.75" customHeight="1">
      <c r="A77" s="344" t="s">
        <v>660</v>
      </c>
      <c r="B77" s="529"/>
      <c r="C77" s="575"/>
      <c r="D77" s="575"/>
      <c r="E77" s="529"/>
      <c r="F77" s="462"/>
      <c r="G77" s="555"/>
      <c r="H77" s="230"/>
      <c r="I77" s="221"/>
      <c r="J77" s="254"/>
      <c r="K77" s="225">
        <v>0.09</v>
      </c>
      <c r="L77" s="228"/>
      <c r="M77" s="225"/>
      <c r="N77" s="228"/>
      <c r="O77" s="251"/>
      <c r="P77" s="360">
        <v>76</v>
      </c>
      <c r="Q77" s="244">
        <v>0</v>
      </c>
      <c r="R77" s="387">
        <v>0</v>
      </c>
      <c r="S77" s="401">
        <v>0</v>
      </c>
      <c r="T77" s="512">
        <v>0</v>
      </c>
      <c r="U77" s="512"/>
      <c r="V77" s="512">
        <v>0</v>
      </c>
      <c r="W77" s="489">
        <f>V76*(F76/100)</f>
        <v>0</v>
      </c>
      <c r="X77" s="396"/>
      <c r="Y77" s="354" t="str">
        <f>IFERROR(INT(#REF!/(F76/100)),"")</f>
        <v/>
      </c>
      <c r="Z77" s="382" t="str">
        <f>IFERROR(IF(C77&lt;&gt;"",$AA$1/(D75/100)*(C77/100),""),"")</f>
        <v/>
      </c>
      <c r="AA77" s="383" t="str">
        <f>IFERROR($AC$1/(D77/100)*(C75/100),"")</f>
        <v/>
      </c>
      <c r="AB77" s="469"/>
    </row>
    <row r="78" spans="1:40" ht="12.75" customHeight="1">
      <c r="A78" s="455" t="s">
        <v>661</v>
      </c>
      <c r="B78" s="530">
        <v>1800000000</v>
      </c>
      <c r="C78" s="573">
        <v>8.3000000000000004E-2</v>
      </c>
      <c r="D78" s="574">
        <v>8.5000000000000006E-2</v>
      </c>
      <c r="E78" s="534">
        <v>2908375609</v>
      </c>
      <c r="F78" s="554">
        <v>8.5000000000000006E-2</v>
      </c>
      <c r="G78" s="470">
        <v>2.4E-2</v>
      </c>
      <c r="H78" s="232">
        <v>8.2000000000000003E-2</v>
      </c>
      <c r="I78" s="222">
        <v>8.5000000000000006E-2</v>
      </c>
      <c r="J78" s="256">
        <v>8.2000000000000003E-2</v>
      </c>
      <c r="K78" s="226">
        <v>8.3000000000000004E-2</v>
      </c>
      <c r="L78" s="233">
        <v>3020242</v>
      </c>
      <c r="M78" s="226">
        <v>3619802724</v>
      </c>
      <c r="N78" s="233">
        <v>256</v>
      </c>
      <c r="O78" s="252">
        <v>45436.685254629629</v>
      </c>
      <c r="P78" s="359">
        <v>77</v>
      </c>
      <c r="Q78" s="245">
        <v>0</v>
      </c>
      <c r="R78" s="390">
        <v>0</v>
      </c>
      <c r="S78" s="402">
        <v>0</v>
      </c>
      <c r="T78" s="513">
        <v>0</v>
      </c>
      <c r="U78" s="513"/>
      <c r="V78" s="513">
        <v>0</v>
      </c>
      <c r="W78" s="490">
        <f t="shared" si="37"/>
        <v>0</v>
      </c>
      <c r="X78" s="398"/>
      <c r="Y78" s="384">
        <f>IF(D78&lt;&gt;0,($C79*(1-$AB$1))-$D78,0)</f>
        <v>-3.0082000000000025E-3</v>
      </c>
      <c r="Z78" s="385">
        <f>IFERROR(IF(C78&lt;&gt;"",$AA$1/(D74/100)*(C78/100),""),"")</f>
        <v>0.98410874871822784</v>
      </c>
      <c r="AA78" s="386">
        <f>IFERROR($AC$1/(D78/100)*(C74/100),"")</f>
        <v>1187.0588235294119</v>
      </c>
      <c r="AB78" s="480"/>
      <c r="AC78"/>
    </row>
    <row r="79" spans="1:40" ht="12.75" customHeight="1">
      <c r="A79" s="439" t="s">
        <v>662</v>
      </c>
      <c r="B79" s="579">
        <v>298</v>
      </c>
      <c r="C79" s="580">
        <v>8.2000000000000003E-2</v>
      </c>
      <c r="D79" s="580">
        <v>9.1999999999999998E-2</v>
      </c>
      <c r="E79" s="579">
        <v>49647506</v>
      </c>
      <c r="F79" s="463">
        <v>8.5000000000000006E-2</v>
      </c>
      <c r="G79" s="473">
        <v>1.1899999999999999E-2</v>
      </c>
      <c r="H79" s="440">
        <v>8.2000000000000003E-2</v>
      </c>
      <c r="I79" s="441">
        <v>8.5000000000000006E-2</v>
      </c>
      <c r="J79" s="442">
        <v>8.2000000000000003E-2</v>
      </c>
      <c r="K79" s="443">
        <v>8.4000000000000005E-2</v>
      </c>
      <c r="L79" s="444">
        <v>255</v>
      </c>
      <c r="M79" s="443">
        <v>301652</v>
      </c>
      <c r="N79" s="444">
        <v>5</v>
      </c>
      <c r="O79" s="445">
        <v>45436.678530092591</v>
      </c>
      <c r="P79" s="360">
        <v>78</v>
      </c>
      <c r="Q79" s="446">
        <v>0</v>
      </c>
      <c r="R79" s="447">
        <v>0</v>
      </c>
      <c r="S79" s="448">
        <v>0</v>
      </c>
      <c r="T79" s="514">
        <v>0</v>
      </c>
      <c r="U79" s="514"/>
      <c r="V79" s="514">
        <v>0</v>
      </c>
      <c r="W79" s="491">
        <f>V78*(F78/100)</f>
        <v>0</v>
      </c>
      <c r="X79" s="408"/>
      <c r="Y79" s="427" t="str">
        <f>IFERROR(INT(#REF!/(F78/100)),"")</f>
        <v/>
      </c>
      <c r="Z79" s="428">
        <f>IFERROR(IF(C79&lt;&gt;"",$AA$1/(D75/100)*(C79/100),""),"")</f>
        <v>0.96937553154913758</v>
      </c>
      <c r="AA79" s="429">
        <f>IFERROR($AC$1/(D79/100)*(C75/100),"")</f>
        <v>1101.2065217391307</v>
      </c>
      <c r="AB79" s="469"/>
      <c r="AC79"/>
    </row>
    <row r="80" spans="1:40" ht="12.75" customHeight="1">
      <c r="A80" s="456" t="s">
        <v>663</v>
      </c>
      <c r="B80" s="530">
        <v>203000</v>
      </c>
      <c r="C80" s="573">
        <v>101.04</v>
      </c>
      <c r="D80" s="574">
        <v>101.29</v>
      </c>
      <c r="E80" s="534">
        <v>100000</v>
      </c>
      <c r="F80" s="553">
        <v>101.05</v>
      </c>
      <c r="G80" s="470">
        <v>-8.9999999999999998E-4</v>
      </c>
      <c r="H80" s="231">
        <v>101.899</v>
      </c>
      <c r="I80" s="223">
        <v>101.899</v>
      </c>
      <c r="J80" s="255">
        <v>100.9</v>
      </c>
      <c r="K80" s="227">
        <v>101.15</v>
      </c>
      <c r="L80" s="235">
        <v>1628437539</v>
      </c>
      <c r="M80" s="227">
        <v>1610853960</v>
      </c>
      <c r="N80" s="235">
        <v>157</v>
      </c>
      <c r="O80" s="250">
        <v>45436.676006944443</v>
      </c>
      <c r="P80" s="359">
        <v>79</v>
      </c>
      <c r="Q80" s="246">
        <v>0</v>
      </c>
      <c r="R80" s="388">
        <v>0</v>
      </c>
      <c r="S80" s="400">
        <v>0</v>
      </c>
      <c r="T80" s="511">
        <v>0</v>
      </c>
      <c r="U80" s="511"/>
      <c r="V80" s="511"/>
      <c r="W80" s="487">
        <f t="shared" si="37"/>
        <v>0</v>
      </c>
      <c r="X80" s="397"/>
      <c r="Y80" s="374">
        <f>IF(D80&lt;&gt;0,($C81*(1-$AB$1))-$D80,0)</f>
        <v>-9.0121000000010554E-2</v>
      </c>
      <c r="Z80" s="375"/>
      <c r="AA80" s="376"/>
      <c r="AB80" s="480"/>
      <c r="AC80"/>
    </row>
    <row r="81" spans="1:29" ht="12.75" customHeight="1">
      <c r="A81" s="344" t="s">
        <v>664</v>
      </c>
      <c r="B81" s="529">
        <v>93113984</v>
      </c>
      <c r="C81" s="575">
        <v>101.21</v>
      </c>
      <c r="D81" s="575">
        <v>101.29</v>
      </c>
      <c r="E81" s="529">
        <v>14999030</v>
      </c>
      <c r="F81" s="462">
        <v>101.21</v>
      </c>
      <c r="G81" s="471">
        <v>-2.9999999999999997E-4</v>
      </c>
      <c r="H81" s="230">
        <v>102.3</v>
      </c>
      <c r="I81" s="221">
        <v>102.35</v>
      </c>
      <c r="J81" s="254">
        <v>101.12</v>
      </c>
      <c r="K81" s="225">
        <v>101.25</v>
      </c>
      <c r="L81" s="228">
        <v>13536784431</v>
      </c>
      <c r="M81" s="225">
        <v>13359828319</v>
      </c>
      <c r="N81" s="228">
        <v>726</v>
      </c>
      <c r="O81" s="251">
        <v>45436.708506944444</v>
      </c>
      <c r="P81" s="360">
        <v>80</v>
      </c>
      <c r="Q81" s="244">
        <v>0</v>
      </c>
      <c r="R81" s="387">
        <v>0</v>
      </c>
      <c r="S81" s="401">
        <v>0</v>
      </c>
      <c r="T81" s="512">
        <v>0</v>
      </c>
      <c r="U81" s="512"/>
      <c r="V81" s="512"/>
      <c r="W81" s="289">
        <f>V80*(D81/100)</f>
        <v>0</v>
      </c>
      <c r="X81" s="396"/>
      <c r="Y81" s="353" t="str">
        <f>IFERROR(INT(#REF!/(F80/100)),"")</f>
        <v/>
      </c>
      <c r="Z81" s="377"/>
      <c r="AA81" s="378"/>
      <c r="AB81" s="469"/>
      <c r="AC81"/>
    </row>
    <row r="82" spans="1:29" ht="12.75" customHeight="1">
      <c r="A82" s="455" t="s">
        <v>665</v>
      </c>
      <c r="B82" s="530"/>
      <c r="C82" s="573"/>
      <c r="D82" s="574"/>
      <c r="E82" s="534"/>
      <c r="F82" s="553"/>
      <c r="G82" s="470"/>
      <c r="H82" s="232"/>
      <c r="I82" s="222"/>
      <c r="J82" s="256"/>
      <c r="K82" s="226">
        <v>0.09</v>
      </c>
      <c r="L82" s="233"/>
      <c r="M82" s="226"/>
      <c r="N82" s="233"/>
      <c r="O82" s="252"/>
      <c r="P82" s="359">
        <v>81</v>
      </c>
      <c r="Q82" s="245">
        <v>0</v>
      </c>
      <c r="R82" s="390">
        <v>0</v>
      </c>
      <c r="S82" s="402">
        <v>0</v>
      </c>
      <c r="T82" s="513">
        <v>0</v>
      </c>
      <c r="U82" s="513"/>
      <c r="V82" s="513"/>
      <c r="W82" s="488">
        <f t="shared" ref="W82" si="40">(V82*X82)</f>
        <v>0</v>
      </c>
      <c r="X82" s="399"/>
      <c r="Y82" s="379">
        <f>IF(D82&lt;&gt;0,($C83*(1-$AB$1))-$D82,0)</f>
        <v>0</v>
      </c>
      <c r="Z82" s="380" t="str">
        <f>IFERROR(IF(C82&lt;&gt;"",$AA$1/(D80/100)*(C82/100),""),"")</f>
        <v/>
      </c>
      <c r="AA82" s="381" t="str">
        <f t="shared" ref="AA82:AA83" si="41">IFERROR($AC$1/(D82/100)*(C80/100),"")</f>
        <v/>
      </c>
      <c r="AB82" s="480"/>
      <c r="AC82"/>
    </row>
    <row r="83" spans="1:29" ht="12.75" customHeight="1">
      <c r="A83" s="344" t="s">
        <v>666</v>
      </c>
      <c r="B83" s="529"/>
      <c r="C83" s="575"/>
      <c r="D83" s="575"/>
      <c r="E83" s="529"/>
      <c r="F83" s="462"/>
      <c r="G83" s="555"/>
      <c r="H83" s="230"/>
      <c r="I83" s="221"/>
      <c r="J83" s="254"/>
      <c r="K83" s="225">
        <v>0.09</v>
      </c>
      <c r="L83" s="228"/>
      <c r="M83" s="225"/>
      <c r="N83" s="228"/>
      <c r="O83" s="251"/>
      <c r="P83" s="360">
        <v>82</v>
      </c>
      <c r="Q83" s="244">
        <v>0</v>
      </c>
      <c r="R83" s="387">
        <v>0</v>
      </c>
      <c r="S83" s="401">
        <v>0</v>
      </c>
      <c r="T83" s="512">
        <v>0</v>
      </c>
      <c r="U83" s="512"/>
      <c r="V83" s="512">
        <v>0</v>
      </c>
      <c r="W83" s="489">
        <f>V82*(F82/100)</f>
        <v>0</v>
      </c>
      <c r="X83" s="396"/>
      <c r="Y83" s="354" t="str">
        <f>IFERROR(INT(#REF!/(F82/100)),"")</f>
        <v/>
      </c>
      <c r="Z83" s="382" t="str">
        <f>IFERROR(IF(C83&lt;&gt;"",$AA$1/(D81/100)*(C83/100),""),"")</f>
        <v/>
      </c>
      <c r="AA83" s="383" t="str">
        <f t="shared" si="41"/>
        <v/>
      </c>
      <c r="AB83" s="469"/>
      <c r="AC83"/>
    </row>
    <row r="84" spans="1:29" ht="12.75" customHeight="1">
      <c r="A84" s="455" t="s">
        <v>667</v>
      </c>
      <c r="B84" s="530"/>
      <c r="C84" s="573"/>
      <c r="D84" s="574"/>
      <c r="E84" s="534"/>
      <c r="F84" s="554"/>
      <c r="G84" s="470"/>
      <c r="H84" s="232"/>
      <c r="I84" s="222"/>
      <c r="J84" s="256"/>
      <c r="K84" s="226">
        <v>0.09</v>
      </c>
      <c r="L84" s="233"/>
      <c r="M84" s="226"/>
      <c r="N84" s="233"/>
      <c r="O84" s="252"/>
      <c r="P84" s="359">
        <v>83</v>
      </c>
      <c r="Q84" s="245">
        <v>0</v>
      </c>
      <c r="R84" s="390">
        <v>0</v>
      </c>
      <c r="S84" s="402">
        <v>0</v>
      </c>
      <c r="T84" s="513">
        <v>0</v>
      </c>
      <c r="U84" s="513"/>
      <c r="V84" s="513">
        <v>0</v>
      </c>
      <c r="W84" s="490">
        <f t="shared" ref="W84" si="42">(V84*X84)</f>
        <v>0</v>
      </c>
      <c r="X84" s="398"/>
      <c r="Y84" s="384">
        <f>IF(D84&lt;&gt;0,($C85*(1-$AB$1))-$D84,0)</f>
        <v>0</v>
      </c>
      <c r="Z84" s="385" t="str">
        <f>IFERROR(IF(C84&lt;&gt;"",$AA$1/(D80/100)*(C84/100),""),"")</f>
        <v/>
      </c>
      <c r="AA84" s="386" t="str">
        <f t="shared" ref="AA84:AA85" si="43">IFERROR($AC$1/(D84/100)*(C80/100),"")</f>
        <v/>
      </c>
      <c r="AB84" s="480"/>
      <c r="AC84"/>
    </row>
    <row r="85" spans="1:29" ht="12.75" customHeight="1">
      <c r="A85" s="439" t="s">
        <v>668</v>
      </c>
      <c r="B85" s="579"/>
      <c r="C85" s="580"/>
      <c r="D85" s="580"/>
      <c r="E85" s="579"/>
      <c r="F85" s="463"/>
      <c r="G85" s="473"/>
      <c r="H85" s="440"/>
      <c r="I85" s="441"/>
      <c r="J85" s="442"/>
      <c r="K85" s="443">
        <v>0.09</v>
      </c>
      <c r="L85" s="444"/>
      <c r="M85" s="443"/>
      <c r="N85" s="444"/>
      <c r="O85" s="445"/>
      <c r="P85" s="360">
        <v>84</v>
      </c>
      <c r="Q85" s="446">
        <v>0</v>
      </c>
      <c r="R85" s="447">
        <v>0</v>
      </c>
      <c r="S85" s="448">
        <v>0</v>
      </c>
      <c r="T85" s="514">
        <v>0</v>
      </c>
      <c r="U85" s="514"/>
      <c r="V85" s="514">
        <v>0</v>
      </c>
      <c r="W85" s="492">
        <f>V84*(F84/100)</f>
        <v>0</v>
      </c>
      <c r="X85" s="408"/>
      <c r="Y85" s="427" t="str">
        <f>IFERROR(INT(#REF!/(F84/100)),"")</f>
        <v/>
      </c>
      <c r="Z85" s="428" t="str">
        <f>IFERROR(IF(C85&lt;&gt;"",$AA$1/(D81/100)*(C85/100),""),"")</f>
        <v/>
      </c>
      <c r="AA85" s="429" t="str">
        <f t="shared" si="43"/>
        <v/>
      </c>
      <c r="AB85" s="469"/>
      <c r="AC85"/>
    </row>
    <row r="86" spans="1:29" ht="12.75" customHeight="1">
      <c r="A86" s="456" t="s">
        <v>546</v>
      </c>
      <c r="B86" s="530">
        <v>241</v>
      </c>
      <c r="C86" s="573">
        <v>55820</v>
      </c>
      <c r="D86" s="574">
        <v>55830</v>
      </c>
      <c r="E86" s="534">
        <v>6</v>
      </c>
      <c r="F86" s="553">
        <v>55830</v>
      </c>
      <c r="G86" s="470">
        <v>-4.2300000000000004E-2</v>
      </c>
      <c r="H86" s="231">
        <v>58400</v>
      </c>
      <c r="I86" s="223">
        <v>58550</v>
      </c>
      <c r="J86" s="255">
        <v>55800</v>
      </c>
      <c r="K86" s="227">
        <v>58300</v>
      </c>
      <c r="L86" s="235">
        <v>394517249</v>
      </c>
      <c r="M86" s="227">
        <v>698254</v>
      </c>
      <c r="N86" s="235">
        <v>1455</v>
      </c>
      <c r="O86" s="250">
        <v>45436.687638888892</v>
      </c>
      <c r="P86" s="359">
        <v>85</v>
      </c>
      <c r="Q86" s="246">
        <v>0</v>
      </c>
      <c r="R86" s="388">
        <v>0</v>
      </c>
      <c r="S86" s="400">
        <v>0</v>
      </c>
      <c r="T86" s="511">
        <v>0</v>
      </c>
      <c r="U86" s="511"/>
      <c r="V86" s="511"/>
      <c r="W86" s="487">
        <f t="shared" ref="W86" si="44">(V86*X86)</f>
        <v>0</v>
      </c>
      <c r="X86" s="397"/>
      <c r="Y86" s="374">
        <f>IF(D86&lt;&gt;0,($C87*(1-$AB$1))-$D86,0)</f>
        <v>514.36499999999796</v>
      </c>
      <c r="Z86" s="375"/>
      <c r="AA86" s="376"/>
      <c r="AB86" s="480"/>
      <c r="AC86"/>
    </row>
    <row r="87" spans="1:29" ht="12.75" customHeight="1">
      <c r="A87" s="344" t="s">
        <v>182</v>
      </c>
      <c r="B87" s="529">
        <v>1016</v>
      </c>
      <c r="C87" s="575">
        <v>56350</v>
      </c>
      <c r="D87" s="575">
        <v>56400</v>
      </c>
      <c r="E87" s="529">
        <v>8911</v>
      </c>
      <c r="F87" s="462">
        <v>56400</v>
      </c>
      <c r="G87" s="471">
        <v>-3.2500000000000001E-2</v>
      </c>
      <c r="H87" s="230">
        <v>58300</v>
      </c>
      <c r="I87" s="221">
        <v>59180</v>
      </c>
      <c r="J87" s="254">
        <v>55700</v>
      </c>
      <c r="K87" s="225">
        <v>58300</v>
      </c>
      <c r="L87" s="228">
        <v>2698717299</v>
      </c>
      <c r="M87" s="225">
        <v>4772565</v>
      </c>
      <c r="N87" s="228">
        <v>2928</v>
      </c>
      <c r="O87" s="251">
        <v>45436.708368055559</v>
      </c>
      <c r="P87" s="360">
        <v>86</v>
      </c>
      <c r="Q87" s="244">
        <v>0</v>
      </c>
      <c r="R87" s="387">
        <v>0</v>
      </c>
      <c r="S87" s="401">
        <v>0</v>
      </c>
      <c r="T87" s="512">
        <v>0</v>
      </c>
      <c r="U87" s="512"/>
      <c r="V87" s="512">
        <v>0</v>
      </c>
      <c r="W87" s="289">
        <f>V86*(F86/100)</f>
        <v>0</v>
      </c>
      <c r="X87" s="396"/>
      <c r="Y87" s="353" t="str">
        <f>IFERROR(INT(#REF!/(F86/100)),"")</f>
        <v/>
      </c>
      <c r="Z87" s="377"/>
      <c r="AA87" s="378"/>
      <c r="AB87" s="469"/>
      <c r="AC87"/>
    </row>
    <row r="88" spans="1:29">
      <c r="A88" s="455" t="s">
        <v>547</v>
      </c>
      <c r="B88" s="530"/>
      <c r="C88" s="573"/>
      <c r="D88" s="574"/>
      <c r="E88" s="534"/>
      <c r="F88" s="553"/>
      <c r="G88" s="470"/>
      <c r="H88" s="232"/>
      <c r="I88" s="222"/>
      <c r="J88" s="222"/>
      <c r="K88" s="243">
        <v>52.5</v>
      </c>
      <c r="L88" s="233"/>
      <c r="M88" s="226"/>
      <c r="N88" s="233"/>
      <c r="O88" s="252"/>
      <c r="P88" s="359">
        <v>87</v>
      </c>
      <c r="Q88" s="245">
        <v>0</v>
      </c>
      <c r="R88" s="390">
        <v>0</v>
      </c>
      <c r="S88" s="402">
        <v>0</v>
      </c>
      <c r="T88" s="513">
        <v>0</v>
      </c>
      <c r="U88" s="513"/>
      <c r="V88" s="513"/>
      <c r="W88" s="488">
        <f t="shared" ref="W88" si="45">(V88*X88)</f>
        <v>0</v>
      </c>
      <c r="X88" s="399"/>
      <c r="Y88" s="379">
        <f>IF(D88&lt;&gt;0,($C89*(1-$AB$1))-$D88,0)</f>
        <v>0</v>
      </c>
      <c r="Z88" s="380" t="str">
        <f>IFERROR(IF(C88&lt;&gt;"",$AA$1/(D86/100)*(C88/100),""),"")</f>
        <v/>
      </c>
      <c r="AA88" s="381" t="str">
        <f t="shared" ref="AA88:AA89" si="46">IFERROR($AC$1/(D88/100)*(C86/100),"")</f>
        <v/>
      </c>
      <c r="AB88" s="480"/>
      <c r="AC88"/>
    </row>
    <row r="89" spans="1:29" ht="12.75" customHeight="1">
      <c r="A89" s="344" t="s">
        <v>229</v>
      </c>
      <c r="B89" s="529"/>
      <c r="C89" s="575"/>
      <c r="D89" s="575"/>
      <c r="E89" s="529"/>
      <c r="F89" s="462"/>
      <c r="G89" s="555"/>
      <c r="H89" s="230"/>
      <c r="I89" s="221"/>
      <c r="J89" s="221"/>
      <c r="K89" s="240">
        <v>46</v>
      </c>
      <c r="L89" s="228"/>
      <c r="M89" s="225"/>
      <c r="N89" s="228"/>
      <c r="O89" s="251"/>
      <c r="P89" s="360">
        <v>88</v>
      </c>
      <c r="Q89" s="244">
        <v>0</v>
      </c>
      <c r="R89" s="387">
        <v>0</v>
      </c>
      <c r="S89" s="401">
        <v>0</v>
      </c>
      <c r="T89" s="512">
        <v>0</v>
      </c>
      <c r="U89" s="512"/>
      <c r="V89" s="512">
        <v>0</v>
      </c>
      <c r="W89" s="489">
        <f>V88*(F88/100)</f>
        <v>0</v>
      </c>
      <c r="X89" s="396"/>
      <c r="Y89" s="354" t="str">
        <f>IFERROR(INT(#REF!/(F88/100)),"")</f>
        <v/>
      </c>
      <c r="Z89" s="382" t="str">
        <f>IFERROR(IF(C89&lt;&gt;"",$AA$1/(D87/100)*(C89/100),""),"")</f>
        <v/>
      </c>
      <c r="AA89" s="383" t="str">
        <f t="shared" si="46"/>
        <v/>
      </c>
      <c r="AB89" s="469"/>
      <c r="AC89"/>
    </row>
    <row r="90" spans="1:29" ht="12.75" customHeight="1">
      <c r="A90" s="455" t="s">
        <v>548</v>
      </c>
      <c r="B90" s="530">
        <v>970</v>
      </c>
      <c r="C90" s="573">
        <v>46.5</v>
      </c>
      <c r="D90" s="574">
        <v>47</v>
      </c>
      <c r="E90" s="534">
        <v>745</v>
      </c>
      <c r="F90" s="554">
        <v>46.5</v>
      </c>
      <c r="G90" s="470">
        <v>-1.9400000000000001E-2</v>
      </c>
      <c r="H90" s="232">
        <v>48</v>
      </c>
      <c r="I90" s="222">
        <v>48</v>
      </c>
      <c r="J90" s="222">
        <v>45.7</v>
      </c>
      <c r="K90" s="243">
        <v>47.42</v>
      </c>
      <c r="L90" s="233">
        <v>186437</v>
      </c>
      <c r="M90" s="226">
        <v>399095</v>
      </c>
      <c r="N90" s="233">
        <v>466</v>
      </c>
      <c r="O90" s="252">
        <v>45436.687673611108</v>
      </c>
      <c r="P90" s="359">
        <v>89</v>
      </c>
      <c r="Q90" s="245">
        <v>0</v>
      </c>
      <c r="R90" s="390">
        <v>0</v>
      </c>
      <c r="S90" s="402">
        <v>0</v>
      </c>
      <c r="T90" s="513">
        <v>0</v>
      </c>
      <c r="U90" s="513"/>
      <c r="V90" s="513">
        <v>0</v>
      </c>
      <c r="W90" s="490">
        <f t="shared" ref="W90" si="47">(V90*X90)</f>
        <v>0</v>
      </c>
      <c r="X90" s="398"/>
      <c r="Y90" s="384">
        <f>IF(D90&lt;&gt;0,($C91*(1-$AB$1))-$D90,0)</f>
        <v>-0.25467499999999887</v>
      </c>
      <c r="Z90" s="385">
        <f>IFERROR(IF(C90&lt;&gt;"",$AA$1/(D86/100)*(C90/100),""),"")</f>
        <v>0.99839289323585512</v>
      </c>
      <c r="AA90" s="386">
        <f t="shared" ref="AA90:AA91" si="48">IFERROR($AC$1/(D90/100)*(C86/100),"")</f>
        <v>1187.6595744680851</v>
      </c>
      <c r="AB90" s="480"/>
      <c r="AC90"/>
    </row>
    <row r="91" spans="1:29" ht="12.75" customHeight="1">
      <c r="A91" s="439" t="s">
        <v>230</v>
      </c>
      <c r="B91" s="579">
        <v>2079</v>
      </c>
      <c r="C91" s="580">
        <v>46.75</v>
      </c>
      <c r="D91" s="580">
        <v>47</v>
      </c>
      <c r="E91" s="579">
        <v>3996</v>
      </c>
      <c r="F91" s="463">
        <v>46.75</v>
      </c>
      <c r="G91" s="473">
        <v>-1.6799999999999999E-2</v>
      </c>
      <c r="H91" s="440">
        <v>47.5</v>
      </c>
      <c r="I91" s="441">
        <v>48.085000000000001</v>
      </c>
      <c r="J91" s="441">
        <v>46.1</v>
      </c>
      <c r="K91" s="454">
        <v>47.55</v>
      </c>
      <c r="L91" s="444">
        <v>405449</v>
      </c>
      <c r="M91" s="443">
        <v>865914</v>
      </c>
      <c r="N91" s="444">
        <v>654</v>
      </c>
      <c r="O91" s="445">
        <v>45436.708541666667</v>
      </c>
      <c r="P91" s="360">
        <v>90</v>
      </c>
      <c r="Q91" s="446">
        <v>0</v>
      </c>
      <c r="R91" s="447">
        <v>0</v>
      </c>
      <c r="S91" s="448">
        <v>0</v>
      </c>
      <c r="T91" s="514">
        <v>0</v>
      </c>
      <c r="U91" s="514"/>
      <c r="V91" s="514">
        <v>0</v>
      </c>
      <c r="W91" s="492">
        <f>V90*(F90/100)</f>
        <v>0</v>
      </c>
      <c r="X91" s="408"/>
      <c r="Y91" s="427" t="str">
        <f>IFERROR(INT(#REF!/(F90/100)),"")</f>
        <v/>
      </c>
      <c r="Z91" s="428">
        <f>IFERROR(IF(C91&lt;&gt;"",$AA$1/(D87/100)*(C91/100),""),"")</f>
        <v>0.99361620795107031</v>
      </c>
      <c r="AA91" s="429">
        <f t="shared" si="48"/>
        <v>1198.936170212766</v>
      </c>
      <c r="AB91" s="469"/>
      <c r="AC91"/>
    </row>
    <row r="92" spans="1:29" ht="12.75" customHeight="1">
      <c r="A92" s="456" t="s">
        <v>540</v>
      </c>
      <c r="B92" s="530">
        <v>3</v>
      </c>
      <c r="C92" s="573">
        <v>68740</v>
      </c>
      <c r="D92" s="574">
        <v>68900</v>
      </c>
      <c r="E92" s="534">
        <v>1459</v>
      </c>
      <c r="F92" s="553">
        <v>68750</v>
      </c>
      <c r="G92" s="470">
        <v>-2.6800000000000001E-2</v>
      </c>
      <c r="H92" s="231">
        <v>71000</v>
      </c>
      <c r="I92" s="223">
        <v>71410</v>
      </c>
      <c r="J92" s="223">
        <v>67250</v>
      </c>
      <c r="K92" s="242">
        <v>70650</v>
      </c>
      <c r="L92" s="235">
        <v>179975017</v>
      </c>
      <c r="M92" s="227">
        <v>261264</v>
      </c>
      <c r="N92" s="235">
        <v>835</v>
      </c>
      <c r="O92" s="250">
        <v>45436.687673611108</v>
      </c>
      <c r="P92" s="359">
        <v>91</v>
      </c>
      <c r="Q92" s="246">
        <v>0</v>
      </c>
      <c r="R92" s="388">
        <v>0</v>
      </c>
      <c r="S92" s="400">
        <v>0</v>
      </c>
      <c r="T92" s="511">
        <v>0</v>
      </c>
      <c r="U92" s="511"/>
      <c r="V92" s="511">
        <v>0</v>
      </c>
      <c r="W92" s="487">
        <f t="shared" ref="W92" si="49">(V92*X92)</f>
        <v>0</v>
      </c>
      <c r="X92" s="397"/>
      <c r="Y92" s="374">
        <f>IF(D92&lt;&gt;0,($C93*(1-$AB$1))-$D92,0)</f>
        <v>-206.86999999999534</v>
      </c>
      <c r="Z92" s="375"/>
      <c r="AA92" s="376"/>
      <c r="AB92" s="480"/>
      <c r="AC92"/>
    </row>
    <row r="93" spans="1:29" ht="12.75" customHeight="1">
      <c r="A93" s="344" t="s">
        <v>185</v>
      </c>
      <c r="B93" s="529">
        <v>4920</v>
      </c>
      <c r="C93" s="575">
        <v>68700</v>
      </c>
      <c r="D93" s="575">
        <v>68740</v>
      </c>
      <c r="E93" s="529">
        <v>24146</v>
      </c>
      <c r="F93" s="462">
        <v>68740</v>
      </c>
      <c r="G93" s="471">
        <v>-2.9700000000000001E-2</v>
      </c>
      <c r="H93" s="230">
        <v>70800</v>
      </c>
      <c r="I93" s="221">
        <v>73000</v>
      </c>
      <c r="J93" s="221">
        <v>68220</v>
      </c>
      <c r="K93" s="240">
        <v>70850</v>
      </c>
      <c r="L93" s="228">
        <v>450122030</v>
      </c>
      <c r="M93" s="225">
        <v>652893</v>
      </c>
      <c r="N93" s="228">
        <v>1394</v>
      </c>
      <c r="O93" s="251">
        <v>45436.708356481482</v>
      </c>
      <c r="P93" s="360">
        <v>92</v>
      </c>
      <c r="Q93" s="244">
        <v>0</v>
      </c>
      <c r="R93" s="387">
        <v>0</v>
      </c>
      <c r="S93" s="401">
        <v>0</v>
      </c>
      <c r="T93" s="512">
        <v>0</v>
      </c>
      <c r="U93" s="512"/>
      <c r="V93" s="512">
        <v>0</v>
      </c>
      <c r="W93" s="289">
        <f>V92*(F92/100)</f>
        <v>0</v>
      </c>
      <c r="X93" s="396"/>
      <c r="Y93" s="353" t="str">
        <f>IFERROR(INT(#REF!/(F92/100)),"")</f>
        <v/>
      </c>
      <c r="Z93" s="377"/>
      <c r="AA93" s="378"/>
      <c r="AB93" s="469"/>
      <c r="AC93"/>
    </row>
    <row r="94" spans="1:29" ht="12.75" customHeight="1">
      <c r="A94" s="455" t="s">
        <v>541</v>
      </c>
      <c r="B94" s="530"/>
      <c r="C94" s="573"/>
      <c r="D94" s="574"/>
      <c r="E94" s="534"/>
      <c r="F94" s="553"/>
      <c r="G94" s="470"/>
      <c r="H94" s="232"/>
      <c r="I94" s="222"/>
      <c r="J94" s="222"/>
      <c r="K94" s="243">
        <v>57</v>
      </c>
      <c r="L94" s="233"/>
      <c r="M94" s="226"/>
      <c r="N94" s="233"/>
      <c r="O94" s="252"/>
      <c r="P94" s="359">
        <v>93</v>
      </c>
      <c r="Q94" s="245">
        <v>0</v>
      </c>
      <c r="R94" s="390">
        <v>0</v>
      </c>
      <c r="S94" s="402">
        <v>0</v>
      </c>
      <c r="T94" s="513">
        <v>0</v>
      </c>
      <c r="U94" s="513"/>
      <c r="V94" s="513"/>
      <c r="W94" s="488">
        <f t="shared" ref="W94" si="50">(V94*X94)</f>
        <v>0</v>
      </c>
      <c r="X94" s="399"/>
      <c r="Y94" s="379">
        <f>IF(D94&lt;&gt;0,($C95*(1-$AB$1))-$D94,0)</f>
        <v>0</v>
      </c>
      <c r="Z94" s="380" t="str">
        <f>IFERROR(IF(C94&lt;&gt;"",$AA$1/(D92/100)*(C94/100),""),"")</f>
        <v/>
      </c>
      <c r="AA94" s="381" t="str">
        <f t="shared" ref="AA94:AA95" si="51">IFERROR($AC$1/(D94/100)*(C92/100),"")</f>
        <v/>
      </c>
      <c r="AB94" s="480"/>
      <c r="AC94"/>
    </row>
    <row r="95" spans="1:29" ht="12.75" customHeight="1">
      <c r="A95" s="344" t="s">
        <v>237</v>
      </c>
      <c r="B95" s="529"/>
      <c r="C95" s="575"/>
      <c r="D95" s="575"/>
      <c r="E95" s="529"/>
      <c r="F95" s="462"/>
      <c r="G95" s="555"/>
      <c r="H95" s="230"/>
      <c r="I95" s="221"/>
      <c r="J95" s="221"/>
      <c r="K95" s="240">
        <v>46.3</v>
      </c>
      <c r="L95" s="228"/>
      <c r="M95" s="225"/>
      <c r="N95" s="228"/>
      <c r="O95" s="251"/>
      <c r="P95" s="360">
        <v>94</v>
      </c>
      <c r="Q95" s="244">
        <v>0</v>
      </c>
      <c r="R95" s="387">
        <v>0</v>
      </c>
      <c r="S95" s="401">
        <v>0</v>
      </c>
      <c r="T95" s="512">
        <v>0</v>
      </c>
      <c r="U95" s="512"/>
      <c r="V95" s="512">
        <v>0</v>
      </c>
      <c r="W95" s="489">
        <f>V94*(F94/100)</f>
        <v>0</v>
      </c>
      <c r="X95" s="396"/>
      <c r="Y95" s="354" t="str">
        <f>IFERROR(INT(#REF!/(F94/100)),"")</f>
        <v/>
      </c>
      <c r="Z95" s="382" t="str">
        <f>IFERROR(IF(C95&lt;&gt;"",$AA$1/(D93/100)*(C95/100),""),"")</f>
        <v/>
      </c>
      <c r="AA95" s="383" t="str">
        <f t="shared" si="51"/>
        <v/>
      </c>
      <c r="AB95" s="469"/>
    </row>
    <row r="96" spans="1:29" ht="12.75" customHeight="1">
      <c r="A96" s="455" t="s">
        <v>542</v>
      </c>
      <c r="B96" s="530">
        <v>250</v>
      </c>
      <c r="C96" s="573">
        <v>55.85</v>
      </c>
      <c r="D96" s="574">
        <v>57.89</v>
      </c>
      <c r="E96" s="534">
        <v>50</v>
      </c>
      <c r="F96" s="554">
        <v>57.5</v>
      </c>
      <c r="G96" s="470">
        <v>-6.8999999999999999E-3</v>
      </c>
      <c r="H96" s="232">
        <v>56.73</v>
      </c>
      <c r="I96" s="222">
        <v>57.69</v>
      </c>
      <c r="J96" s="222">
        <v>55.42</v>
      </c>
      <c r="K96" s="243">
        <v>57.9</v>
      </c>
      <c r="L96" s="233">
        <v>127697</v>
      </c>
      <c r="M96" s="226">
        <v>224727</v>
      </c>
      <c r="N96" s="233">
        <v>374</v>
      </c>
      <c r="O96" s="252">
        <v>45436.678425925929</v>
      </c>
      <c r="P96" s="359">
        <v>95</v>
      </c>
      <c r="Q96" s="245">
        <v>0</v>
      </c>
      <c r="R96" s="390">
        <v>0</v>
      </c>
      <c r="S96" s="402">
        <v>0</v>
      </c>
      <c r="T96" s="513">
        <v>0</v>
      </c>
      <c r="U96" s="513"/>
      <c r="V96" s="513">
        <v>0</v>
      </c>
      <c r="W96" s="490">
        <f t="shared" ref="W96" si="52">(V96*X96)</f>
        <v>0</v>
      </c>
      <c r="X96" s="398"/>
      <c r="Y96" s="384">
        <f>IF(D96&lt;&gt;0,($C97*(1-$AB$1))-$D96,0)</f>
        <v>-1.2756620000000041</v>
      </c>
      <c r="Z96" s="385">
        <f>IFERROR(IF(C96&lt;&gt;"",$AA$1/(D92/100)*(C96/100),""),"")</f>
        <v>0.97167294709790797</v>
      </c>
      <c r="AA96" s="386">
        <f t="shared" ref="AA96:AA97" si="53">IFERROR($AC$1/(D96/100)*(C92/100),"")</f>
        <v>1187.4244256348247</v>
      </c>
      <c r="AB96" s="480"/>
      <c r="AC96" s="11"/>
    </row>
    <row r="97" spans="1:29" ht="12.75" customHeight="1">
      <c r="A97" s="439" t="s">
        <v>238</v>
      </c>
      <c r="B97" s="579">
        <v>100</v>
      </c>
      <c r="C97" s="580">
        <v>56.62</v>
      </c>
      <c r="D97" s="580">
        <v>56.98</v>
      </c>
      <c r="E97" s="579">
        <v>100</v>
      </c>
      <c r="F97" s="463">
        <v>56.99</v>
      </c>
      <c r="G97" s="473">
        <v>-1.46E-2</v>
      </c>
      <c r="H97" s="440">
        <v>57.1</v>
      </c>
      <c r="I97" s="441">
        <v>57.84</v>
      </c>
      <c r="J97" s="441">
        <v>56.17</v>
      </c>
      <c r="K97" s="454">
        <v>57.84</v>
      </c>
      <c r="L97" s="444">
        <v>158159</v>
      </c>
      <c r="M97" s="443">
        <v>278222</v>
      </c>
      <c r="N97" s="444">
        <v>442</v>
      </c>
      <c r="O97" s="445">
        <v>45436.700208333335</v>
      </c>
      <c r="P97" s="360">
        <v>96</v>
      </c>
      <c r="Q97" s="446">
        <v>0</v>
      </c>
      <c r="R97" s="447">
        <v>0</v>
      </c>
      <c r="S97" s="448">
        <v>0</v>
      </c>
      <c r="T97" s="514">
        <v>0</v>
      </c>
      <c r="U97" s="514"/>
      <c r="V97" s="514">
        <v>0</v>
      </c>
      <c r="W97" s="492">
        <f>V96*(F96/100)</f>
        <v>0</v>
      </c>
      <c r="X97" s="408"/>
      <c r="Y97" s="427" t="str">
        <f>IFERROR(INT(#REF!/(F96/100)),"")</f>
        <v/>
      </c>
      <c r="Z97" s="428">
        <f>IFERROR(IF(C97&lt;&gt;"",$AA$1/(D93/100)*(C97/100),""),"")</f>
        <v>0.98736219179837315</v>
      </c>
      <c r="AA97" s="429">
        <f t="shared" si="53"/>
        <v>1205.6862056862058</v>
      </c>
      <c r="AB97" s="469"/>
      <c r="AC97" s="11"/>
    </row>
    <row r="98" spans="1:29" ht="12.75" customHeight="1">
      <c r="A98" s="456" t="s">
        <v>543</v>
      </c>
      <c r="B98" s="530">
        <v>14610</v>
      </c>
      <c r="C98" s="573">
        <v>52600</v>
      </c>
      <c r="D98" s="574">
        <v>52700</v>
      </c>
      <c r="E98" s="534">
        <v>1235</v>
      </c>
      <c r="F98" s="553">
        <v>52700</v>
      </c>
      <c r="G98" s="470">
        <v>-3.0699999999999998E-2</v>
      </c>
      <c r="H98" s="231">
        <v>54700</v>
      </c>
      <c r="I98" s="223">
        <v>54700</v>
      </c>
      <c r="J98" s="223">
        <v>52040</v>
      </c>
      <c r="K98" s="242">
        <v>54370</v>
      </c>
      <c r="L98" s="235">
        <v>1202791639</v>
      </c>
      <c r="M98" s="227">
        <v>2282511</v>
      </c>
      <c r="N98" s="235">
        <v>966</v>
      </c>
      <c r="O98" s="250">
        <v>45436.687662037039</v>
      </c>
      <c r="P98" s="359">
        <v>97</v>
      </c>
      <c r="Q98" s="246">
        <v>0</v>
      </c>
      <c r="R98" s="388">
        <v>0</v>
      </c>
      <c r="S98" s="400">
        <v>0</v>
      </c>
      <c r="T98" s="511">
        <v>0</v>
      </c>
      <c r="U98" s="511"/>
      <c r="V98" s="511">
        <v>0</v>
      </c>
      <c r="W98" s="487">
        <f t="shared" ref="W98" si="54">(V98*X98)</f>
        <v>0</v>
      </c>
      <c r="X98" s="397"/>
      <c r="Y98" s="374">
        <f>IF(D98&lt;&gt;0,($C99*(1-$AB$1))-$D98,0)</f>
        <v>354.69400000000314</v>
      </c>
      <c r="Z98" s="375"/>
      <c r="AA98" s="376"/>
      <c r="AB98" s="480"/>
      <c r="AC98" s="11"/>
    </row>
    <row r="99" spans="1:29" ht="12.75" customHeight="1">
      <c r="A99" s="344" t="s">
        <v>183</v>
      </c>
      <c r="B99" s="529">
        <v>200</v>
      </c>
      <c r="C99" s="575">
        <v>53060</v>
      </c>
      <c r="D99" s="575">
        <v>53130</v>
      </c>
      <c r="E99" s="529">
        <v>1932</v>
      </c>
      <c r="F99" s="462">
        <v>53130</v>
      </c>
      <c r="G99" s="471">
        <v>-1.7899999999999999E-2</v>
      </c>
      <c r="H99" s="230">
        <v>54790</v>
      </c>
      <c r="I99" s="221">
        <v>54790</v>
      </c>
      <c r="J99" s="221">
        <v>52010</v>
      </c>
      <c r="K99" s="240">
        <v>54100</v>
      </c>
      <c r="L99" s="228">
        <v>1755291983</v>
      </c>
      <c r="M99" s="225">
        <v>3314028</v>
      </c>
      <c r="N99" s="228">
        <v>1646</v>
      </c>
      <c r="O99" s="251">
        <v>45436.708657407406</v>
      </c>
      <c r="P99" s="360">
        <v>98</v>
      </c>
      <c r="Q99" s="244">
        <v>0</v>
      </c>
      <c r="R99" s="387">
        <v>0</v>
      </c>
      <c r="S99" s="401">
        <v>0</v>
      </c>
      <c r="T99" s="512">
        <v>0</v>
      </c>
      <c r="U99" s="512"/>
      <c r="V99" s="512">
        <v>0</v>
      </c>
      <c r="W99" s="289">
        <f>V98*(F98/100)</f>
        <v>0</v>
      </c>
      <c r="X99" s="396"/>
      <c r="Y99" s="353" t="str">
        <f>IFERROR(INT(#REF!/(F98/100)),"")</f>
        <v/>
      </c>
      <c r="Z99" s="377"/>
      <c r="AA99" s="378"/>
      <c r="AB99" s="469"/>
      <c r="AC99" s="11"/>
    </row>
    <row r="100" spans="1:29" ht="12.75" customHeight="1">
      <c r="A100" s="455" t="s">
        <v>544</v>
      </c>
      <c r="B100" s="530"/>
      <c r="C100" s="573"/>
      <c r="D100" s="574"/>
      <c r="E100" s="534"/>
      <c r="F100" s="553"/>
      <c r="G100" s="470"/>
      <c r="H100" s="232"/>
      <c r="I100" s="222"/>
      <c r="J100" s="222"/>
      <c r="K100" s="243">
        <v>47.35</v>
      </c>
      <c r="L100" s="233"/>
      <c r="M100" s="226"/>
      <c r="N100" s="233"/>
      <c r="O100" s="252"/>
      <c r="P100" s="359">
        <v>99</v>
      </c>
      <c r="Q100" s="245">
        <v>0</v>
      </c>
      <c r="R100" s="390">
        <v>0</v>
      </c>
      <c r="S100" s="402">
        <v>0</v>
      </c>
      <c r="T100" s="513">
        <v>0</v>
      </c>
      <c r="U100" s="513"/>
      <c r="V100" s="513"/>
      <c r="W100" s="488">
        <f t="shared" ref="W100" si="55">(V100*X100)</f>
        <v>0</v>
      </c>
      <c r="X100" s="399"/>
      <c r="Y100" s="379">
        <f>IF(D100&lt;&gt;0,($C101*(1-$AB$1))-$D100,0)</f>
        <v>0</v>
      </c>
      <c r="Z100" s="380" t="str">
        <f>IFERROR(IF(C100&lt;&gt;"",$AA$1/(D98/100)*(C100/100),""),"")</f>
        <v/>
      </c>
      <c r="AA100" s="381" t="str">
        <f t="shared" ref="AA100:AA101" si="56">IFERROR($AC$1/(D100/100)*(C98/100),"")</f>
        <v/>
      </c>
      <c r="AB100" s="480"/>
      <c r="AC100" s="11"/>
    </row>
    <row r="101" spans="1:29" ht="12.75" customHeight="1">
      <c r="A101" s="344" t="s">
        <v>239</v>
      </c>
      <c r="B101" s="529"/>
      <c r="C101" s="575"/>
      <c r="D101" s="575"/>
      <c r="E101" s="529"/>
      <c r="F101" s="462"/>
      <c r="G101" s="555"/>
      <c r="H101" s="230"/>
      <c r="I101" s="221"/>
      <c r="J101" s="221"/>
      <c r="K101" s="240">
        <v>47</v>
      </c>
      <c r="L101" s="228"/>
      <c r="M101" s="225"/>
      <c r="N101" s="228"/>
      <c r="O101" s="251"/>
      <c r="P101" s="360">
        <v>100</v>
      </c>
      <c r="Q101" s="244">
        <v>0</v>
      </c>
      <c r="R101" s="387">
        <v>0</v>
      </c>
      <c r="S101" s="401">
        <v>0</v>
      </c>
      <c r="T101" s="512">
        <v>0</v>
      </c>
      <c r="U101" s="512"/>
      <c r="V101" s="512">
        <v>0</v>
      </c>
      <c r="W101" s="489">
        <f>V100*(F100/100)</f>
        <v>0</v>
      </c>
      <c r="X101" s="396"/>
      <c r="Y101" s="354" t="str">
        <f>IFERROR(INT(#REF!/(F100/100)),"")</f>
        <v/>
      </c>
      <c r="Z101" s="382" t="str">
        <f>IFERROR(IF(C101&lt;&gt;"",$AA$1/(D99/100)*(C101/100),""),"")</f>
        <v/>
      </c>
      <c r="AA101" s="383" t="str">
        <f t="shared" si="56"/>
        <v/>
      </c>
      <c r="AB101" s="469"/>
      <c r="AC101" s="11"/>
    </row>
    <row r="102" spans="1:29" ht="12.75" customHeight="1">
      <c r="A102" s="455" t="s">
        <v>545</v>
      </c>
      <c r="B102" s="530">
        <v>2000</v>
      </c>
      <c r="C102" s="573">
        <v>43.100999999999999</v>
      </c>
      <c r="D102" s="574">
        <v>44.6</v>
      </c>
      <c r="E102" s="534">
        <v>292</v>
      </c>
      <c r="F102" s="554">
        <v>44.6</v>
      </c>
      <c r="G102" s="470">
        <v>-1.11E-2</v>
      </c>
      <c r="H102" s="232">
        <v>44.104999999999997</v>
      </c>
      <c r="I102" s="222">
        <v>44.6</v>
      </c>
      <c r="J102" s="222">
        <v>41.5</v>
      </c>
      <c r="K102" s="243">
        <v>44.598999999999997</v>
      </c>
      <c r="L102" s="233">
        <v>234403</v>
      </c>
      <c r="M102" s="226">
        <v>537617</v>
      </c>
      <c r="N102" s="233">
        <v>395</v>
      </c>
      <c r="O102" s="252">
        <v>45436.6875</v>
      </c>
      <c r="P102" s="359">
        <v>101</v>
      </c>
      <c r="Q102" s="245">
        <v>0</v>
      </c>
      <c r="R102" s="390">
        <v>0</v>
      </c>
      <c r="S102" s="402">
        <v>0</v>
      </c>
      <c r="T102" s="513">
        <v>0</v>
      </c>
      <c r="U102" s="513"/>
      <c r="V102" s="513">
        <v>0</v>
      </c>
      <c r="W102" s="490">
        <f t="shared" ref="W102" si="57">(V102*X102)</f>
        <v>0</v>
      </c>
      <c r="X102" s="398"/>
      <c r="Y102" s="384">
        <f>IF(D102&lt;&gt;0,($C103*(1-$AB$1))-$D102,0)</f>
        <v>-0.90437000000000012</v>
      </c>
      <c r="Z102" s="385">
        <f>IFERROR(IF(C102&lt;&gt;"",$AA$1/(D98/100)*(C102/100),""),"")</f>
        <v>0.98037648799679666</v>
      </c>
      <c r="AA102" s="386">
        <f t="shared" ref="AA102:AA103" si="58">IFERROR($AC$1/(D102/100)*(C98/100),"")</f>
        <v>1179.3721973094168</v>
      </c>
      <c r="AB102" s="480"/>
      <c r="AC102" s="11"/>
    </row>
    <row r="103" spans="1:29" ht="12.75" customHeight="1">
      <c r="A103" s="439" t="s">
        <v>240</v>
      </c>
      <c r="B103" s="579">
        <v>686</v>
      </c>
      <c r="C103" s="580">
        <v>43.7</v>
      </c>
      <c r="D103" s="580">
        <v>44.16</v>
      </c>
      <c r="E103" s="579">
        <v>9956</v>
      </c>
      <c r="F103" s="463">
        <v>44.16</v>
      </c>
      <c r="G103" s="473">
        <v>-3.5999999999999999E-3</v>
      </c>
      <c r="H103" s="440">
        <v>44.16</v>
      </c>
      <c r="I103" s="441">
        <v>44.74</v>
      </c>
      <c r="J103" s="441">
        <v>42.76</v>
      </c>
      <c r="K103" s="454">
        <v>44.16</v>
      </c>
      <c r="L103" s="444">
        <v>217322</v>
      </c>
      <c r="M103" s="443">
        <v>497268</v>
      </c>
      <c r="N103" s="444">
        <v>491</v>
      </c>
      <c r="O103" s="445">
        <v>45436.708449074074</v>
      </c>
      <c r="P103" s="360">
        <v>102</v>
      </c>
      <c r="Q103" s="446">
        <v>0</v>
      </c>
      <c r="R103" s="447">
        <v>0</v>
      </c>
      <c r="S103" s="448">
        <v>0</v>
      </c>
      <c r="T103" s="514">
        <v>0</v>
      </c>
      <c r="U103" s="514"/>
      <c r="V103" s="514">
        <v>0</v>
      </c>
      <c r="W103" s="492">
        <f>V102*(F102/100)</f>
        <v>0</v>
      </c>
      <c r="X103" s="408"/>
      <c r="Y103" s="427" t="str">
        <f>IFERROR(INT(#REF!/(F102/100)),"")</f>
        <v/>
      </c>
      <c r="Z103" s="428">
        <f>IFERROR(IF(C103&lt;&gt;"",$AA$1/(D99/100)*(C103/100),""),"")</f>
        <v>0.9859565510941658</v>
      </c>
      <c r="AA103" s="429">
        <f t="shared" si="58"/>
        <v>1201.5398550724638</v>
      </c>
      <c r="AB103" s="469"/>
    </row>
    <row r="104" spans="1:29" ht="12.75" customHeight="1">
      <c r="A104" s="456" t="s">
        <v>549</v>
      </c>
      <c r="B104" s="530">
        <v>10352</v>
      </c>
      <c r="C104" s="573">
        <v>48400</v>
      </c>
      <c r="D104" s="574">
        <v>49000</v>
      </c>
      <c r="E104" s="534">
        <v>900</v>
      </c>
      <c r="F104" s="553">
        <v>48275</v>
      </c>
      <c r="G104" s="470">
        <v>-2.3700000000000002E-2</v>
      </c>
      <c r="H104" s="231">
        <v>49240</v>
      </c>
      <c r="I104" s="223">
        <v>49550</v>
      </c>
      <c r="J104" s="223">
        <v>47000</v>
      </c>
      <c r="K104" s="242">
        <v>49450</v>
      </c>
      <c r="L104" s="235">
        <v>98070288</v>
      </c>
      <c r="M104" s="227">
        <v>202631</v>
      </c>
      <c r="N104" s="235">
        <v>442</v>
      </c>
      <c r="O104" s="250">
        <v>45436.68346064815</v>
      </c>
      <c r="P104" s="359">
        <v>103</v>
      </c>
      <c r="Q104" s="246">
        <v>0</v>
      </c>
      <c r="R104" s="388">
        <v>0</v>
      </c>
      <c r="S104" s="400">
        <v>0</v>
      </c>
      <c r="T104" s="511">
        <v>0</v>
      </c>
      <c r="U104" s="511"/>
      <c r="V104" s="511"/>
      <c r="W104" s="487">
        <f t="shared" ref="W104" si="59">(V104*X104)</f>
        <v>0</v>
      </c>
      <c r="X104" s="397"/>
      <c r="Y104" s="374">
        <f>IF(D104&lt;&gt;0,($C105*(1-$AB$1))-$D104,0)</f>
        <v>-194.88100000000122</v>
      </c>
      <c r="Z104" s="375"/>
      <c r="AA104" s="376"/>
      <c r="AB104" s="480"/>
    </row>
    <row r="105" spans="1:29" ht="12.75" customHeight="1">
      <c r="A105" s="344" t="s">
        <v>184</v>
      </c>
      <c r="B105" s="529">
        <v>2000</v>
      </c>
      <c r="C105" s="575">
        <v>48810</v>
      </c>
      <c r="D105" s="575">
        <v>48880</v>
      </c>
      <c r="E105" s="529">
        <v>31388</v>
      </c>
      <c r="F105" s="462">
        <v>48880</v>
      </c>
      <c r="G105" s="471">
        <v>-7.3000000000000001E-3</v>
      </c>
      <c r="H105" s="230">
        <v>49200</v>
      </c>
      <c r="I105" s="221">
        <v>49900</v>
      </c>
      <c r="J105" s="221">
        <v>47770</v>
      </c>
      <c r="K105" s="240">
        <v>49240</v>
      </c>
      <c r="L105" s="228">
        <v>246852843</v>
      </c>
      <c r="M105" s="225">
        <v>507608</v>
      </c>
      <c r="N105" s="228">
        <v>805</v>
      </c>
      <c r="O105" s="251">
        <v>45436.708553240744</v>
      </c>
      <c r="P105" s="360">
        <v>104</v>
      </c>
      <c r="Q105" s="244">
        <v>0</v>
      </c>
      <c r="R105" s="387">
        <v>0</v>
      </c>
      <c r="S105" s="401">
        <v>0</v>
      </c>
      <c r="T105" s="512">
        <v>0</v>
      </c>
      <c r="U105" s="512"/>
      <c r="V105" s="512">
        <v>0</v>
      </c>
      <c r="W105" s="289">
        <f>V104*(F104/100)</f>
        <v>0</v>
      </c>
      <c r="X105" s="396"/>
      <c r="Y105" s="353" t="str">
        <f>IFERROR(INT(#REF!/(F104/100)),"")</f>
        <v/>
      </c>
      <c r="Z105" s="377"/>
      <c r="AA105" s="378"/>
      <c r="AB105" s="469"/>
    </row>
    <row r="106" spans="1:29" ht="12.75" customHeight="1">
      <c r="A106" s="455" t="s">
        <v>550</v>
      </c>
      <c r="B106" s="530"/>
      <c r="C106" s="573"/>
      <c r="D106" s="574"/>
      <c r="E106" s="534"/>
      <c r="F106" s="553"/>
      <c r="G106" s="470"/>
      <c r="H106" s="232"/>
      <c r="I106" s="222"/>
      <c r="J106" s="222"/>
      <c r="K106" s="243">
        <v>23.22</v>
      </c>
      <c r="L106" s="233"/>
      <c r="M106" s="226"/>
      <c r="N106" s="233"/>
      <c r="O106" s="252"/>
      <c r="P106" s="359">
        <v>105</v>
      </c>
      <c r="Q106" s="245">
        <v>0</v>
      </c>
      <c r="R106" s="390">
        <v>0</v>
      </c>
      <c r="S106" s="402">
        <v>0</v>
      </c>
      <c r="T106" s="513">
        <v>0</v>
      </c>
      <c r="U106" s="513"/>
      <c r="V106" s="513"/>
      <c r="W106" s="488">
        <f t="shared" ref="W106" si="60">(V106*X106)</f>
        <v>0</v>
      </c>
      <c r="X106" s="399"/>
      <c r="Y106" s="379">
        <f>IF(D106&lt;&gt;0,($C107*(1-$AB$1))-$D106,0)</f>
        <v>0</v>
      </c>
      <c r="Z106" s="380" t="str">
        <f>IFERROR(IF(C106&lt;&gt;"",$AA$1/(D104/100)*(C106/100),""),"")</f>
        <v/>
      </c>
      <c r="AA106" s="381" t="str">
        <f t="shared" ref="AA106:AA107" si="61">IFERROR($AC$1/(D106/100)*(C104/100),"")</f>
        <v/>
      </c>
      <c r="AB106" s="480"/>
    </row>
    <row r="107" spans="1:29" ht="12.75" customHeight="1">
      <c r="A107" s="344" t="s">
        <v>241</v>
      </c>
      <c r="B107" s="529"/>
      <c r="C107" s="575"/>
      <c r="D107" s="575"/>
      <c r="E107" s="529"/>
      <c r="F107" s="462"/>
      <c r="G107" s="555"/>
      <c r="H107" s="230"/>
      <c r="I107" s="221"/>
      <c r="J107" s="221"/>
      <c r="K107" s="240">
        <v>26</v>
      </c>
      <c r="L107" s="228"/>
      <c r="M107" s="225"/>
      <c r="N107" s="228"/>
      <c r="O107" s="251"/>
      <c r="P107" s="360">
        <v>106</v>
      </c>
      <c r="Q107" s="244">
        <v>0</v>
      </c>
      <c r="R107" s="387">
        <v>0</v>
      </c>
      <c r="S107" s="401">
        <v>0</v>
      </c>
      <c r="T107" s="512">
        <v>0</v>
      </c>
      <c r="U107" s="512"/>
      <c r="V107" s="512">
        <v>0</v>
      </c>
      <c r="W107" s="489">
        <f>V106*(F106/100)</f>
        <v>0</v>
      </c>
      <c r="X107" s="396"/>
      <c r="Y107" s="354" t="str">
        <f>IFERROR(INT(#REF!/(F106/100)),"")</f>
        <v/>
      </c>
      <c r="Z107" s="382" t="str">
        <f>IFERROR(IF(C107&lt;&gt;"",$AA$1/(D105/100)*(C107/100),""),"")</f>
        <v/>
      </c>
      <c r="AA107" s="383" t="str">
        <f t="shared" si="61"/>
        <v/>
      </c>
      <c r="AB107" s="469"/>
    </row>
    <row r="108" spans="1:29" ht="12.75" customHeight="1">
      <c r="A108" s="455" t="s">
        <v>551</v>
      </c>
      <c r="B108" s="530">
        <v>1000</v>
      </c>
      <c r="C108" s="573">
        <v>40</v>
      </c>
      <c r="D108" s="574">
        <v>40.5</v>
      </c>
      <c r="E108" s="534">
        <v>2475</v>
      </c>
      <c r="F108" s="554">
        <v>40.5</v>
      </c>
      <c r="G108" s="470">
        <v>1.21E-2</v>
      </c>
      <c r="H108" s="232">
        <v>40.049999999999997</v>
      </c>
      <c r="I108" s="222">
        <v>40.996000000000002</v>
      </c>
      <c r="J108" s="222">
        <v>38.9</v>
      </c>
      <c r="K108" s="243">
        <v>40.012</v>
      </c>
      <c r="L108" s="233">
        <v>62488</v>
      </c>
      <c r="M108" s="226">
        <v>155497</v>
      </c>
      <c r="N108" s="233">
        <v>185</v>
      </c>
      <c r="O108" s="252">
        <v>45436.680578703701</v>
      </c>
      <c r="P108" s="359">
        <v>107</v>
      </c>
      <c r="Q108" s="245">
        <v>0</v>
      </c>
      <c r="R108" s="390">
        <v>0</v>
      </c>
      <c r="S108" s="402">
        <v>0</v>
      </c>
      <c r="T108" s="513">
        <v>0</v>
      </c>
      <c r="U108" s="513"/>
      <c r="V108" s="513">
        <v>0</v>
      </c>
      <c r="W108" s="490">
        <f t="shared" ref="W108" si="62">(V108*X108)</f>
        <v>0</v>
      </c>
      <c r="X108" s="398"/>
      <c r="Y108" s="384">
        <f>IF(D108&lt;&gt;0,($C109*(1-$AB$1))-$D108,0)</f>
        <v>-4.0499999999994429E-3</v>
      </c>
      <c r="Z108" s="385">
        <f>IFERROR(IF(C108&lt;&gt;"",$AA$1/(D104/100)*(C108/100),""),"")</f>
        <v>0.97854334394308173</v>
      </c>
      <c r="AA108" s="386">
        <f t="shared" ref="AA108:AA109" si="63">IFERROR($AC$1/(D108/100)*(C104/100),"")</f>
        <v>1195.0617283950617</v>
      </c>
      <c r="AB108" s="480"/>
    </row>
    <row r="109" spans="1:29" ht="12.75" customHeight="1">
      <c r="A109" s="439" t="s">
        <v>242</v>
      </c>
      <c r="B109" s="579">
        <v>1000</v>
      </c>
      <c r="C109" s="580">
        <v>40.5</v>
      </c>
      <c r="D109" s="580">
        <v>40.549999999999997</v>
      </c>
      <c r="E109" s="579">
        <v>150</v>
      </c>
      <c r="F109" s="463">
        <v>40.5</v>
      </c>
      <c r="G109" s="473">
        <v>1.09E-2</v>
      </c>
      <c r="H109" s="440">
        <v>40</v>
      </c>
      <c r="I109" s="441">
        <v>41.27</v>
      </c>
      <c r="J109" s="441">
        <v>39.25</v>
      </c>
      <c r="K109" s="454">
        <v>40.06</v>
      </c>
      <c r="L109" s="444">
        <v>80212</v>
      </c>
      <c r="M109" s="443">
        <v>199424</v>
      </c>
      <c r="N109" s="444">
        <v>260</v>
      </c>
      <c r="O109" s="445">
        <v>45436.708449074074</v>
      </c>
      <c r="P109" s="360">
        <v>108</v>
      </c>
      <c r="Q109" s="446">
        <v>0</v>
      </c>
      <c r="R109" s="447">
        <v>0</v>
      </c>
      <c r="S109" s="448">
        <v>0</v>
      </c>
      <c r="T109" s="514">
        <v>0</v>
      </c>
      <c r="U109" s="514"/>
      <c r="V109" s="514">
        <v>0</v>
      </c>
      <c r="W109" s="492">
        <f>V108*(F108/100)</f>
        <v>0</v>
      </c>
      <c r="X109" s="408"/>
      <c r="Y109" s="427" t="str">
        <f>IFERROR(INT(#REF!/(F108/100)),"")</f>
        <v/>
      </c>
      <c r="Z109" s="428">
        <f>IFERROR(IF(C109&lt;&gt;"",$AA$1/(D105/100)*(C109/100),""),"")</f>
        <v>0.99320748059280162</v>
      </c>
      <c r="AA109" s="429">
        <f t="shared" si="63"/>
        <v>1203.6991368680642</v>
      </c>
      <c r="AB109" s="469"/>
    </row>
    <row r="110" spans="1:29" ht="12.75" customHeight="1">
      <c r="A110" s="456" t="s">
        <v>552</v>
      </c>
      <c r="B110" s="530">
        <v>500</v>
      </c>
      <c r="C110" s="573">
        <v>69120</v>
      </c>
      <c r="D110" s="574">
        <v>69360</v>
      </c>
      <c r="E110" s="534">
        <v>364</v>
      </c>
      <c r="F110" s="553">
        <v>69360</v>
      </c>
      <c r="G110" s="470">
        <v>-2.87E-2</v>
      </c>
      <c r="H110" s="231">
        <v>70550</v>
      </c>
      <c r="I110" s="223">
        <v>72990</v>
      </c>
      <c r="J110" s="223">
        <v>68850</v>
      </c>
      <c r="K110" s="242">
        <v>71410</v>
      </c>
      <c r="L110" s="235">
        <v>25753099</v>
      </c>
      <c r="M110" s="227">
        <v>36896</v>
      </c>
      <c r="N110" s="235">
        <v>217</v>
      </c>
      <c r="O110" s="250">
        <v>45436.68414351852</v>
      </c>
      <c r="P110" s="359">
        <v>109</v>
      </c>
      <c r="Q110" s="246">
        <v>0</v>
      </c>
      <c r="R110" s="388">
        <v>0</v>
      </c>
      <c r="S110" s="400">
        <v>0</v>
      </c>
      <c r="T110" s="511">
        <v>0</v>
      </c>
      <c r="U110" s="511"/>
      <c r="V110" s="511"/>
      <c r="W110" s="487">
        <f t="shared" ref="W110" si="64">(V110*X110)</f>
        <v>0</v>
      </c>
      <c r="X110" s="397"/>
      <c r="Y110" s="374">
        <f>IF(D110&lt;&gt;0,($C111*(1-$AB$1))-$D110,0)</f>
        <v>-116.92500000000291</v>
      </c>
      <c r="Z110" s="375"/>
      <c r="AA110" s="376"/>
      <c r="AB110" s="480"/>
    </row>
    <row r="111" spans="1:29" ht="12.75" customHeight="1">
      <c r="A111" s="344" t="s">
        <v>186</v>
      </c>
      <c r="B111" s="529">
        <v>20</v>
      </c>
      <c r="C111" s="575">
        <v>69250</v>
      </c>
      <c r="D111" s="575">
        <v>69460</v>
      </c>
      <c r="E111" s="529">
        <v>370</v>
      </c>
      <c r="F111" s="462">
        <v>69460</v>
      </c>
      <c r="G111" s="471">
        <v>-3.0499999999999999E-2</v>
      </c>
      <c r="H111" s="230">
        <v>71650</v>
      </c>
      <c r="I111" s="221">
        <v>71650</v>
      </c>
      <c r="J111" s="221">
        <v>69100</v>
      </c>
      <c r="K111" s="240">
        <v>71650</v>
      </c>
      <c r="L111" s="228">
        <v>110002123</v>
      </c>
      <c r="M111" s="225">
        <v>157442</v>
      </c>
      <c r="N111" s="228">
        <v>394</v>
      </c>
      <c r="O111" s="251">
        <v>45436.708645833336</v>
      </c>
      <c r="P111" s="360">
        <v>110</v>
      </c>
      <c r="Q111" s="244">
        <v>0</v>
      </c>
      <c r="R111" s="387">
        <v>0</v>
      </c>
      <c r="S111" s="401">
        <v>0</v>
      </c>
      <c r="T111" s="512">
        <v>0</v>
      </c>
      <c r="U111" s="512"/>
      <c r="V111" s="512">
        <v>0</v>
      </c>
      <c r="W111" s="289">
        <f>V110*(F110/100)</f>
        <v>0</v>
      </c>
      <c r="X111" s="396"/>
      <c r="Y111" s="353" t="str">
        <f>IFERROR(INT(#REF!/(F110/100)),"")</f>
        <v/>
      </c>
      <c r="Z111" s="377"/>
      <c r="AA111" s="378"/>
      <c r="AB111" s="469"/>
    </row>
    <row r="112" spans="1:29" ht="12.75" customHeight="1">
      <c r="A112" s="455" t="s">
        <v>553</v>
      </c>
      <c r="B112" s="530"/>
      <c r="C112" s="573"/>
      <c r="D112" s="574"/>
      <c r="E112" s="534"/>
      <c r="F112" s="553"/>
      <c r="G112" s="470"/>
      <c r="H112" s="232"/>
      <c r="I112" s="222"/>
      <c r="J112" s="222"/>
      <c r="K112" s="243">
        <v>58.5</v>
      </c>
      <c r="L112" s="233"/>
      <c r="M112" s="226"/>
      <c r="N112" s="233"/>
      <c r="O112" s="252"/>
      <c r="P112" s="359">
        <v>111</v>
      </c>
      <c r="Q112" s="245">
        <v>0</v>
      </c>
      <c r="R112" s="390">
        <v>0</v>
      </c>
      <c r="S112" s="402">
        <v>0</v>
      </c>
      <c r="T112" s="513">
        <v>0</v>
      </c>
      <c r="U112" s="513"/>
      <c r="V112" s="513"/>
      <c r="W112" s="488">
        <f t="shared" ref="W112" si="65">(V112*X112)</f>
        <v>0</v>
      </c>
      <c r="X112" s="399"/>
      <c r="Y112" s="379">
        <f>IF(D112&lt;&gt;0,($C113*(1-$AB$1))-$D112,0)</f>
        <v>0</v>
      </c>
      <c r="Z112" s="380" t="str">
        <f>IFERROR(IF(C112&lt;&gt;"",$AA$1/(D110/100)*(C112/100),""),"")</f>
        <v/>
      </c>
      <c r="AA112" s="381" t="str">
        <f t="shared" ref="AA112:AA113" si="66">IFERROR($AC$1/(D112/100)*(C110/100),"")</f>
        <v/>
      </c>
      <c r="AB112" s="480"/>
    </row>
    <row r="113" spans="1:28" ht="12.75" customHeight="1">
      <c r="A113" s="344" t="s">
        <v>231</v>
      </c>
      <c r="B113" s="529"/>
      <c r="C113" s="575"/>
      <c r="D113" s="575"/>
      <c r="E113" s="529"/>
      <c r="F113" s="462"/>
      <c r="G113" s="555"/>
      <c r="H113" s="230"/>
      <c r="I113" s="221"/>
      <c r="J113" s="221"/>
      <c r="K113" s="240">
        <v>40</v>
      </c>
      <c r="L113" s="228"/>
      <c r="M113" s="225"/>
      <c r="N113" s="228"/>
      <c r="O113" s="251"/>
      <c r="P113" s="360">
        <v>112</v>
      </c>
      <c r="Q113" s="244">
        <v>0</v>
      </c>
      <c r="R113" s="387">
        <v>0</v>
      </c>
      <c r="S113" s="401">
        <v>0</v>
      </c>
      <c r="T113" s="512">
        <v>0</v>
      </c>
      <c r="U113" s="512"/>
      <c r="V113" s="512">
        <v>0</v>
      </c>
      <c r="W113" s="489">
        <f>V112*(F112/100)</f>
        <v>0</v>
      </c>
      <c r="X113" s="396"/>
      <c r="Y113" s="354" t="str">
        <f>IFERROR(INT(#REF!/(F112/100)),"")</f>
        <v/>
      </c>
      <c r="Z113" s="382" t="str">
        <f>IFERROR(IF(C113&lt;&gt;"",$AA$1/(D111/100)*(C113/100),""),"")</f>
        <v/>
      </c>
      <c r="AA113" s="383" t="str">
        <f t="shared" si="66"/>
        <v/>
      </c>
      <c r="AB113" s="469"/>
    </row>
    <row r="114" spans="1:28" ht="12.75" customHeight="1">
      <c r="A114" s="455" t="s">
        <v>554</v>
      </c>
      <c r="B114" s="530">
        <v>404</v>
      </c>
      <c r="C114" s="573">
        <v>57.3</v>
      </c>
      <c r="D114" s="574">
        <v>58.18</v>
      </c>
      <c r="E114" s="534">
        <v>1070</v>
      </c>
      <c r="F114" s="554">
        <v>57.31</v>
      </c>
      <c r="G114" s="470">
        <v>-2.2799999999999997E-2</v>
      </c>
      <c r="H114" s="232">
        <v>58.64</v>
      </c>
      <c r="I114" s="222">
        <v>58.65</v>
      </c>
      <c r="J114" s="222">
        <v>55.11</v>
      </c>
      <c r="K114" s="243">
        <v>58.65</v>
      </c>
      <c r="L114" s="233">
        <v>18359</v>
      </c>
      <c r="M114" s="226">
        <v>31791</v>
      </c>
      <c r="N114" s="233">
        <v>94</v>
      </c>
      <c r="O114" s="252">
        <v>45436.677395833336</v>
      </c>
      <c r="P114" s="359">
        <v>113</v>
      </c>
      <c r="Q114" s="245">
        <v>0</v>
      </c>
      <c r="R114" s="390">
        <v>0</v>
      </c>
      <c r="S114" s="402">
        <v>0</v>
      </c>
      <c r="T114" s="513">
        <v>0</v>
      </c>
      <c r="U114" s="513"/>
      <c r="V114" s="513">
        <v>0</v>
      </c>
      <c r="W114" s="490">
        <f t="shared" ref="W114" si="67">(V114*X114)</f>
        <v>0</v>
      </c>
      <c r="X114" s="398"/>
      <c r="Y114" s="384">
        <f>IF(D114&lt;&gt;0,($C115*(1-$AB$1))-$D114,0)</f>
        <v>-0.46577200000000119</v>
      </c>
      <c r="Z114" s="385">
        <f>IFERROR(IF(C114&lt;&gt;"",$AA$1/(D110/100)*(C114/100),""),"")</f>
        <v>0.99028840354274439</v>
      </c>
      <c r="AA114" s="386">
        <f t="shared" ref="AA114:AA115" si="68">IFERROR($AC$1/(D114/100)*(C110/100),"")</f>
        <v>1188.0371261601927</v>
      </c>
      <c r="AB114" s="480"/>
    </row>
    <row r="115" spans="1:28" ht="12.75" customHeight="1">
      <c r="A115" s="439" t="s">
        <v>232</v>
      </c>
      <c r="B115" s="579">
        <v>20</v>
      </c>
      <c r="C115" s="580">
        <v>57.72</v>
      </c>
      <c r="D115" s="580">
        <v>58.12</v>
      </c>
      <c r="E115" s="579">
        <v>3997</v>
      </c>
      <c r="F115" s="463">
        <v>57.72</v>
      </c>
      <c r="G115" s="473">
        <v>-1.2999999999999999E-3</v>
      </c>
      <c r="H115" s="440">
        <v>56.08</v>
      </c>
      <c r="I115" s="441">
        <v>58.69</v>
      </c>
      <c r="J115" s="441">
        <v>56.08</v>
      </c>
      <c r="K115" s="454">
        <v>57.8</v>
      </c>
      <c r="L115" s="444">
        <v>17293</v>
      </c>
      <c r="M115" s="443">
        <v>30272</v>
      </c>
      <c r="N115" s="444">
        <v>98</v>
      </c>
      <c r="O115" s="445">
        <v>45436.704479166663</v>
      </c>
      <c r="P115" s="360">
        <v>114</v>
      </c>
      <c r="Q115" s="446">
        <v>0</v>
      </c>
      <c r="R115" s="447">
        <v>0</v>
      </c>
      <c r="S115" s="448">
        <v>0</v>
      </c>
      <c r="T115" s="514">
        <v>0</v>
      </c>
      <c r="U115" s="514"/>
      <c r="V115" s="514">
        <v>0</v>
      </c>
      <c r="W115" s="492">
        <f>V114*(F114/100)</f>
        <v>0</v>
      </c>
      <c r="X115" s="408"/>
      <c r="Y115" s="427" t="str">
        <f>IFERROR(INT(#REF!/(F114/100)),"")</f>
        <v/>
      </c>
      <c r="Z115" s="428">
        <f>IFERROR(IF(C115&lt;&gt;"",$AA$1/(D111/100)*(C115/100),""),"")</f>
        <v>0.99611091592547463</v>
      </c>
      <c r="AA115" s="429">
        <f t="shared" si="68"/>
        <v>1191.500344115623</v>
      </c>
      <c r="AB115" s="469"/>
    </row>
    <row r="116" spans="1:28" ht="12.75" customHeight="1">
      <c r="A116" s="456" t="s">
        <v>555</v>
      </c>
      <c r="B116" s="530">
        <v>1779</v>
      </c>
      <c r="C116" s="573">
        <v>53080</v>
      </c>
      <c r="D116" s="574">
        <v>53220</v>
      </c>
      <c r="E116" s="534">
        <v>79</v>
      </c>
      <c r="F116" s="553">
        <v>53100</v>
      </c>
      <c r="G116" s="470">
        <v>-2.7799999999999998E-2</v>
      </c>
      <c r="H116" s="231">
        <v>54700</v>
      </c>
      <c r="I116" s="223">
        <v>55900</v>
      </c>
      <c r="J116" s="223">
        <v>52510</v>
      </c>
      <c r="K116" s="242">
        <v>54620</v>
      </c>
      <c r="L116" s="235">
        <v>774822474</v>
      </c>
      <c r="M116" s="227">
        <v>1454623</v>
      </c>
      <c r="N116" s="235">
        <v>1802</v>
      </c>
      <c r="O116" s="250">
        <v>45436.683437500003</v>
      </c>
      <c r="P116" s="359">
        <v>115</v>
      </c>
      <c r="Q116" s="246">
        <v>0</v>
      </c>
      <c r="R116" s="388">
        <v>0</v>
      </c>
      <c r="S116" s="400">
        <v>0</v>
      </c>
      <c r="T116" s="511">
        <v>0</v>
      </c>
      <c r="U116" s="511"/>
      <c r="V116" s="511"/>
      <c r="W116" s="487">
        <f t="shared" ref="W116" si="69">(V116*X116)</f>
        <v>0</v>
      </c>
      <c r="X116" s="397"/>
      <c r="Y116" s="374">
        <f>IF(D116&lt;&gt;0,($C117*(1-$AB$1))-$D116,0)</f>
        <v>84.669000000001688</v>
      </c>
      <c r="Z116" s="375"/>
      <c r="AA116" s="376"/>
      <c r="AB116" s="480"/>
    </row>
    <row r="117" spans="1:28" ht="12.75" customHeight="1">
      <c r="A117" s="344" t="s">
        <v>163</v>
      </c>
      <c r="B117" s="529">
        <v>590593</v>
      </c>
      <c r="C117" s="575">
        <v>53310</v>
      </c>
      <c r="D117" s="575">
        <v>53700</v>
      </c>
      <c r="E117" s="529">
        <v>500000</v>
      </c>
      <c r="F117" s="462">
        <v>53310</v>
      </c>
      <c r="G117" s="471">
        <v>-2.5399999999999999E-2</v>
      </c>
      <c r="H117" s="230">
        <v>54700</v>
      </c>
      <c r="I117" s="221">
        <v>55300</v>
      </c>
      <c r="J117" s="221">
        <v>52500</v>
      </c>
      <c r="K117" s="240">
        <v>54700</v>
      </c>
      <c r="L117" s="228">
        <v>11821979197</v>
      </c>
      <c r="M117" s="225">
        <v>22207112</v>
      </c>
      <c r="N117" s="228">
        <v>3738</v>
      </c>
      <c r="O117" s="251">
        <v>45436.708449074074</v>
      </c>
      <c r="P117" s="360">
        <v>116</v>
      </c>
      <c r="Q117" s="244">
        <v>0</v>
      </c>
      <c r="R117" s="387">
        <v>0</v>
      </c>
      <c r="S117" s="401">
        <v>0</v>
      </c>
      <c r="T117" s="512">
        <v>0</v>
      </c>
      <c r="U117" s="512"/>
      <c r="V117" s="512">
        <v>0</v>
      </c>
      <c r="W117" s="289">
        <f>V116*(F116/100)</f>
        <v>0</v>
      </c>
      <c r="X117" s="396"/>
      <c r="Y117" s="353" t="str">
        <f>IFERROR(INT(#REF!/(F116/100)),"")</f>
        <v/>
      </c>
      <c r="Z117" s="377"/>
      <c r="AA117" s="378"/>
      <c r="AB117" s="469"/>
    </row>
    <row r="118" spans="1:28" ht="12.75" customHeight="1">
      <c r="A118" s="455" t="s">
        <v>556</v>
      </c>
      <c r="B118" s="530"/>
      <c r="C118" s="573"/>
      <c r="D118" s="574"/>
      <c r="E118" s="534"/>
      <c r="F118" s="553"/>
      <c r="G118" s="470"/>
      <c r="H118" s="232"/>
      <c r="I118" s="222"/>
      <c r="J118" s="222"/>
      <c r="K118" s="243">
        <v>48</v>
      </c>
      <c r="L118" s="233"/>
      <c r="M118" s="226"/>
      <c r="N118" s="233"/>
      <c r="O118" s="252"/>
      <c r="P118" s="359">
        <v>117</v>
      </c>
      <c r="Q118" s="245">
        <v>0</v>
      </c>
      <c r="R118" s="390">
        <v>0</v>
      </c>
      <c r="S118" s="402">
        <v>0</v>
      </c>
      <c r="T118" s="513">
        <v>0</v>
      </c>
      <c r="U118" s="513"/>
      <c r="V118" s="513"/>
      <c r="W118" s="488">
        <f t="shared" ref="W118" si="70">(V118*X118)</f>
        <v>0</v>
      </c>
      <c r="X118" s="399"/>
      <c r="Y118" s="379">
        <f>IF(D118&lt;&gt;0,($C119*(1-$AB$1))-$D118,0)</f>
        <v>0</v>
      </c>
      <c r="Z118" s="380" t="str">
        <f>IFERROR(IF(C118&lt;&gt;"",$AA$1/(D116/100)*(C118/100),""),"")</f>
        <v/>
      </c>
      <c r="AA118" s="381" t="str">
        <f t="shared" ref="AA118:AA119" si="71">IFERROR($AC$1/(D118/100)*(C116/100),"")</f>
        <v/>
      </c>
      <c r="AB118" s="480"/>
    </row>
    <row r="119" spans="1:28" ht="12.75" customHeight="1">
      <c r="A119" s="344" t="s">
        <v>219</v>
      </c>
      <c r="B119" s="529">
        <v>4578</v>
      </c>
      <c r="C119" s="575">
        <v>43.3</v>
      </c>
      <c r="D119" s="575">
        <v>43.5</v>
      </c>
      <c r="E119" s="529">
        <v>5264</v>
      </c>
      <c r="F119" s="462">
        <v>43.5</v>
      </c>
      <c r="G119" s="555">
        <v>6.8999999999999999E-3</v>
      </c>
      <c r="H119" s="230">
        <v>43.3</v>
      </c>
      <c r="I119" s="221">
        <v>43.5</v>
      </c>
      <c r="J119" s="221">
        <v>43.3</v>
      </c>
      <c r="K119" s="240">
        <v>43.2</v>
      </c>
      <c r="L119" s="228">
        <v>11887</v>
      </c>
      <c r="M119" s="225">
        <v>27432</v>
      </c>
      <c r="N119" s="228">
        <v>8</v>
      </c>
      <c r="O119" s="251">
        <v>45436.695868055554</v>
      </c>
      <c r="P119" s="360">
        <v>118</v>
      </c>
      <c r="Q119" s="244">
        <v>0</v>
      </c>
      <c r="R119" s="387">
        <v>0</v>
      </c>
      <c r="S119" s="401">
        <v>0</v>
      </c>
      <c r="T119" s="512">
        <v>0</v>
      </c>
      <c r="U119" s="512"/>
      <c r="V119" s="512">
        <v>0</v>
      </c>
      <c r="W119" s="489">
        <f>V118*(F118/100)</f>
        <v>0</v>
      </c>
      <c r="X119" s="396"/>
      <c r="Y119" s="354" t="str">
        <f>IFERROR(INT(#REF!/(F118/100)),"")</f>
        <v/>
      </c>
      <c r="Z119" s="382">
        <f>IFERROR(IF(C119&lt;&gt;"",$AA$1/(D117/100)*(C119/100),""),"")</f>
        <v>0.96656211026258665</v>
      </c>
      <c r="AA119" s="383">
        <f t="shared" si="71"/>
        <v>1225.5172413793102</v>
      </c>
      <c r="AB119" s="469"/>
    </row>
    <row r="120" spans="1:28" ht="12.75" customHeight="1">
      <c r="A120" s="455" t="s">
        <v>557</v>
      </c>
      <c r="B120" s="530">
        <v>22</v>
      </c>
      <c r="C120" s="573">
        <v>43.57</v>
      </c>
      <c r="D120" s="574">
        <v>44.4</v>
      </c>
      <c r="E120" s="534">
        <v>486</v>
      </c>
      <c r="F120" s="554">
        <v>44.2</v>
      </c>
      <c r="G120" s="470">
        <v>-1.06E-2</v>
      </c>
      <c r="H120" s="232">
        <v>44</v>
      </c>
      <c r="I120" s="222">
        <v>45</v>
      </c>
      <c r="J120" s="222">
        <v>43.075000000000003</v>
      </c>
      <c r="K120" s="243">
        <v>44.677999999999997</v>
      </c>
      <c r="L120" s="233">
        <v>487367</v>
      </c>
      <c r="M120" s="226">
        <v>1105776</v>
      </c>
      <c r="N120" s="233">
        <v>769</v>
      </c>
      <c r="O120" s="252">
        <v>45436.682604166665</v>
      </c>
      <c r="P120" s="359">
        <v>119</v>
      </c>
      <c r="Q120" s="245">
        <v>0</v>
      </c>
      <c r="R120" s="390">
        <v>0</v>
      </c>
      <c r="S120" s="402">
        <v>0</v>
      </c>
      <c r="T120" s="513">
        <v>0</v>
      </c>
      <c r="U120" s="513"/>
      <c r="V120" s="513"/>
      <c r="W120" s="490">
        <f t="shared" ref="W120" si="72">(V120*X120)</f>
        <v>0</v>
      </c>
      <c r="X120" s="398"/>
      <c r="Y120" s="384">
        <f>IF(D120&lt;&gt;0,($C121*(1-$AB$1))-$D120,0)</f>
        <v>-0.20441999999999183</v>
      </c>
      <c r="Z120" s="385">
        <f>IFERROR(IF(C120&lt;&gt;"",$AA$1/(D116/100)*(C120/100),""),"")</f>
        <v>0.98136111484611199</v>
      </c>
      <c r="AA120" s="386">
        <f t="shared" ref="AA120:AA121" si="73">IFERROR($AC$1/(D120/100)*(C116/100),"")</f>
        <v>1195.4954954954953</v>
      </c>
      <c r="AB120" s="480"/>
    </row>
    <row r="121" spans="1:28" ht="12.75" customHeight="1">
      <c r="A121" s="439" t="s">
        <v>220</v>
      </c>
      <c r="B121" s="579">
        <v>20641</v>
      </c>
      <c r="C121" s="580">
        <v>44.2</v>
      </c>
      <c r="D121" s="580">
        <v>44.3</v>
      </c>
      <c r="E121" s="579">
        <v>1699</v>
      </c>
      <c r="F121" s="463">
        <v>44.3</v>
      </c>
      <c r="G121" s="473">
        <v>2.2000000000000001E-3</v>
      </c>
      <c r="H121" s="440">
        <v>44</v>
      </c>
      <c r="I121" s="441">
        <v>44.764000000000003</v>
      </c>
      <c r="J121" s="441">
        <v>43.4</v>
      </c>
      <c r="K121" s="454">
        <v>44.2</v>
      </c>
      <c r="L121" s="444">
        <v>995472</v>
      </c>
      <c r="M121" s="443">
        <v>2256791</v>
      </c>
      <c r="N121" s="444">
        <v>888</v>
      </c>
      <c r="O121" s="445">
        <v>45436.708668981482</v>
      </c>
      <c r="P121" s="360">
        <v>120</v>
      </c>
      <c r="Q121" s="446">
        <v>0</v>
      </c>
      <c r="R121" s="447">
        <v>0</v>
      </c>
      <c r="S121" s="448">
        <v>0</v>
      </c>
      <c r="T121" s="514">
        <v>0</v>
      </c>
      <c r="U121" s="514"/>
      <c r="V121" s="514">
        <v>0</v>
      </c>
      <c r="W121" s="493">
        <f>V120*(F120/100)</f>
        <v>0</v>
      </c>
      <c r="X121" s="408"/>
      <c r="Y121" s="427" t="str">
        <f>IFERROR(INT(#REF!/(F120/100)),"")</f>
        <v/>
      </c>
      <c r="Z121" s="428">
        <f>IFERROR(IF(C121&lt;&gt;"",$AA$1/(D117/100)*(C121/100),""),"")</f>
        <v>0.98665231578767509</v>
      </c>
      <c r="AA121" s="429">
        <f t="shared" si="73"/>
        <v>1203.3860045146728</v>
      </c>
      <c r="AB121" s="469"/>
    </row>
    <row r="122" spans="1:28" ht="12.75" customHeight="1">
      <c r="A122" s="456" t="s">
        <v>561</v>
      </c>
      <c r="B122" s="530">
        <v>171</v>
      </c>
      <c r="C122" s="573">
        <v>58150</v>
      </c>
      <c r="D122" s="574">
        <v>58550</v>
      </c>
      <c r="E122" s="534">
        <v>4089</v>
      </c>
      <c r="F122" s="553">
        <v>58550</v>
      </c>
      <c r="G122" s="470">
        <v>-2.3300000000000001E-2</v>
      </c>
      <c r="H122" s="231">
        <v>61290</v>
      </c>
      <c r="I122" s="223">
        <v>61290</v>
      </c>
      <c r="J122" s="223">
        <v>57780</v>
      </c>
      <c r="K122" s="242">
        <v>59950</v>
      </c>
      <c r="L122" s="235">
        <v>87175947</v>
      </c>
      <c r="M122" s="227">
        <v>148948</v>
      </c>
      <c r="N122" s="235">
        <v>282</v>
      </c>
      <c r="O122" s="250">
        <v>45436.687662037039</v>
      </c>
      <c r="P122" s="359">
        <v>121</v>
      </c>
      <c r="Q122" s="246">
        <v>0</v>
      </c>
      <c r="R122" s="388">
        <v>0</v>
      </c>
      <c r="S122" s="400">
        <v>0</v>
      </c>
      <c r="T122" s="511">
        <v>0</v>
      </c>
      <c r="U122" s="511"/>
      <c r="V122" s="511"/>
      <c r="W122" s="487">
        <f t="shared" ref="W122" si="74">(V122*X122)</f>
        <v>0</v>
      </c>
      <c r="X122" s="397"/>
      <c r="Y122" s="374">
        <f>IF(D122&lt;&gt;0,($C123*(1-$AB$1))-$D122,0)</f>
        <v>-175.8379999999961</v>
      </c>
      <c r="Z122" s="375"/>
      <c r="AA122" s="376"/>
      <c r="AB122" s="480"/>
    </row>
    <row r="123" spans="1:28" ht="12.75" customHeight="1">
      <c r="A123" s="344" t="s">
        <v>189</v>
      </c>
      <c r="B123" s="529">
        <v>3447</v>
      </c>
      <c r="C123" s="575">
        <v>58380</v>
      </c>
      <c r="D123" s="575">
        <v>59500</v>
      </c>
      <c r="E123" s="529">
        <v>2475</v>
      </c>
      <c r="F123" s="462">
        <v>58400</v>
      </c>
      <c r="G123" s="471">
        <v>-2.3399999999999997E-2</v>
      </c>
      <c r="H123" s="230">
        <v>61000</v>
      </c>
      <c r="I123" s="221">
        <v>61900</v>
      </c>
      <c r="J123" s="221">
        <v>57910</v>
      </c>
      <c r="K123" s="240">
        <v>59800</v>
      </c>
      <c r="L123" s="228">
        <v>3638881881</v>
      </c>
      <c r="M123" s="225">
        <v>6235649</v>
      </c>
      <c r="N123" s="228">
        <v>565</v>
      </c>
      <c r="O123" s="251">
        <v>45436.70853009259</v>
      </c>
      <c r="P123" s="360">
        <v>122</v>
      </c>
      <c r="Q123" s="244">
        <v>0</v>
      </c>
      <c r="R123" s="387">
        <v>0</v>
      </c>
      <c r="S123" s="401">
        <v>0</v>
      </c>
      <c r="T123" s="512">
        <v>0</v>
      </c>
      <c r="U123" s="512"/>
      <c r="V123" s="512">
        <v>0</v>
      </c>
      <c r="W123" s="289">
        <f>V122*(F122/100)</f>
        <v>0</v>
      </c>
      <c r="X123" s="396"/>
      <c r="Y123" s="353" t="str">
        <f>IFERROR(INT(#REF!/(F122/100)),"")</f>
        <v/>
      </c>
      <c r="Z123" s="377"/>
      <c r="AA123" s="378"/>
      <c r="AB123" s="469"/>
    </row>
    <row r="124" spans="1:28" ht="12.75" hidden="1" customHeight="1">
      <c r="A124" s="455" t="s">
        <v>562</v>
      </c>
      <c r="B124" s="530"/>
      <c r="C124" s="573"/>
      <c r="D124" s="574"/>
      <c r="E124" s="534"/>
      <c r="F124" s="553"/>
      <c r="G124" s="470"/>
      <c r="H124" s="232"/>
      <c r="I124" s="222"/>
      <c r="J124" s="222"/>
      <c r="K124" s="243">
        <v>49.18</v>
      </c>
      <c r="L124" s="233"/>
      <c r="M124" s="226"/>
      <c r="N124" s="233"/>
      <c r="O124" s="252"/>
      <c r="P124" s="359">
        <v>123</v>
      </c>
      <c r="Q124" s="245">
        <v>0</v>
      </c>
      <c r="R124" s="390">
        <v>0</v>
      </c>
      <c r="S124" s="402">
        <v>0</v>
      </c>
      <c r="T124" s="513">
        <v>0</v>
      </c>
      <c r="U124" s="513"/>
      <c r="V124" s="513"/>
      <c r="W124" s="488">
        <f t="shared" ref="W124" si="75">(V124*X124)</f>
        <v>0</v>
      </c>
      <c r="X124" s="399"/>
      <c r="Y124" s="379">
        <f>IF(D124&lt;&gt;0,($C125*(1-$AB$1))-$D124,0)</f>
        <v>0</v>
      </c>
      <c r="Z124" s="380" t="str">
        <f>IFERROR(IF(C124&lt;&gt;"",$AA$1/(D122/100)*(C124/100),""),"")</f>
        <v/>
      </c>
      <c r="AA124" s="381" t="str">
        <f t="shared" ref="AA124:AA125" si="76">IFERROR($AC$1/(D124/100)*(C122/100),"")</f>
        <v/>
      </c>
      <c r="AB124" s="480"/>
    </row>
    <row r="125" spans="1:28" ht="12.75" hidden="1" customHeight="1">
      <c r="A125" s="344" t="s">
        <v>233</v>
      </c>
      <c r="B125" s="529"/>
      <c r="C125" s="575"/>
      <c r="D125" s="575"/>
      <c r="E125" s="529"/>
      <c r="F125" s="462"/>
      <c r="G125" s="555"/>
      <c r="H125" s="230"/>
      <c r="I125" s="221"/>
      <c r="J125" s="221"/>
      <c r="K125" s="240">
        <v>52.3</v>
      </c>
      <c r="L125" s="228"/>
      <c r="M125" s="225"/>
      <c r="N125" s="228"/>
      <c r="O125" s="251"/>
      <c r="P125" s="360">
        <v>124</v>
      </c>
      <c r="Q125" s="244">
        <v>0</v>
      </c>
      <c r="R125" s="387">
        <v>0</v>
      </c>
      <c r="S125" s="401">
        <v>0</v>
      </c>
      <c r="T125" s="512">
        <v>0</v>
      </c>
      <c r="U125" s="512"/>
      <c r="V125" s="512">
        <v>0</v>
      </c>
      <c r="W125" s="489">
        <f>V124*(F124/100)</f>
        <v>0</v>
      </c>
      <c r="X125" s="396"/>
      <c r="Y125" s="354" t="str">
        <f>IFERROR(INT(#REF!/(F124/100)),"")</f>
        <v/>
      </c>
      <c r="Z125" s="382" t="str">
        <f>IFERROR(IF(C125&lt;&gt;"",$AA$1/(D123/100)*(C125/100),""),"")</f>
        <v/>
      </c>
      <c r="AA125" s="383" t="str">
        <f t="shared" si="76"/>
        <v/>
      </c>
      <c r="AB125" s="469"/>
    </row>
    <row r="126" spans="1:28" ht="12.75" customHeight="1">
      <c r="A126" s="455" t="s">
        <v>563</v>
      </c>
      <c r="B126" s="530">
        <v>713</v>
      </c>
      <c r="C126" s="573">
        <v>48</v>
      </c>
      <c r="D126" s="574">
        <v>49</v>
      </c>
      <c r="E126" s="534">
        <v>1040</v>
      </c>
      <c r="F126" s="554">
        <v>48.999000000000002</v>
      </c>
      <c r="G126" s="470">
        <v>6.8999999999999999E-3</v>
      </c>
      <c r="H126" s="232">
        <v>48.243000000000002</v>
      </c>
      <c r="I126" s="222">
        <v>49.01</v>
      </c>
      <c r="J126" s="222">
        <v>46.683999999999997</v>
      </c>
      <c r="K126" s="243">
        <v>48.66</v>
      </c>
      <c r="L126" s="233">
        <v>61196</v>
      </c>
      <c r="M126" s="226">
        <v>125811</v>
      </c>
      <c r="N126" s="233">
        <v>273</v>
      </c>
      <c r="O126" s="252">
        <v>45436.678703703707</v>
      </c>
      <c r="P126" s="359">
        <v>125</v>
      </c>
      <c r="Q126" s="245">
        <v>0</v>
      </c>
      <c r="R126" s="390">
        <v>0</v>
      </c>
      <c r="S126" s="402">
        <v>0</v>
      </c>
      <c r="T126" s="513">
        <v>0</v>
      </c>
      <c r="U126" s="513"/>
      <c r="V126" s="513">
        <v>0</v>
      </c>
      <c r="W126" s="490">
        <f t="shared" ref="W126" si="77">(V126*X126)</f>
        <v>0</v>
      </c>
      <c r="X126" s="398"/>
      <c r="Y126" s="384">
        <f>IF(D126&lt;&gt;0,($C127*(1-$AB$1))-$D126,0)</f>
        <v>-0.50484999999999758</v>
      </c>
      <c r="Z126" s="385">
        <f>IFERROR(IF(C126&lt;&gt;"",$AA$1/(D122/100)*(C126/100),""),"")</f>
        <v>0.98272158196162607</v>
      </c>
      <c r="AA126" s="386">
        <f t="shared" ref="AA126:AA127" si="78">IFERROR($AC$1/(D126/100)*(C122/100),"")</f>
        <v>1186.7346938775511</v>
      </c>
      <c r="AB126" s="480"/>
    </row>
    <row r="127" spans="1:28" ht="12.75" customHeight="1">
      <c r="A127" s="439" t="s">
        <v>234</v>
      </c>
      <c r="B127" s="579">
        <v>220000</v>
      </c>
      <c r="C127" s="580">
        <v>48.5</v>
      </c>
      <c r="D127" s="580">
        <v>48.93</v>
      </c>
      <c r="E127" s="579">
        <v>974</v>
      </c>
      <c r="F127" s="463">
        <v>48.113</v>
      </c>
      <c r="G127" s="473">
        <v>-1.8100000000000002E-2</v>
      </c>
      <c r="H127" s="440">
        <v>48.999000000000002</v>
      </c>
      <c r="I127" s="441">
        <v>50.5</v>
      </c>
      <c r="J127" s="441">
        <v>44.887</v>
      </c>
      <c r="K127" s="454">
        <v>49</v>
      </c>
      <c r="L127" s="444">
        <v>88785</v>
      </c>
      <c r="M127" s="443">
        <v>182481</v>
      </c>
      <c r="N127" s="444">
        <v>309</v>
      </c>
      <c r="O127" s="445">
        <v>45436.701874999999</v>
      </c>
      <c r="P127" s="360">
        <v>126</v>
      </c>
      <c r="Q127" s="446">
        <v>0</v>
      </c>
      <c r="R127" s="447">
        <v>0</v>
      </c>
      <c r="S127" s="448">
        <v>0</v>
      </c>
      <c r="T127" s="514">
        <v>0</v>
      </c>
      <c r="U127" s="514"/>
      <c r="V127" s="514">
        <v>0</v>
      </c>
      <c r="W127" s="492">
        <f>V126*(F126/100)</f>
        <v>0</v>
      </c>
      <c r="X127" s="408"/>
      <c r="Y127" s="427" t="str">
        <f>IFERROR(INT(#REF!/(F126/100)),"")</f>
        <v/>
      </c>
      <c r="Z127" s="428">
        <f>IFERROR(IF(C127&lt;&gt;"",$AA$1/(D123/100)*(C127/100),""),"")</f>
        <v>0.97710430961375361</v>
      </c>
      <c r="AA127" s="429">
        <f t="shared" si="78"/>
        <v>1193.1330472103002</v>
      </c>
      <c r="AB127" s="469"/>
    </row>
    <row r="128" spans="1:28" ht="12.75" customHeight="1">
      <c r="A128" s="456" t="s">
        <v>558</v>
      </c>
      <c r="B128" s="530">
        <v>20</v>
      </c>
      <c r="C128" s="573">
        <v>49350</v>
      </c>
      <c r="D128" s="574">
        <v>51000</v>
      </c>
      <c r="E128" s="534">
        <v>923</v>
      </c>
      <c r="F128" s="553">
        <v>49315</v>
      </c>
      <c r="G128" s="470">
        <v>-3.3399999999999999E-2</v>
      </c>
      <c r="H128" s="231">
        <v>52010</v>
      </c>
      <c r="I128" s="223">
        <v>53500</v>
      </c>
      <c r="J128" s="223">
        <v>49000</v>
      </c>
      <c r="K128" s="242">
        <v>51020</v>
      </c>
      <c r="L128" s="235">
        <v>96885240</v>
      </c>
      <c r="M128" s="227">
        <v>194171</v>
      </c>
      <c r="N128" s="235">
        <v>316</v>
      </c>
      <c r="O128" s="250">
        <v>45436.665891203702</v>
      </c>
      <c r="P128" s="359">
        <v>127</v>
      </c>
      <c r="Q128" s="246">
        <v>0</v>
      </c>
      <c r="R128" s="388">
        <v>0</v>
      </c>
      <c r="S128" s="400">
        <v>0</v>
      </c>
      <c r="T128" s="511">
        <v>0</v>
      </c>
      <c r="U128" s="511"/>
      <c r="V128" s="511"/>
      <c r="W128" s="487">
        <f t="shared" ref="W128" si="79">(V128*X128)</f>
        <v>0</v>
      </c>
      <c r="X128" s="397"/>
      <c r="Y128" s="374">
        <f>IF(D128&lt;&gt;0,($C129*(1-$AB$1))-$D128,0)</f>
        <v>-1304.9700000000012</v>
      </c>
      <c r="Z128" s="375"/>
      <c r="AA128" s="376"/>
      <c r="AB128" s="480"/>
    </row>
    <row r="129" spans="1:28" ht="12.75" customHeight="1">
      <c r="A129" s="344" t="s">
        <v>187</v>
      </c>
      <c r="B129" s="529">
        <v>139</v>
      </c>
      <c r="C129" s="575">
        <v>49700</v>
      </c>
      <c r="D129" s="575">
        <v>50250</v>
      </c>
      <c r="E129" s="529">
        <v>5000</v>
      </c>
      <c r="F129" s="462">
        <v>50250</v>
      </c>
      <c r="G129" s="471">
        <v>-1.95E-2</v>
      </c>
      <c r="H129" s="230">
        <v>51250</v>
      </c>
      <c r="I129" s="221">
        <v>52390</v>
      </c>
      <c r="J129" s="221">
        <v>49405</v>
      </c>
      <c r="K129" s="240">
        <v>51250</v>
      </c>
      <c r="L129" s="228">
        <v>1402344085</v>
      </c>
      <c r="M129" s="225">
        <v>2797758</v>
      </c>
      <c r="N129" s="228">
        <v>753</v>
      </c>
      <c r="O129" s="251">
        <v>45436.704745370371</v>
      </c>
      <c r="P129" s="360">
        <v>128</v>
      </c>
      <c r="Q129" s="244">
        <v>0</v>
      </c>
      <c r="R129" s="387">
        <v>0</v>
      </c>
      <c r="S129" s="401">
        <v>0</v>
      </c>
      <c r="T129" s="512">
        <v>0</v>
      </c>
      <c r="U129" s="512"/>
      <c r="V129" s="512">
        <v>0</v>
      </c>
      <c r="W129" s="289">
        <f>V128*(F128/100)</f>
        <v>0</v>
      </c>
      <c r="X129" s="396"/>
      <c r="Y129" s="353" t="str">
        <f>IFERROR(INT(#REF!/(F128/100)),"")</f>
        <v/>
      </c>
      <c r="Z129" s="377"/>
      <c r="AA129" s="378"/>
      <c r="AB129" s="469"/>
    </row>
    <row r="130" spans="1:28" ht="12.75" hidden="1" customHeight="1">
      <c r="A130" s="455" t="s">
        <v>559</v>
      </c>
      <c r="B130" s="530"/>
      <c r="C130" s="573"/>
      <c r="D130" s="574"/>
      <c r="E130" s="534"/>
      <c r="F130" s="553"/>
      <c r="G130" s="470"/>
      <c r="H130" s="232"/>
      <c r="I130" s="222"/>
      <c r="J130" s="222"/>
      <c r="K130" s="243">
        <v>36</v>
      </c>
      <c r="L130" s="233"/>
      <c r="M130" s="226"/>
      <c r="N130" s="233"/>
      <c r="O130" s="252"/>
      <c r="P130" s="359">
        <v>129</v>
      </c>
      <c r="Q130" s="245">
        <v>0</v>
      </c>
      <c r="R130" s="390">
        <v>0</v>
      </c>
      <c r="S130" s="402">
        <v>0</v>
      </c>
      <c r="T130" s="513">
        <v>0</v>
      </c>
      <c r="U130" s="513"/>
      <c r="V130" s="513"/>
      <c r="W130" s="488">
        <f t="shared" ref="W130" si="80">(V130*X130)</f>
        <v>0</v>
      </c>
      <c r="X130" s="399"/>
      <c r="Y130" s="379">
        <f>IF(D130&lt;&gt;0,($C131*(1-$AB$1))-$D130,0)</f>
        <v>0</v>
      </c>
      <c r="Z130" s="380" t="str">
        <f>IFERROR(IF(C130&lt;&gt;"",$AA$1/(D128/100)*(C130/100),""),"")</f>
        <v/>
      </c>
      <c r="AA130" s="381" t="str">
        <f t="shared" ref="AA130:AA131" si="81">IFERROR($AC$1/(D130/100)*(C128/100),"")</f>
        <v/>
      </c>
      <c r="AB130" s="480"/>
    </row>
    <row r="131" spans="1:28" ht="12.75" hidden="1" customHeight="1">
      <c r="A131" s="344" t="s">
        <v>235</v>
      </c>
      <c r="B131" s="529"/>
      <c r="C131" s="575"/>
      <c r="D131" s="575"/>
      <c r="E131" s="529"/>
      <c r="F131" s="462"/>
      <c r="G131" s="555"/>
      <c r="H131" s="230"/>
      <c r="I131" s="221"/>
      <c r="J131" s="221"/>
      <c r="K131" s="240">
        <v>44.95</v>
      </c>
      <c r="L131" s="228"/>
      <c r="M131" s="225"/>
      <c r="N131" s="228"/>
      <c r="O131" s="251"/>
      <c r="P131" s="360">
        <v>130</v>
      </c>
      <c r="Q131" s="244">
        <v>0</v>
      </c>
      <c r="R131" s="387">
        <v>0</v>
      </c>
      <c r="S131" s="401">
        <v>0</v>
      </c>
      <c r="T131" s="512">
        <v>0</v>
      </c>
      <c r="U131" s="512"/>
      <c r="V131" s="512">
        <v>0</v>
      </c>
      <c r="W131" s="489">
        <f>V130*(F130/100)</f>
        <v>0</v>
      </c>
      <c r="X131" s="396"/>
      <c r="Y131" s="354" t="str">
        <f>IFERROR(INT(#REF!/(F130/100)),"")</f>
        <v/>
      </c>
      <c r="Z131" s="382" t="str">
        <f>IFERROR(IF(C131&lt;&gt;"",$AA$1/(D129/100)*(C131/100),""),"")</f>
        <v/>
      </c>
      <c r="AA131" s="383" t="str">
        <f t="shared" si="81"/>
        <v/>
      </c>
      <c r="AB131" s="469"/>
    </row>
    <row r="132" spans="1:28" ht="12.75" customHeight="1">
      <c r="A132" s="455" t="s">
        <v>560</v>
      </c>
      <c r="B132" s="530">
        <v>5000</v>
      </c>
      <c r="C132" s="573">
        <v>41</v>
      </c>
      <c r="D132" s="574">
        <v>42.4</v>
      </c>
      <c r="E132" s="534">
        <v>32048</v>
      </c>
      <c r="F132" s="554">
        <v>41.473999999999997</v>
      </c>
      <c r="G132" s="470">
        <v>-1.1299999999999999E-2</v>
      </c>
      <c r="H132" s="232">
        <v>41.96</v>
      </c>
      <c r="I132" s="222">
        <v>42.399000000000001</v>
      </c>
      <c r="J132" s="222">
        <v>40.5</v>
      </c>
      <c r="K132" s="243">
        <v>41.95</v>
      </c>
      <c r="L132" s="233">
        <v>29597</v>
      </c>
      <c r="M132" s="226">
        <v>70903</v>
      </c>
      <c r="N132" s="233">
        <v>184</v>
      </c>
      <c r="O132" s="252">
        <v>45436.665856481479</v>
      </c>
      <c r="P132" s="359">
        <v>131</v>
      </c>
      <c r="Q132" s="245">
        <v>0</v>
      </c>
      <c r="R132" s="390">
        <v>0</v>
      </c>
      <c r="S132" s="402">
        <v>0</v>
      </c>
      <c r="T132" s="513">
        <v>0</v>
      </c>
      <c r="U132" s="513"/>
      <c r="V132" s="513">
        <v>0</v>
      </c>
      <c r="W132" s="490">
        <f t="shared" ref="W132" si="82">(V132*X132)</f>
        <v>0</v>
      </c>
      <c r="X132" s="398"/>
      <c r="Y132" s="384">
        <f>IF(D132&lt;&gt;0,($C133*(1-$AB$1))-$D132,0)</f>
        <v>-1.2841120000000004</v>
      </c>
      <c r="Z132" s="385">
        <f>IFERROR(IF(C132&lt;&gt;"",$AA$1/(D128/100)*(C132/100),""),"")</f>
        <v>0.96367332254002491</v>
      </c>
      <c r="AA132" s="386">
        <f t="shared" ref="AA132:AA133" si="83">IFERROR($AC$1/(D132/100)*(C128/100),"")</f>
        <v>1163.9150943396228</v>
      </c>
      <c r="AB132" s="480"/>
    </row>
    <row r="133" spans="1:28" ht="12.75" customHeight="1">
      <c r="A133" s="439" t="s">
        <v>236</v>
      </c>
      <c r="B133" s="579">
        <v>1000</v>
      </c>
      <c r="C133" s="580">
        <v>41.12</v>
      </c>
      <c r="D133" s="580">
        <v>41.75</v>
      </c>
      <c r="E133" s="579">
        <v>6543</v>
      </c>
      <c r="F133" s="463">
        <v>42</v>
      </c>
      <c r="G133" s="473">
        <v>4.6999999999999993E-3</v>
      </c>
      <c r="H133" s="440">
        <v>41</v>
      </c>
      <c r="I133" s="441">
        <v>43.7</v>
      </c>
      <c r="J133" s="441">
        <v>39.799999999999997</v>
      </c>
      <c r="K133" s="454">
        <v>41.8</v>
      </c>
      <c r="L133" s="444">
        <v>61759</v>
      </c>
      <c r="M133" s="443">
        <v>149635</v>
      </c>
      <c r="N133" s="444">
        <v>148</v>
      </c>
      <c r="O133" s="445">
        <v>45436.701527777775</v>
      </c>
      <c r="P133" s="360">
        <v>132</v>
      </c>
      <c r="Q133" s="446">
        <v>0</v>
      </c>
      <c r="R133" s="447">
        <v>0</v>
      </c>
      <c r="S133" s="448">
        <v>0</v>
      </c>
      <c r="T133" s="514">
        <v>0</v>
      </c>
      <c r="U133" s="514"/>
      <c r="V133" s="514">
        <v>0</v>
      </c>
      <c r="W133" s="492">
        <f>V132*(F132/100)</f>
        <v>0</v>
      </c>
      <c r="X133" s="408"/>
      <c r="Y133" s="427" t="str">
        <f>IFERROR(INT(#REF!/(F132/100)),"")</f>
        <v/>
      </c>
      <c r="Z133" s="428">
        <f>IFERROR(IF(C133&lt;&gt;"",$AA$1/(D129/100)*(C133/100),""),"")</f>
        <v>0.98091911086767969</v>
      </c>
      <c r="AA133" s="429">
        <f t="shared" si="83"/>
        <v>1190.4191616766468</v>
      </c>
      <c r="AB133" s="469"/>
    </row>
    <row r="134" spans="1:28" ht="12.75" customHeight="1">
      <c r="A134" s="456" t="s">
        <v>564</v>
      </c>
      <c r="B134" s="530">
        <v>1000</v>
      </c>
      <c r="C134" s="573">
        <v>52000</v>
      </c>
      <c r="D134" s="574">
        <v>56000</v>
      </c>
      <c r="E134" s="534">
        <v>50</v>
      </c>
      <c r="F134" s="553">
        <v>51010</v>
      </c>
      <c r="G134" s="470">
        <v>-9.7100000000000006E-2</v>
      </c>
      <c r="H134" s="231">
        <v>56180</v>
      </c>
      <c r="I134" s="223">
        <v>57500</v>
      </c>
      <c r="J134" s="223">
        <v>51010</v>
      </c>
      <c r="K134" s="242">
        <v>56500</v>
      </c>
      <c r="L134" s="235">
        <v>4661643</v>
      </c>
      <c r="M134" s="227">
        <v>8355</v>
      </c>
      <c r="N134" s="235">
        <v>64</v>
      </c>
      <c r="O134" s="250">
        <v>45436.678310185183</v>
      </c>
      <c r="P134" s="359">
        <v>133</v>
      </c>
      <c r="Q134" s="246">
        <v>0</v>
      </c>
      <c r="R134" s="388">
        <v>0</v>
      </c>
      <c r="S134" s="400">
        <v>0</v>
      </c>
      <c r="T134" s="511">
        <v>0</v>
      </c>
      <c r="U134" s="511"/>
      <c r="V134" s="511"/>
      <c r="W134" s="487">
        <f t="shared" ref="W134" si="84">(V134*X134)</f>
        <v>0</v>
      </c>
      <c r="X134" s="397"/>
      <c r="Y134" s="374">
        <f>IF(D134&lt;&gt;0,($C135*(1-$AB$1))-$D134,0)</f>
        <v>-95.591000000000349</v>
      </c>
      <c r="Z134" s="375"/>
      <c r="AA134" s="376"/>
      <c r="AB134" s="480"/>
    </row>
    <row r="135" spans="1:28" ht="12.75" customHeight="1">
      <c r="A135" s="344" t="s">
        <v>188</v>
      </c>
      <c r="B135" s="529">
        <v>99</v>
      </c>
      <c r="C135" s="575">
        <v>55910</v>
      </c>
      <c r="D135" s="575">
        <v>56290</v>
      </c>
      <c r="E135" s="529">
        <v>808</v>
      </c>
      <c r="F135" s="462">
        <v>56290</v>
      </c>
      <c r="G135" s="471">
        <v>-8.8000000000000005E-3</v>
      </c>
      <c r="H135" s="230">
        <v>56990</v>
      </c>
      <c r="I135" s="221">
        <v>57250</v>
      </c>
      <c r="J135" s="221">
        <v>55600</v>
      </c>
      <c r="K135" s="240">
        <v>56790</v>
      </c>
      <c r="L135" s="228">
        <v>547923317</v>
      </c>
      <c r="M135" s="225">
        <v>972017</v>
      </c>
      <c r="N135" s="228">
        <v>180</v>
      </c>
      <c r="O135" s="251">
        <v>45436.708356481482</v>
      </c>
      <c r="P135" s="360">
        <v>134</v>
      </c>
      <c r="Q135" s="244">
        <v>0</v>
      </c>
      <c r="R135" s="387">
        <v>0</v>
      </c>
      <c r="S135" s="401">
        <v>0</v>
      </c>
      <c r="T135" s="512">
        <v>0</v>
      </c>
      <c r="U135" s="512"/>
      <c r="V135" s="512">
        <v>0</v>
      </c>
      <c r="W135" s="289">
        <f>V134*(F134/100)</f>
        <v>0</v>
      </c>
      <c r="X135" s="396"/>
      <c r="Y135" s="353" t="str">
        <f>IFERROR(INT(#REF!/(F134/100)),"")</f>
        <v/>
      </c>
      <c r="Z135" s="377"/>
      <c r="AA135" s="378"/>
      <c r="AB135" s="469"/>
    </row>
    <row r="136" spans="1:28" ht="12.75" hidden="1" customHeight="1">
      <c r="A136" s="455" t="s">
        <v>565</v>
      </c>
      <c r="B136" s="530"/>
      <c r="C136" s="573"/>
      <c r="D136" s="574"/>
      <c r="E136" s="534"/>
      <c r="F136" s="553"/>
      <c r="G136" s="470"/>
      <c r="H136" s="232"/>
      <c r="I136" s="222"/>
      <c r="J136" s="222"/>
      <c r="K136" s="243">
        <v>21</v>
      </c>
      <c r="L136" s="233"/>
      <c r="M136" s="226"/>
      <c r="N136" s="233"/>
      <c r="O136" s="252"/>
      <c r="P136" s="359">
        <v>135</v>
      </c>
      <c r="Q136" s="245">
        <v>0</v>
      </c>
      <c r="R136" s="390">
        <v>0</v>
      </c>
      <c r="S136" s="402">
        <v>0</v>
      </c>
      <c r="T136" s="513">
        <v>0</v>
      </c>
      <c r="U136" s="513"/>
      <c r="V136" s="513"/>
      <c r="W136" s="488">
        <f t="shared" ref="W136" si="85">(V136*X136)</f>
        <v>0</v>
      </c>
      <c r="X136" s="399"/>
      <c r="Y136" s="379">
        <f>IF(D136&lt;&gt;0,($C137*(1-$AB$1))-$D136,0)</f>
        <v>0</v>
      </c>
      <c r="Z136" s="380" t="str">
        <f>IFERROR(IF(C136&lt;&gt;"",$AA$1/(D134/100)*(C136/100),""),"")</f>
        <v/>
      </c>
      <c r="AA136" s="381" t="str">
        <f t="shared" ref="AA136:AA137" si="86">IFERROR($AC$1/(D136/100)*(C134/100),"")</f>
        <v/>
      </c>
      <c r="AB136" s="480"/>
    </row>
    <row r="137" spans="1:28" ht="12.75" hidden="1" customHeight="1">
      <c r="A137" s="344" t="s">
        <v>275</v>
      </c>
      <c r="B137" s="529"/>
      <c r="C137" s="575"/>
      <c r="D137" s="575"/>
      <c r="E137" s="529"/>
      <c r="F137" s="462"/>
      <c r="G137" s="555"/>
      <c r="H137" s="230"/>
      <c r="I137" s="221"/>
      <c r="J137" s="221"/>
      <c r="K137" s="240">
        <v>25.27</v>
      </c>
      <c r="L137" s="228"/>
      <c r="M137" s="225"/>
      <c r="N137" s="228"/>
      <c r="O137" s="251"/>
      <c r="P137" s="360">
        <v>136</v>
      </c>
      <c r="Q137" s="244">
        <v>0</v>
      </c>
      <c r="R137" s="387">
        <v>0</v>
      </c>
      <c r="S137" s="401">
        <v>0</v>
      </c>
      <c r="T137" s="512">
        <v>0</v>
      </c>
      <c r="U137" s="512"/>
      <c r="V137" s="512">
        <v>0</v>
      </c>
      <c r="W137" s="489">
        <f>V136*(F136/100)</f>
        <v>0</v>
      </c>
      <c r="X137" s="396"/>
      <c r="Y137" s="354" t="str">
        <f>IFERROR(INT(#REF!/(F136/100)),"")</f>
        <v/>
      </c>
      <c r="Z137" s="382" t="str">
        <f>IFERROR(IF(C137&lt;&gt;"",$AA$1/(D135/100)*(C137/100),""),"")</f>
        <v/>
      </c>
      <c r="AA137" s="383" t="str">
        <f t="shared" si="86"/>
        <v/>
      </c>
      <c r="AB137" s="469"/>
    </row>
    <row r="138" spans="1:28" ht="12.75" customHeight="1">
      <c r="A138" s="455" t="s">
        <v>566</v>
      </c>
      <c r="B138" s="530">
        <v>8</v>
      </c>
      <c r="C138" s="573">
        <v>46</v>
      </c>
      <c r="D138" s="574">
        <v>47.17</v>
      </c>
      <c r="E138" s="534">
        <v>424</v>
      </c>
      <c r="F138" s="554">
        <v>46</v>
      </c>
      <c r="G138" s="470">
        <v>-1.0700000000000001E-2</v>
      </c>
      <c r="H138" s="232">
        <v>48</v>
      </c>
      <c r="I138" s="222">
        <v>48</v>
      </c>
      <c r="J138" s="222">
        <v>45</v>
      </c>
      <c r="K138" s="243">
        <v>46.5</v>
      </c>
      <c r="L138" s="233">
        <v>4420</v>
      </c>
      <c r="M138" s="226">
        <v>9352</v>
      </c>
      <c r="N138" s="233">
        <v>24</v>
      </c>
      <c r="O138" s="252">
        <v>45436.682800925926</v>
      </c>
      <c r="P138" s="359">
        <v>137</v>
      </c>
      <c r="Q138" s="245">
        <v>0</v>
      </c>
      <c r="R138" s="390">
        <v>0</v>
      </c>
      <c r="S138" s="402">
        <v>0</v>
      </c>
      <c r="T138" s="513">
        <v>0</v>
      </c>
      <c r="U138" s="513"/>
      <c r="V138" s="513">
        <v>0</v>
      </c>
      <c r="W138" s="490">
        <f t="shared" ref="W138" si="87">(V138*X138)</f>
        <v>0</v>
      </c>
      <c r="X138" s="398"/>
      <c r="Y138" s="384">
        <f>IF(D138&lt;&gt;0,($C139*(1-$AB$1))-$D138,0)</f>
        <v>-0.17470000000000141</v>
      </c>
      <c r="Z138" s="385">
        <f>IFERROR(IF(C138&lt;&gt;"",$AA$1/(D134/100)*(C138/100),""),"")</f>
        <v>0.98465923984272596</v>
      </c>
      <c r="AA138" s="386">
        <f t="shared" ref="AA138:AA139" si="88">IFERROR($AC$1/(D138/100)*(C134/100),"")</f>
        <v>1102.3955904176382</v>
      </c>
      <c r="AB138" s="480"/>
    </row>
    <row r="139" spans="1:28" ht="12.75" customHeight="1">
      <c r="A139" s="439" t="s">
        <v>276</v>
      </c>
      <c r="B139" s="579">
        <v>100</v>
      </c>
      <c r="C139" s="580">
        <v>47</v>
      </c>
      <c r="D139" s="580">
        <v>47.23</v>
      </c>
      <c r="E139" s="579">
        <v>300</v>
      </c>
      <c r="F139" s="463">
        <v>47</v>
      </c>
      <c r="G139" s="473">
        <v>-1.06E-2</v>
      </c>
      <c r="H139" s="440">
        <v>47</v>
      </c>
      <c r="I139" s="441">
        <v>47.4</v>
      </c>
      <c r="J139" s="441">
        <v>46</v>
      </c>
      <c r="K139" s="454">
        <v>47</v>
      </c>
      <c r="L139" s="444">
        <v>9759</v>
      </c>
      <c r="M139" s="443">
        <v>20936</v>
      </c>
      <c r="N139" s="444">
        <v>46</v>
      </c>
      <c r="O139" s="445">
        <v>45436.685891203706</v>
      </c>
      <c r="P139" s="360">
        <v>138</v>
      </c>
      <c r="Q139" s="446">
        <v>0</v>
      </c>
      <c r="R139" s="447">
        <v>0</v>
      </c>
      <c r="S139" s="448">
        <v>0</v>
      </c>
      <c r="T139" s="514">
        <v>0</v>
      </c>
      <c r="U139" s="514"/>
      <c r="V139" s="514">
        <v>0</v>
      </c>
      <c r="W139" s="492">
        <f>V138*(F138/100)</f>
        <v>0</v>
      </c>
      <c r="X139" s="408"/>
      <c r="Y139" s="427" t="str">
        <f>IFERROR(INT(#REF!/(F138/100)),"")</f>
        <v/>
      </c>
      <c r="Z139" s="428">
        <f>IFERROR(IF(C139&lt;&gt;"",$AA$1/(D135/100)*(C139/100),""),"")</f>
        <v>1.0008817379201089</v>
      </c>
      <c r="AA139" s="429">
        <f t="shared" si="88"/>
        <v>1183.7814948126193</v>
      </c>
      <c r="AB139" s="469"/>
    </row>
    <row r="140" spans="1:28" ht="12.75" customHeight="1">
      <c r="A140" s="456" t="s">
        <v>567</v>
      </c>
      <c r="B140" s="530"/>
      <c r="C140" s="573"/>
      <c r="D140" s="574"/>
      <c r="E140" s="534"/>
      <c r="F140" s="553"/>
      <c r="G140" s="470"/>
      <c r="H140" s="231"/>
      <c r="I140" s="223"/>
      <c r="J140" s="223"/>
      <c r="K140" s="242"/>
      <c r="L140" s="235"/>
      <c r="M140" s="227"/>
      <c r="N140" s="235"/>
      <c r="O140" s="250"/>
      <c r="P140" s="359">
        <v>139</v>
      </c>
      <c r="Q140" s="246">
        <v>0</v>
      </c>
      <c r="R140" s="388">
        <v>0</v>
      </c>
      <c r="S140" s="400">
        <v>0</v>
      </c>
      <c r="T140" s="511">
        <v>0</v>
      </c>
      <c r="U140" s="511"/>
      <c r="V140" s="511"/>
      <c r="W140" s="487">
        <f t="shared" ref="W140" si="89">(V140*X140)</f>
        <v>0</v>
      </c>
      <c r="X140" s="397"/>
      <c r="Y140" s="374">
        <f>IF(D140&lt;&gt;0,($C141*(1-$AB$1))-$D140,0)</f>
        <v>0</v>
      </c>
      <c r="Z140" s="375"/>
      <c r="AA140" s="376"/>
      <c r="AB140" s="480"/>
    </row>
    <row r="141" spans="1:28" ht="12.75" customHeight="1">
      <c r="A141" s="344" t="s">
        <v>568</v>
      </c>
      <c r="B141" s="529"/>
      <c r="C141" s="575"/>
      <c r="D141" s="575"/>
      <c r="E141" s="529"/>
      <c r="F141" s="462"/>
      <c r="G141" s="471"/>
      <c r="H141" s="230"/>
      <c r="I141" s="221"/>
      <c r="J141" s="221"/>
      <c r="K141" s="240"/>
      <c r="L141" s="228"/>
      <c r="M141" s="225"/>
      <c r="N141" s="228"/>
      <c r="O141" s="251"/>
      <c r="P141" s="360">
        <v>140</v>
      </c>
      <c r="Q141" s="244">
        <v>0</v>
      </c>
      <c r="R141" s="387">
        <v>0</v>
      </c>
      <c r="S141" s="401">
        <v>0</v>
      </c>
      <c r="T141" s="512">
        <v>0</v>
      </c>
      <c r="U141" s="512"/>
      <c r="V141" s="512">
        <v>0</v>
      </c>
      <c r="W141" s="289">
        <f>V140*(F140/100)</f>
        <v>0</v>
      </c>
      <c r="X141" s="396"/>
      <c r="Y141" s="353" t="str">
        <f>IFERROR(INT(#REF!/(F140/100)),"")</f>
        <v/>
      </c>
      <c r="Z141" s="377"/>
      <c r="AA141" s="378"/>
      <c r="AB141" s="469"/>
    </row>
    <row r="142" spans="1:28" ht="12.75" customHeight="1">
      <c r="A142" s="455" t="s">
        <v>569</v>
      </c>
      <c r="B142" s="530"/>
      <c r="C142" s="573"/>
      <c r="D142" s="574"/>
      <c r="E142" s="534"/>
      <c r="F142" s="553"/>
      <c r="G142" s="470"/>
      <c r="H142" s="232"/>
      <c r="I142" s="222"/>
      <c r="J142" s="222"/>
      <c r="K142" s="243"/>
      <c r="L142" s="233"/>
      <c r="M142" s="226"/>
      <c r="N142" s="233"/>
      <c r="O142" s="252"/>
      <c r="P142" s="359">
        <v>141</v>
      </c>
      <c r="Q142" s="245">
        <v>0</v>
      </c>
      <c r="R142" s="390">
        <v>0</v>
      </c>
      <c r="S142" s="402">
        <v>0</v>
      </c>
      <c r="T142" s="513">
        <v>0</v>
      </c>
      <c r="U142" s="513"/>
      <c r="V142" s="513"/>
      <c r="W142" s="488">
        <f t="shared" ref="W142" si="90">(V142*X142)</f>
        <v>0</v>
      </c>
      <c r="X142" s="399"/>
      <c r="Y142" s="379">
        <f>IF(D142&lt;&gt;0,($C143*(1-$AB$1))-$D142,0)</f>
        <v>0</v>
      </c>
      <c r="Z142" s="380" t="str">
        <f>IFERROR(IF(C142&lt;&gt;"",$AA$1/(D140/100)*(C142/100),""),"")</f>
        <v/>
      </c>
      <c r="AA142" s="381" t="str">
        <f t="shared" ref="AA142:AA143" si="91">IFERROR($AC$1/(D142/100)*(C140/100),"")</f>
        <v/>
      </c>
      <c r="AB142" s="480"/>
    </row>
    <row r="143" spans="1:28" ht="12.75" customHeight="1">
      <c r="A143" s="344" t="s">
        <v>570</v>
      </c>
      <c r="B143" s="529"/>
      <c r="C143" s="575"/>
      <c r="D143" s="575"/>
      <c r="E143" s="529"/>
      <c r="F143" s="462"/>
      <c r="G143" s="555"/>
      <c r="H143" s="230"/>
      <c r="I143" s="221"/>
      <c r="J143" s="221"/>
      <c r="K143" s="240"/>
      <c r="L143" s="228"/>
      <c r="M143" s="225"/>
      <c r="N143" s="228"/>
      <c r="O143" s="251"/>
      <c r="P143" s="360">
        <v>142</v>
      </c>
      <c r="Q143" s="244">
        <v>0</v>
      </c>
      <c r="R143" s="387">
        <v>0</v>
      </c>
      <c r="S143" s="401">
        <v>0</v>
      </c>
      <c r="T143" s="512">
        <v>0</v>
      </c>
      <c r="U143" s="512"/>
      <c r="V143" s="512">
        <v>0</v>
      </c>
      <c r="W143" s="489">
        <f>V142*(F142/100)</f>
        <v>0</v>
      </c>
      <c r="X143" s="396"/>
      <c r="Y143" s="354" t="str">
        <f>IFERROR(INT(#REF!/(F142/100)),"")</f>
        <v/>
      </c>
      <c r="Z143" s="382" t="str">
        <f>IFERROR(IF(C143&lt;&gt;"",$AA$1/(D141/100)*(C143/100),""),"")</f>
        <v/>
      </c>
      <c r="AA143" s="383" t="str">
        <f t="shared" si="91"/>
        <v/>
      </c>
      <c r="AB143" s="469"/>
    </row>
    <row r="144" spans="1:28" ht="12.75" customHeight="1">
      <c r="A144" s="455" t="s">
        <v>571</v>
      </c>
      <c r="B144" s="530"/>
      <c r="C144" s="573"/>
      <c r="D144" s="574"/>
      <c r="E144" s="534"/>
      <c r="F144" s="554"/>
      <c r="G144" s="470"/>
      <c r="H144" s="232"/>
      <c r="I144" s="222"/>
      <c r="J144" s="222"/>
      <c r="K144" s="243"/>
      <c r="L144" s="233"/>
      <c r="M144" s="226"/>
      <c r="N144" s="233"/>
      <c r="O144" s="252"/>
      <c r="P144" s="359">
        <v>143</v>
      </c>
      <c r="Q144" s="245">
        <v>0</v>
      </c>
      <c r="R144" s="390">
        <v>0</v>
      </c>
      <c r="S144" s="402">
        <v>0</v>
      </c>
      <c r="T144" s="513">
        <v>0</v>
      </c>
      <c r="U144" s="513"/>
      <c r="V144" s="513"/>
      <c r="W144" s="490">
        <f t="shared" ref="W144" si="92">(V144*X144)</f>
        <v>0</v>
      </c>
      <c r="X144" s="398"/>
      <c r="Y144" s="384">
        <f>IF(D144&lt;&gt;0,($C145*(1-$AB$1))-$D144,0)</f>
        <v>0</v>
      </c>
      <c r="Z144" s="385" t="str">
        <f>IFERROR(IF(C144&lt;&gt;"",$AA$1/(D140/100)*(C144/100),""),"")</f>
        <v/>
      </c>
      <c r="AA144" s="386" t="str">
        <f t="shared" ref="AA144:AA145" si="93">IFERROR($AC$1/(D144/100)*(C140/100),"")</f>
        <v/>
      </c>
      <c r="AB144" s="480"/>
    </row>
    <row r="145" spans="1:28" ht="12.75" customHeight="1">
      <c r="A145" s="439" t="s">
        <v>572</v>
      </c>
      <c r="B145" s="579"/>
      <c r="C145" s="580"/>
      <c r="D145" s="580"/>
      <c r="E145" s="579"/>
      <c r="F145" s="463"/>
      <c r="G145" s="473"/>
      <c r="H145" s="440"/>
      <c r="I145" s="441"/>
      <c r="J145" s="441"/>
      <c r="K145" s="454"/>
      <c r="L145" s="444"/>
      <c r="M145" s="443"/>
      <c r="N145" s="444"/>
      <c r="O145" s="445"/>
      <c r="P145" s="360">
        <v>144</v>
      </c>
      <c r="Q145" s="446">
        <v>0</v>
      </c>
      <c r="R145" s="447">
        <v>0</v>
      </c>
      <c r="S145" s="448">
        <v>0</v>
      </c>
      <c r="T145" s="514">
        <v>0</v>
      </c>
      <c r="U145" s="514"/>
      <c r="V145" s="514">
        <v>0</v>
      </c>
      <c r="W145" s="492">
        <f>V144*(F144/100)</f>
        <v>0</v>
      </c>
      <c r="X145" s="408"/>
      <c r="Y145" s="427" t="str">
        <f>IFERROR(INT(#REF!/(F144/100)),"")</f>
        <v/>
      </c>
      <c r="Z145" s="428" t="str">
        <f>IFERROR(IF(C145&lt;&gt;"",$AA$1/(D141/100)*(C145/100),""),"")</f>
        <v/>
      </c>
      <c r="AA145" s="429" t="str">
        <f t="shared" si="93"/>
        <v/>
      </c>
      <c r="AB145" s="469"/>
    </row>
    <row r="146" spans="1:28" ht="12.75" customHeight="1">
      <c r="A146" s="456" t="s">
        <v>534</v>
      </c>
      <c r="B146" s="530">
        <v>2</v>
      </c>
      <c r="C146" s="573">
        <v>53750</v>
      </c>
      <c r="D146" s="574">
        <v>53900</v>
      </c>
      <c r="E146" s="534">
        <v>50</v>
      </c>
      <c r="F146" s="553">
        <v>53750</v>
      </c>
      <c r="G146" s="470">
        <v>-2.53E-2</v>
      </c>
      <c r="H146" s="231">
        <v>55100</v>
      </c>
      <c r="I146" s="223">
        <v>55520</v>
      </c>
      <c r="J146" s="223">
        <v>53500</v>
      </c>
      <c r="K146" s="242">
        <v>55150</v>
      </c>
      <c r="L146" s="235">
        <v>27813381</v>
      </c>
      <c r="M146" s="227">
        <v>51302</v>
      </c>
      <c r="N146" s="235">
        <v>191</v>
      </c>
      <c r="O146" s="250">
        <v>45436.679375</v>
      </c>
      <c r="P146" s="359">
        <v>145</v>
      </c>
      <c r="Q146" s="246">
        <v>0</v>
      </c>
      <c r="R146" s="388">
        <v>0</v>
      </c>
      <c r="S146" s="400">
        <v>0</v>
      </c>
      <c r="T146" s="511">
        <v>0</v>
      </c>
      <c r="U146" s="511"/>
      <c r="V146" s="511">
        <v>0</v>
      </c>
      <c r="W146" s="487">
        <f t="shared" ref="W146" si="94">(V146*X146)</f>
        <v>0</v>
      </c>
      <c r="X146" s="397"/>
      <c r="Y146" s="374">
        <f>IF(D146&lt;&gt;0,($C147*(1-$AB$1))-$D146,0)</f>
        <v>-55.385000000002037</v>
      </c>
      <c r="Z146" s="375"/>
      <c r="AA146" s="376"/>
      <c r="AB146" s="480"/>
    </row>
    <row r="147" spans="1:28" ht="12.75" customHeight="1">
      <c r="A147" s="344" t="s">
        <v>535</v>
      </c>
      <c r="B147" s="529">
        <v>405</v>
      </c>
      <c r="C147" s="575">
        <v>53850</v>
      </c>
      <c r="D147" s="575">
        <v>53860</v>
      </c>
      <c r="E147" s="529">
        <v>305</v>
      </c>
      <c r="F147" s="462">
        <v>53860</v>
      </c>
      <c r="G147" s="471">
        <v>-2.2499999999999999E-2</v>
      </c>
      <c r="H147" s="230">
        <v>55200</v>
      </c>
      <c r="I147" s="221">
        <v>55700</v>
      </c>
      <c r="J147" s="221">
        <v>53120</v>
      </c>
      <c r="K147" s="240">
        <v>55100</v>
      </c>
      <c r="L147" s="228">
        <v>332322508</v>
      </c>
      <c r="M147" s="225">
        <v>612957</v>
      </c>
      <c r="N147" s="228">
        <v>622</v>
      </c>
      <c r="O147" s="251">
        <v>45436.708657407406</v>
      </c>
      <c r="P147" s="360">
        <v>146</v>
      </c>
      <c r="Q147" s="244">
        <v>0</v>
      </c>
      <c r="R147" s="387">
        <v>0</v>
      </c>
      <c r="S147" s="401">
        <v>0</v>
      </c>
      <c r="T147" s="512">
        <v>0</v>
      </c>
      <c r="U147" s="512"/>
      <c r="V147" s="512">
        <v>0</v>
      </c>
      <c r="W147" s="289">
        <f>V146*(F146/100)</f>
        <v>0</v>
      </c>
      <c r="X147" s="396"/>
      <c r="Y147" s="353" t="str">
        <f>IFERROR(INT(#REF!/(F146/100)),"")</f>
        <v/>
      </c>
      <c r="Z147" s="377"/>
      <c r="AA147" s="378"/>
      <c r="AB147" s="469"/>
    </row>
    <row r="148" spans="1:28" ht="12.75" hidden="1" customHeight="1">
      <c r="A148" s="455" t="s">
        <v>536</v>
      </c>
      <c r="B148" s="530"/>
      <c r="C148" s="573"/>
      <c r="D148" s="574"/>
      <c r="E148" s="534"/>
      <c r="F148" s="553"/>
      <c r="G148" s="470"/>
      <c r="H148" s="232"/>
      <c r="I148" s="222"/>
      <c r="J148" s="222"/>
      <c r="K148" s="243">
        <v>38.42</v>
      </c>
      <c r="L148" s="233"/>
      <c r="M148" s="226"/>
      <c r="N148" s="233"/>
      <c r="O148" s="252"/>
      <c r="P148" s="359">
        <v>147</v>
      </c>
      <c r="Q148" s="245">
        <v>0</v>
      </c>
      <c r="R148" s="390">
        <v>0</v>
      </c>
      <c r="S148" s="402">
        <v>0</v>
      </c>
      <c r="T148" s="513">
        <v>0</v>
      </c>
      <c r="U148" s="513"/>
      <c r="V148" s="513"/>
      <c r="W148" s="488">
        <f t="shared" ref="W148" si="95">(V148*X148)</f>
        <v>0</v>
      </c>
      <c r="X148" s="399"/>
      <c r="Y148" s="379">
        <f>IF(D148&lt;&gt;0,($C149*(1-$AB$1))-$D148,0)</f>
        <v>0</v>
      </c>
      <c r="Z148" s="380" t="str">
        <f>IFERROR(IF(C148&lt;&gt;"",$AA$1/(D146/100)*(C148/100),""),"")</f>
        <v/>
      </c>
      <c r="AA148" s="381" t="str">
        <f t="shared" ref="AA148:AA149" si="96">IFERROR($AC$1/(D148/100)*(C146/100),"")</f>
        <v/>
      </c>
      <c r="AB148" s="480"/>
    </row>
    <row r="149" spans="1:28" ht="12.75" hidden="1" customHeight="1">
      <c r="A149" s="344" t="s">
        <v>537</v>
      </c>
      <c r="B149" s="529"/>
      <c r="C149" s="575"/>
      <c r="D149" s="575"/>
      <c r="E149" s="529"/>
      <c r="F149" s="462"/>
      <c r="G149" s="555"/>
      <c r="H149" s="230"/>
      <c r="I149" s="221"/>
      <c r="J149" s="221"/>
      <c r="K149" s="240">
        <v>44</v>
      </c>
      <c r="L149" s="228"/>
      <c r="M149" s="225"/>
      <c r="N149" s="228"/>
      <c r="O149" s="251"/>
      <c r="P149" s="360">
        <v>148</v>
      </c>
      <c r="Q149" s="244">
        <v>0</v>
      </c>
      <c r="R149" s="387">
        <v>0</v>
      </c>
      <c r="S149" s="401">
        <v>0</v>
      </c>
      <c r="T149" s="512">
        <v>0</v>
      </c>
      <c r="U149" s="512"/>
      <c r="V149" s="512">
        <v>0</v>
      </c>
      <c r="W149" s="489">
        <f>V148*(F148/100)</f>
        <v>0</v>
      </c>
      <c r="X149" s="396"/>
      <c r="Y149" s="354" t="str">
        <f>IFERROR(INT(#REF!/(F148/100)),"")</f>
        <v/>
      </c>
      <c r="Z149" s="382" t="str">
        <f>IFERROR(IF(C149&lt;&gt;"",$AA$1/(D147/100)*(C149/100),""),"")</f>
        <v/>
      </c>
      <c r="AA149" s="383" t="str">
        <f t="shared" si="96"/>
        <v/>
      </c>
      <c r="AB149" s="469"/>
    </row>
    <row r="150" spans="1:28" ht="12.75" customHeight="1">
      <c r="A150" s="455" t="s">
        <v>538</v>
      </c>
      <c r="B150" s="530">
        <v>1136</v>
      </c>
      <c r="C150" s="573">
        <v>44.31</v>
      </c>
      <c r="D150" s="574">
        <v>46.3</v>
      </c>
      <c r="E150" s="534">
        <v>500</v>
      </c>
      <c r="F150" s="554">
        <v>44.250999999999998</v>
      </c>
      <c r="G150" s="470">
        <v>-3.7599999999999995E-2</v>
      </c>
      <c r="H150" s="232">
        <v>45.9</v>
      </c>
      <c r="I150" s="222">
        <v>45.988999999999997</v>
      </c>
      <c r="J150" s="222">
        <v>44.05</v>
      </c>
      <c r="K150" s="243">
        <v>45.98</v>
      </c>
      <c r="L150" s="233">
        <v>5224</v>
      </c>
      <c r="M150" s="226">
        <v>11515</v>
      </c>
      <c r="N150" s="233">
        <v>30</v>
      </c>
      <c r="O150" s="252">
        <v>45436.662893518522</v>
      </c>
      <c r="P150" s="359">
        <v>149</v>
      </c>
      <c r="Q150" s="245">
        <v>0</v>
      </c>
      <c r="R150" s="390">
        <v>0</v>
      </c>
      <c r="S150" s="402">
        <v>0</v>
      </c>
      <c r="T150" s="513">
        <v>0</v>
      </c>
      <c r="U150" s="513"/>
      <c r="V150" s="513">
        <v>0</v>
      </c>
      <c r="W150" s="490">
        <f t="shared" ref="W150" si="97">(V150*X150)</f>
        <v>0</v>
      </c>
      <c r="X150" s="398"/>
      <c r="Y150" s="384">
        <f>IF(D150&lt;&gt;0,($C151*(1-$AB$1))-$D150,0)</f>
        <v>-1.0045300000000026</v>
      </c>
      <c r="Z150" s="385">
        <f>IFERROR(IF(C150&lt;&gt;"",$AA$1/(D146/100)*(C150/100),""),"")</f>
        <v>0.9854376265935898</v>
      </c>
      <c r="AA150" s="386">
        <f t="shared" ref="AA150:AA151" si="98">IFERROR($AC$1/(D150/100)*(C146/100),"")</f>
        <v>1160.9071274298058</v>
      </c>
      <c r="AB150" s="480"/>
    </row>
    <row r="151" spans="1:28" ht="12.75" customHeight="1">
      <c r="A151" s="439" t="s">
        <v>539</v>
      </c>
      <c r="B151" s="579">
        <v>230</v>
      </c>
      <c r="C151" s="580">
        <v>45.3</v>
      </c>
      <c r="D151" s="580">
        <v>45.9</v>
      </c>
      <c r="E151" s="579">
        <v>423</v>
      </c>
      <c r="F151" s="463">
        <v>45.3</v>
      </c>
      <c r="G151" s="473">
        <v>6.6E-3</v>
      </c>
      <c r="H151" s="440">
        <v>46.954000000000001</v>
      </c>
      <c r="I151" s="441">
        <v>47.497999999999998</v>
      </c>
      <c r="J151" s="441">
        <v>44.7</v>
      </c>
      <c r="K151" s="454">
        <v>45</v>
      </c>
      <c r="L151" s="444">
        <v>44114</v>
      </c>
      <c r="M151" s="443">
        <v>96966</v>
      </c>
      <c r="N151" s="444">
        <v>185</v>
      </c>
      <c r="O151" s="445">
        <v>45436.706180555557</v>
      </c>
      <c r="P151" s="360">
        <v>150</v>
      </c>
      <c r="Q151" s="446">
        <v>0</v>
      </c>
      <c r="R151" s="447">
        <v>0</v>
      </c>
      <c r="S151" s="448">
        <v>0</v>
      </c>
      <c r="T151" s="514">
        <v>0</v>
      </c>
      <c r="U151" s="514"/>
      <c r="V151" s="514">
        <v>0</v>
      </c>
      <c r="W151" s="492">
        <f>V150*(F150/100)</f>
        <v>0</v>
      </c>
      <c r="X151" s="408"/>
      <c r="Y151" s="427" t="str">
        <f>IFERROR(INT(#REF!/(F150/100)),"")</f>
        <v/>
      </c>
      <c r="Z151" s="428">
        <f>IFERROR(IF(C151&lt;&gt;"",$AA$1/(D147/100)*(C151/100),""),"")</f>
        <v>1.0082030544701346</v>
      </c>
      <c r="AA151" s="429">
        <f t="shared" si="98"/>
        <v>1173.2026143790849</v>
      </c>
      <c r="AB151" s="469"/>
    </row>
    <row r="152" spans="1:28" ht="12.75" customHeight="1">
      <c r="A152" s="456" t="s">
        <v>573</v>
      </c>
      <c r="B152" s="530"/>
      <c r="C152" s="573"/>
      <c r="D152" s="574"/>
      <c r="E152" s="534"/>
      <c r="F152" s="553"/>
      <c r="G152" s="470"/>
      <c r="H152" s="231"/>
      <c r="I152" s="223"/>
      <c r="J152" s="223"/>
      <c r="K152" s="242"/>
      <c r="L152" s="235"/>
      <c r="M152" s="227"/>
      <c r="N152" s="235"/>
      <c r="O152" s="250"/>
      <c r="P152" s="359">
        <v>151</v>
      </c>
      <c r="Q152" s="246"/>
      <c r="R152" s="388">
        <v>0</v>
      </c>
      <c r="S152" s="400">
        <v>0</v>
      </c>
      <c r="T152" s="511">
        <v>0</v>
      </c>
      <c r="U152" s="511"/>
      <c r="V152" s="511">
        <v>0</v>
      </c>
      <c r="W152" s="487">
        <f t="shared" ref="W152" si="99">(V152*X152)</f>
        <v>0</v>
      </c>
      <c r="X152" s="397"/>
      <c r="Y152" s="374">
        <f>IF(D152&lt;&gt;0,($C153*(1-$AB$1))-$D152,0)</f>
        <v>0</v>
      </c>
      <c r="Z152" s="375"/>
      <c r="AA152" s="376"/>
      <c r="AB152" s="480"/>
    </row>
    <row r="153" spans="1:28" ht="12.75" customHeight="1">
      <c r="A153" s="344" t="s">
        <v>574</v>
      </c>
      <c r="B153" s="529"/>
      <c r="C153" s="575"/>
      <c r="D153" s="575"/>
      <c r="E153" s="529"/>
      <c r="F153" s="462"/>
      <c r="G153" s="471"/>
      <c r="H153" s="230"/>
      <c r="I153" s="221"/>
      <c r="J153" s="221"/>
      <c r="K153" s="240"/>
      <c r="L153" s="228"/>
      <c r="M153" s="225"/>
      <c r="N153" s="228"/>
      <c r="O153" s="251"/>
      <c r="P153" s="360">
        <v>152</v>
      </c>
      <c r="Q153" s="244"/>
      <c r="R153" s="387">
        <v>0</v>
      </c>
      <c r="S153" s="401">
        <v>0</v>
      </c>
      <c r="T153" s="512">
        <v>0</v>
      </c>
      <c r="U153" s="512"/>
      <c r="V153" s="512">
        <v>0</v>
      </c>
      <c r="W153" s="289">
        <f>V152*(F152/100)</f>
        <v>0</v>
      </c>
      <c r="X153" s="396"/>
      <c r="Y153" s="353" t="str">
        <f>IFERROR(INT(#REF!/(F152/100)),"")</f>
        <v/>
      </c>
      <c r="Z153" s="377"/>
      <c r="AA153" s="378"/>
      <c r="AB153" s="469"/>
    </row>
    <row r="154" spans="1:28" ht="12.75" hidden="1" customHeight="1">
      <c r="A154" s="455" t="s">
        <v>575</v>
      </c>
      <c r="B154" s="530"/>
      <c r="C154" s="573"/>
      <c r="D154" s="574"/>
      <c r="E154" s="534"/>
      <c r="F154" s="553"/>
      <c r="G154" s="470"/>
      <c r="H154" s="232"/>
      <c r="I154" s="222"/>
      <c r="J154" s="222"/>
      <c r="K154" s="243"/>
      <c r="L154" s="233"/>
      <c r="M154" s="226"/>
      <c r="N154" s="233"/>
      <c r="O154" s="252"/>
      <c r="P154" s="359">
        <v>153</v>
      </c>
      <c r="Q154" s="245"/>
      <c r="R154" s="390">
        <v>0</v>
      </c>
      <c r="S154" s="402">
        <v>0</v>
      </c>
      <c r="T154" s="513">
        <v>0</v>
      </c>
      <c r="U154" s="513"/>
      <c r="V154" s="513"/>
      <c r="W154" s="488">
        <f t="shared" ref="W154" si="100">(V154*X154)</f>
        <v>0</v>
      </c>
      <c r="X154" s="399"/>
      <c r="Y154" s="379">
        <f>IF(D154&lt;&gt;0,($C155*(1-$AB$1))-$D154,0)</f>
        <v>0</v>
      </c>
      <c r="Z154" s="380" t="str">
        <f>IFERROR(IF(C154&lt;&gt;"",$AA$1/(D152/100)*(C154/100),""),"")</f>
        <v/>
      </c>
      <c r="AA154" s="381" t="str">
        <f t="shared" ref="AA154:AA155" si="101">IFERROR($AC$1/(D154/100)*(C152/100),"")</f>
        <v/>
      </c>
      <c r="AB154" s="480"/>
    </row>
    <row r="155" spans="1:28" ht="12.75" hidden="1" customHeight="1">
      <c r="A155" s="344" t="s">
        <v>576</v>
      </c>
      <c r="B155" s="529"/>
      <c r="C155" s="575"/>
      <c r="D155" s="575"/>
      <c r="E155" s="529"/>
      <c r="F155" s="462"/>
      <c r="G155" s="555"/>
      <c r="H155" s="230"/>
      <c r="I155" s="221"/>
      <c r="J155" s="221"/>
      <c r="K155" s="240"/>
      <c r="L155" s="228"/>
      <c r="M155" s="225"/>
      <c r="N155" s="228"/>
      <c r="O155" s="251"/>
      <c r="P155" s="360">
        <v>154</v>
      </c>
      <c r="Q155" s="244"/>
      <c r="R155" s="387">
        <v>0</v>
      </c>
      <c r="S155" s="401">
        <v>0</v>
      </c>
      <c r="T155" s="512">
        <v>0</v>
      </c>
      <c r="U155" s="512"/>
      <c r="V155" s="512">
        <v>0</v>
      </c>
      <c r="W155" s="489">
        <f>V154*(F154/100)</f>
        <v>0</v>
      </c>
      <c r="X155" s="396"/>
      <c r="Y155" s="354" t="str">
        <f>IFERROR(INT(#REF!/(F154/100)),"")</f>
        <v/>
      </c>
      <c r="Z155" s="382" t="str">
        <f>IFERROR(IF(C155&lt;&gt;"",$AA$1/(D153/100)*(C155/100),""),"")</f>
        <v/>
      </c>
      <c r="AA155" s="383" t="str">
        <f t="shared" si="101"/>
        <v/>
      </c>
      <c r="AB155" s="469"/>
    </row>
    <row r="156" spans="1:28" ht="12.75" customHeight="1">
      <c r="A156" s="455" t="s">
        <v>577</v>
      </c>
      <c r="B156" s="530"/>
      <c r="C156" s="573"/>
      <c r="D156" s="574"/>
      <c r="E156" s="534"/>
      <c r="F156" s="554"/>
      <c r="G156" s="470"/>
      <c r="H156" s="232"/>
      <c r="I156" s="222"/>
      <c r="J156" s="222"/>
      <c r="K156" s="243"/>
      <c r="L156" s="233"/>
      <c r="M156" s="226"/>
      <c r="N156" s="233"/>
      <c r="O156" s="252"/>
      <c r="P156" s="359">
        <v>155</v>
      </c>
      <c r="Q156" s="245"/>
      <c r="R156" s="390">
        <v>0</v>
      </c>
      <c r="S156" s="402">
        <v>0</v>
      </c>
      <c r="T156" s="513">
        <v>0</v>
      </c>
      <c r="U156" s="513"/>
      <c r="V156" s="513"/>
      <c r="W156" s="490">
        <f t="shared" ref="W156" si="102">(V156*X156)</f>
        <v>0</v>
      </c>
      <c r="X156" s="398"/>
      <c r="Y156" s="384">
        <f>IF(D156&lt;&gt;0,($C157*(1-$AB$1))-$D156,0)</f>
        <v>0</v>
      </c>
      <c r="Z156" s="385" t="str">
        <f>IFERROR(IF(C156&lt;&gt;"",$AA$1/(D152/100)*(C156/100),""),"")</f>
        <v/>
      </c>
      <c r="AA156" s="386" t="str">
        <f t="shared" ref="AA156:AA157" si="103">IFERROR($AC$1/(D156/100)*(C152/100),"")</f>
        <v/>
      </c>
      <c r="AB156" s="480"/>
    </row>
    <row r="157" spans="1:28" ht="12.75" customHeight="1">
      <c r="A157" s="439" t="s">
        <v>578</v>
      </c>
      <c r="B157" s="579"/>
      <c r="C157" s="580"/>
      <c r="D157" s="580"/>
      <c r="E157" s="579"/>
      <c r="F157" s="463"/>
      <c r="G157" s="473"/>
      <c r="H157" s="440"/>
      <c r="I157" s="441"/>
      <c r="J157" s="441"/>
      <c r="K157" s="454"/>
      <c r="L157" s="444"/>
      <c r="M157" s="443"/>
      <c r="N157" s="444"/>
      <c r="O157" s="445"/>
      <c r="P157" s="360">
        <v>156</v>
      </c>
      <c r="Q157" s="446"/>
      <c r="R157" s="447">
        <v>0</v>
      </c>
      <c r="S157" s="448">
        <v>0</v>
      </c>
      <c r="T157" s="514">
        <v>0</v>
      </c>
      <c r="U157" s="514"/>
      <c r="V157" s="514">
        <v>0</v>
      </c>
      <c r="W157" s="492">
        <f>V156*(F156/100)</f>
        <v>0</v>
      </c>
      <c r="X157" s="408"/>
      <c r="Y157" s="427" t="str">
        <f>IFERROR(INT(#REF!/(F156/100)),"")</f>
        <v/>
      </c>
      <c r="Z157" s="428" t="str">
        <f>IFERROR(IF(C157&lt;&gt;"",$AA$1/(D153/100)*(C157/100),""),"")</f>
        <v/>
      </c>
      <c r="AA157" s="429" t="str">
        <f t="shared" si="103"/>
        <v/>
      </c>
      <c r="AB157" s="469"/>
    </row>
    <row r="158" spans="1:28" ht="12.75" customHeight="1">
      <c r="A158" s="456" t="s">
        <v>580</v>
      </c>
      <c r="B158" s="530">
        <v>400</v>
      </c>
      <c r="C158" s="573">
        <v>108220</v>
      </c>
      <c r="D158" s="574">
        <v>113750</v>
      </c>
      <c r="E158" s="534">
        <v>200</v>
      </c>
      <c r="F158" s="553">
        <v>108210</v>
      </c>
      <c r="G158" s="470">
        <v>-1.6200000000000003E-2</v>
      </c>
      <c r="H158" s="231">
        <v>108840</v>
      </c>
      <c r="I158" s="223">
        <v>111010</v>
      </c>
      <c r="J158" s="223">
        <v>106560</v>
      </c>
      <c r="K158" s="242">
        <v>110000</v>
      </c>
      <c r="L158" s="235">
        <v>68931656</v>
      </c>
      <c r="M158" s="227">
        <v>63452</v>
      </c>
      <c r="N158" s="235">
        <v>114</v>
      </c>
      <c r="O158" s="250">
        <v>45436.680451388886</v>
      </c>
      <c r="P158" s="359">
        <v>157</v>
      </c>
      <c r="Q158" s="246"/>
      <c r="R158" s="388">
        <v>0</v>
      </c>
      <c r="S158" s="400">
        <v>0</v>
      </c>
      <c r="T158" s="511">
        <v>0</v>
      </c>
      <c r="U158" s="511"/>
      <c r="V158" s="511"/>
      <c r="W158" s="487">
        <f t="shared" ref="W158" si="104">(V158*X158)</f>
        <v>0</v>
      </c>
      <c r="X158" s="397"/>
      <c r="Y158" s="374">
        <f>IF(D158&lt;&gt;0,($C159*(1-$AB$1))-$D158,0)</f>
        <v>-4960.8800000000047</v>
      </c>
      <c r="Z158" s="375"/>
      <c r="AA158" s="376"/>
      <c r="AB158" s="480"/>
    </row>
    <row r="159" spans="1:28" ht="12.75" customHeight="1">
      <c r="A159" s="344" t="s">
        <v>581</v>
      </c>
      <c r="B159" s="529">
        <v>2380</v>
      </c>
      <c r="C159" s="575">
        <v>108800</v>
      </c>
      <c r="D159" s="575">
        <v>112000</v>
      </c>
      <c r="E159" s="529">
        <v>200</v>
      </c>
      <c r="F159" s="462">
        <v>109700</v>
      </c>
      <c r="G159" s="471">
        <v>-1.61E-2</v>
      </c>
      <c r="H159" s="230">
        <v>112000</v>
      </c>
      <c r="I159" s="221">
        <v>114000</v>
      </c>
      <c r="J159" s="221">
        <v>107670</v>
      </c>
      <c r="K159" s="240">
        <v>111500</v>
      </c>
      <c r="L159" s="228">
        <v>2468938334</v>
      </c>
      <c r="M159" s="225">
        <v>2259482</v>
      </c>
      <c r="N159" s="228">
        <v>449</v>
      </c>
      <c r="O159" s="251">
        <v>45436.704513888886</v>
      </c>
      <c r="P159" s="360">
        <v>158</v>
      </c>
      <c r="Q159" s="244"/>
      <c r="R159" s="387">
        <v>0</v>
      </c>
      <c r="S159" s="401">
        <v>0</v>
      </c>
      <c r="T159" s="512">
        <v>0</v>
      </c>
      <c r="U159" s="512"/>
      <c r="V159" s="512">
        <v>0</v>
      </c>
      <c r="W159" s="289">
        <f>V158*(F158/100)</f>
        <v>0</v>
      </c>
      <c r="X159" s="396"/>
      <c r="Y159" s="353" t="str">
        <f>IFERROR(INT(#REF!/(F158/100)),"")</f>
        <v/>
      </c>
      <c r="Z159" s="377"/>
      <c r="AA159" s="378"/>
      <c r="AB159" s="469"/>
    </row>
    <row r="160" spans="1:28" ht="12.75" hidden="1" customHeight="1">
      <c r="A160" s="455" t="s">
        <v>582</v>
      </c>
      <c r="B160" s="530">
        <v>93305</v>
      </c>
      <c r="C160" s="573">
        <v>85.74</v>
      </c>
      <c r="D160" s="574">
        <v>89.15</v>
      </c>
      <c r="E160" s="534">
        <v>71422</v>
      </c>
      <c r="F160" s="553">
        <v>89.35</v>
      </c>
      <c r="G160" s="470">
        <v>3.7000000000000002E-3</v>
      </c>
      <c r="H160" s="232">
        <v>89.88</v>
      </c>
      <c r="I160" s="222">
        <v>90.17</v>
      </c>
      <c r="J160" s="222">
        <v>89.35</v>
      </c>
      <c r="K160" s="243">
        <v>89.02</v>
      </c>
      <c r="L160" s="233">
        <v>2816</v>
      </c>
      <c r="M160" s="226">
        <v>3148</v>
      </c>
      <c r="N160" s="233">
        <v>3</v>
      </c>
      <c r="O160" s="252">
        <v>45436.619120370371</v>
      </c>
      <c r="P160" s="359">
        <v>159</v>
      </c>
      <c r="Q160" s="245"/>
      <c r="R160" s="390">
        <v>0</v>
      </c>
      <c r="S160" s="402">
        <v>0</v>
      </c>
      <c r="T160" s="513">
        <v>0</v>
      </c>
      <c r="U160" s="513"/>
      <c r="V160" s="513"/>
      <c r="W160" s="488">
        <f t="shared" ref="W160" si="105">(V160*X160)</f>
        <v>0</v>
      </c>
      <c r="X160" s="399"/>
      <c r="Y160" s="379">
        <f>IF(D160&lt;&gt;0,($C161*(1-$AB$1))-$D160,0)</f>
        <v>-1.1587999999999994</v>
      </c>
      <c r="Z160" s="380">
        <f>IFERROR(IF(C160&lt;&gt;"",$AA$1/(D158/100)*(C160/100),""),"")</f>
        <v>0.9035417602580903</v>
      </c>
      <c r="AA160" s="381">
        <f t="shared" ref="AA160:AA161" si="106">IFERROR($AC$1/(D160/100)*(C158/100),"")</f>
        <v>1213.9091418956814</v>
      </c>
      <c r="AB160" s="480"/>
    </row>
    <row r="161" spans="1:28" ht="12.75" hidden="1" customHeight="1">
      <c r="A161" s="344" t="s">
        <v>583</v>
      </c>
      <c r="B161" s="529">
        <v>96380</v>
      </c>
      <c r="C161" s="575">
        <v>88</v>
      </c>
      <c r="D161" s="575">
        <v>88.65</v>
      </c>
      <c r="E161" s="529">
        <v>10320</v>
      </c>
      <c r="F161" s="462">
        <v>88.65</v>
      </c>
      <c r="G161" s="555">
        <v>1.6000000000000001E-3</v>
      </c>
      <c r="H161" s="230">
        <v>89.44</v>
      </c>
      <c r="I161" s="221">
        <v>89.7</v>
      </c>
      <c r="J161" s="221">
        <v>88</v>
      </c>
      <c r="K161" s="240">
        <v>88.5</v>
      </c>
      <c r="L161" s="228">
        <v>1076415</v>
      </c>
      <c r="M161" s="225">
        <v>1216028</v>
      </c>
      <c r="N161" s="228">
        <v>121</v>
      </c>
      <c r="O161" s="251">
        <v>45436.704513888886</v>
      </c>
      <c r="P161" s="360">
        <v>160</v>
      </c>
      <c r="Q161" s="244"/>
      <c r="R161" s="387">
        <v>0</v>
      </c>
      <c r="S161" s="401">
        <v>0</v>
      </c>
      <c r="T161" s="512">
        <v>0</v>
      </c>
      <c r="U161" s="512"/>
      <c r="V161" s="512">
        <v>0</v>
      </c>
      <c r="W161" s="489">
        <f>V160*(F160/100)</f>
        <v>0</v>
      </c>
      <c r="X161" s="396"/>
      <c r="Y161" s="354" t="str">
        <f>IFERROR(INT(#REF!/(F160/100)),"")</f>
        <v/>
      </c>
      <c r="Z161" s="382">
        <f>IFERROR(IF(C161&lt;&gt;"",$AA$1/(D159/100)*(C161/100),""),"")</f>
        <v>0.94184796854521602</v>
      </c>
      <c r="AA161" s="383">
        <f t="shared" si="106"/>
        <v>1227.2983643542018</v>
      </c>
      <c r="AB161" s="469"/>
    </row>
    <row r="162" spans="1:28" ht="12.75" customHeight="1">
      <c r="A162" s="455" t="s">
        <v>584</v>
      </c>
      <c r="B162" s="530">
        <v>398</v>
      </c>
      <c r="C162" s="573">
        <v>89</v>
      </c>
      <c r="D162" s="574">
        <v>91.8</v>
      </c>
      <c r="E162" s="534">
        <v>1730</v>
      </c>
      <c r="F162" s="554">
        <v>89.01</v>
      </c>
      <c r="G162" s="470">
        <v>-1.09E-2</v>
      </c>
      <c r="H162" s="232">
        <v>90.5</v>
      </c>
      <c r="I162" s="222">
        <v>92.5</v>
      </c>
      <c r="J162" s="222">
        <v>89.01</v>
      </c>
      <c r="K162" s="243">
        <v>90</v>
      </c>
      <c r="L162" s="233">
        <v>4637</v>
      </c>
      <c r="M162" s="226">
        <v>5107</v>
      </c>
      <c r="N162" s="233">
        <v>53</v>
      </c>
      <c r="O162" s="252">
        <v>45436.663530092592</v>
      </c>
      <c r="P162" s="359">
        <v>161</v>
      </c>
      <c r="Q162" s="245"/>
      <c r="R162" s="390">
        <v>0</v>
      </c>
      <c r="S162" s="402">
        <v>0</v>
      </c>
      <c r="T162" s="513">
        <v>0</v>
      </c>
      <c r="U162" s="513"/>
      <c r="V162" s="513"/>
      <c r="W162" s="490">
        <f>(V130*X130)</f>
        <v>0</v>
      </c>
      <c r="X162" s="398"/>
      <c r="Y162" s="384">
        <f>IF(D130&lt;&gt;0,($C163*(1-$AB$1))-$D130,0)</f>
        <v>0</v>
      </c>
      <c r="Z162" s="385">
        <f>IFERROR(IF(C162&lt;&gt;"",$AA$1/(D158/100)*(C162/100),""),"")</f>
        <v>0.93789615888698441</v>
      </c>
      <c r="AA162" s="386">
        <f t="shared" ref="AA162:AA163" si="107">IFERROR($AC$1/(D162/100)*(C158/100),"")</f>
        <v>1178.8671023965142</v>
      </c>
      <c r="AB162" s="480"/>
    </row>
    <row r="163" spans="1:28" ht="12.75" customHeight="1">
      <c r="A163" s="698" t="s">
        <v>585</v>
      </c>
      <c r="B163" s="644">
        <v>880</v>
      </c>
      <c r="C163" s="699">
        <v>90.1</v>
      </c>
      <c r="D163" s="699">
        <v>92</v>
      </c>
      <c r="E163" s="644">
        <v>60000</v>
      </c>
      <c r="F163" s="645">
        <v>90</v>
      </c>
      <c r="G163" s="646">
        <v>-5.5000000000000005E-3</v>
      </c>
      <c r="H163" s="647">
        <v>90.5</v>
      </c>
      <c r="I163" s="648">
        <v>91.5</v>
      </c>
      <c r="J163" s="648">
        <v>89.85</v>
      </c>
      <c r="K163" s="700">
        <v>90.5</v>
      </c>
      <c r="L163" s="651">
        <v>117592</v>
      </c>
      <c r="M163" s="650">
        <v>129978</v>
      </c>
      <c r="N163" s="651">
        <v>114</v>
      </c>
      <c r="O163" s="652">
        <v>45436.663530092592</v>
      </c>
      <c r="P163" s="653">
        <v>130</v>
      </c>
      <c r="Q163" s="701"/>
      <c r="R163" s="702">
        <v>0</v>
      </c>
      <c r="S163" s="703">
        <v>0</v>
      </c>
      <c r="T163" s="704">
        <v>0</v>
      </c>
      <c r="U163" s="704"/>
      <c r="V163" s="704">
        <v>0</v>
      </c>
      <c r="W163" s="705">
        <f>V130*(F130/100)</f>
        <v>0</v>
      </c>
      <c r="X163" s="655"/>
      <c r="Y163" s="706" t="str">
        <f>IFERROR(INT(#REF!/(F130/100)),"")</f>
        <v/>
      </c>
      <c r="Z163" s="707">
        <f>IFERROR(IF(C163&lt;&gt;"",$AA$1/(D159/100)*(C163/100),""),"")</f>
        <v>0.96432388597640861</v>
      </c>
      <c r="AA163" s="708">
        <f t="shared" si="107"/>
        <v>1182.6086956521738</v>
      </c>
      <c r="AB163" s="659"/>
    </row>
    <row r="164" spans="1:28" ht="12.75" hidden="1" customHeight="1" outlineLevel="1">
      <c r="A164" s="456" t="s">
        <v>589</v>
      </c>
      <c r="B164" s="530"/>
      <c r="C164" s="573"/>
      <c r="D164" s="574"/>
      <c r="E164" s="534"/>
      <c r="F164" s="554"/>
      <c r="G164" s="470"/>
      <c r="H164" s="231"/>
      <c r="I164" s="223"/>
      <c r="J164" s="223"/>
      <c r="K164" s="242"/>
      <c r="L164" s="235"/>
      <c r="M164" s="227"/>
      <c r="N164" s="235"/>
      <c r="O164" s="250"/>
      <c r="P164" s="359">
        <v>163</v>
      </c>
      <c r="Q164" s="246"/>
      <c r="R164" s="388">
        <v>0</v>
      </c>
      <c r="S164" s="400">
        <v>0</v>
      </c>
      <c r="T164" s="511">
        <v>0</v>
      </c>
      <c r="U164" s="511"/>
      <c r="V164" s="511"/>
      <c r="W164" s="487">
        <f t="shared" ref="W164" si="108">(V164*X164)</f>
        <v>0</v>
      </c>
      <c r="X164" s="397"/>
      <c r="Y164" s="374">
        <f>IF(D164&lt;&gt;0,($C165*(1-$AB$1))-$D164,0)</f>
        <v>0</v>
      </c>
      <c r="Z164" s="375"/>
      <c r="AA164" s="376"/>
      <c r="AB164" s="639"/>
    </row>
    <row r="165" spans="1:28" ht="12.75" hidden="1" customHeight="1" outlineLevel="1">
      <c r="A165" s="344" t="s">
        <v>590</v>
      </c>
      <c r="B165" s="529"/>
      <c r="C165" s="575"/>
      <c r="D165" s="575"/>
      <c r="E165" s="529"/>
      <c r="F165" s="462"/>
      <c r="G165" s="471"/>
      <c r="H165" s="230"/>
      <c r="I165" s="221"/>
      <c r="J165" s="221"/>
      <c r="K165" s="240"/>
      <c r="L165" s="228"/>
      <c r="M165" s="225"/>
      <c r="N165" s="228"/>
      <c r="O165" s="251"/>
      <c r="P165" s="360">
        <v>164</v>
      </c>
      <c r="Q165" s="244"/>
      <c r="R165" s="387">
        <v>0</v>
      </c>
      <c r="S165" s="401">
        <v>0</v>
      </c>
      <c r="T165" s="512">
        <v>0</v>
      </c>
      <c r="U165" s="512"/>
      <c r="V165" s="512">
        <v>0</v>
      </c>
      <c r="W165" s="289">
        <f>V164*(D164/100)</f>
        <v>0</v>
      </c>
      <c r="X165" s="396"/>
      <c r="Y165" s="353" t="str">
        <f>IFERROR(INT(#REF!/(F164)),"")</f>
        <v/>
      </c>
      <c r="Z165" s="377"/>
      <c r="AA165" s="378"/>
      <c r="AB165" s="469"/>
    </row>
    <row r="166" spans="1:28" ht="12.75" hidden="1" customHeight="1" outlineLevel="1">
      <c r="A166" s="455" t="s">
        <v>591</v>
      </c>
      <c r="B166" s="530"/>
      <c r="C166" s="573"/>
      <c r="D166" s="574"/>
      <c r="E166" s="534"/>
      <c r="F166" s="553"/>
      <c r="G166" s="470"/>
      <c r="H166" s="232"/>
      <c r="I166" s="222"/>
      <c r="J166" s="222"/>
      <c r="K166" s="243"/>
      <c r="L166" s="233"/>
      <c r="M166" s="226"/>
      <c r="N166" s="233"/>
      <c r="O166" s="252"/>
      <c r="P166" s="359">
        <v>165</v>
      </c>
      <c r="Q166" s="245"/>
      <c r="R166" s="390">
        <v>0</v>
      </c>
      <c r="S166" s="402">
        <v>0</v>
      </c>
      <c r="T166" s="513">
        <v>0</v>
      </c>
      <c r="U166" s="513"/>
      <c r="V166" s="513"/>
      <c r="W166" s="488">
        <f t="shared" ref="W166" si="109">(V166*X166)</f>
        <v>0</v>
      </c>
      <c r="X166" s="399"/>
      <c r="Y166" s="379">
        <f>IF(D166&lt;&gt;0,($C167*(1-$AB$1))-$D166,0)</f>
        <v>0</v>
      </c>
      <c r="Z166" s="380" t="str">
        <f>IFERROR(IF(C166&lt;&gt;"",$AA$1/(D164/100)*(C166/100),""),"")</f>
        <v/>
      </c>
      <c r="AA166" s="381" t="str">
        <f t="shared" ref="AA166:AA167" si="110">IFERROR($AC$1/(D166/100)*(C164/100),"")</f>
        <v/>
      </c>
      <c r="AB166" s="480"/>
    </row>
    <row r="167" spans="1:28" ht="12.75" hidden="1" customHeight="1" outlineLevel="1">
      <c r="A167" s="344" t="s">
        <v>592</v>
      </c>
      <c r="B167" s="529"/>
      <c r="C167" s="575"/>
      <c r="D167" s="575"/>
      <c r="E167" s="529"/>
      <c r="F167" s="462"/>
      <c r="G167" s="555"/>
      <c r="H167" s="230"/>
      <c r="I167" s="221"/>
      <c r="J167" s="221"/>
      <c r="K167" s="240"/>
      <c r="L167" s="228"/>
      <c r="M167" s="225"/>
      <c r="N167" s="228"/>
      <c r="O167" s="251"/>
      <c r="P167" s="360">
        <v>166</v>
      </c>
      <c r="Q167" s="244"/>
      <c r="R167" s="387">
        <v>0</v>
      </c>
      <c r="S167" s="401">
        <v>0</v>
      </c>
      <c r="T167" s="512">
        <v>0</v>
      </c>
      <c r="U167" s="512"/>
      <c r="V167" s="512">
        <v>0</v>
      </c>
      <c r="W167" s="489">
        <f>V166*(F166/100)</f>
        <v>0</v>
      </c>
      <c r="X167" s="396"/>
      <c r="Y167" s="354" t="str">
        <f>IFERROR(INT(#REF!/(F166/100)),"")</f>
        <v/>
      </c>
      <c r="Z167" s="382" t="str">
        <f>IFERROR(IF(C167&lt;&gt;"",$AA$1/(D163/100)*(C167/100),""),"")</f>
        <v/>
      </c>
      <c r="AA167" s="383" t="str">
        <f t="shared" si="110"/>
        <v/>
      </c>
      <c r="AB167" s="469"/>
    </row>
    <row r="168" spans="1:28" ht="12.75" hidden="1" customHeight="1" outlineLevel="1">
      <c r="A168" s="455" t="s">
        <v>593</v>
      </c>
      <c r="B168" s="530"/>
      <c r="C168" s="573"/>
      <c r="D168" s="574"/>
      <c r="E168" s="534"/>
      <c r="F168" s="554"/>
      <c r="G168" s="470"/>
      <c r="H168" s="232"/>
      <c r="I168" s="222"/>
      <c r="J168" s="222"/>
      <c r="K168" s="243"/>
      <c r="L168" s="233"/>
      <c r="M168" s="226"/>
      <c r="N168" s="233"/>
      <c r="O168" s="252"/>
      <c r="P168" s="359">
        <v>167</v>
      </c>
      <c r="Q168" s="245"/>
      <c r="R168" s="390">
        <v>0</v>
      </c>
      <c r="S168" s="402">
        <v>0</v>
      </c>
      <c r="T168" s="513">
        <v>0</v>
      </c>
      <c r="U168" s="513"/>
      <c r="V168" s="513"/>
      <c r="W168" s="490">
        <f t="shared" ref="W168" si="111">(V168*X168)</f>
        <v>0</v>
      </c>
      <c r="X168" s="398"/>
      <c r="Y168" s="384">
        <f>IF(D168&lt;&gt;0,($C169*(1-$AB$1))-$D168,0)</f>
        <v>0</v>
      </c>
      <c r="Z168" s="385" t="str">
        <f>IFERROR(IF(C168&lt;&gt;"",$AA$1/(D164/100)*(C168/100),""),"")</f>
        <v/>
      </c>
      <c r="AA168" s="386" t="str">
        <f t="shared" ref="AA168:AA169" si="112">IFERROR($AC$1/(D168/100)*(C164/100),"")</f>
        <v/>
      </c>
      <c r="AB168" s="480"/>
    </row>
    <row r="169" spans="1:28" ht="12.75" hidden="1" customHeight="1" outlineLevel="1">
      <c r="A169" s="439" t="s">
        <v>594</v>
      </c>
      <c r="B169" s="579"/>
      <c r="C169" s="580"/>
      <c r="D169" s="580"/>
      <c r="E169" s="579"/>
      <c r="F169" s="463"/>
      <c r="G169" s="473"/>
      <c r="H169" s="440"/>
      <c r="I169" s="441"/>
      <c r="J169" s="441"/>
      <c r="K169" s="454"/>
      <c r="L169" s="444"/>
      <c r="M169" s="443"/>
      <c r="N169" s="444"/>
      <c r="O169" s="445"/>
      <c r="P169" s="525">
        <v>168</v>
      </c>
      <c r="Q169" s="446"/>
      <c r="R169" s="447">
        <v>0</v>
      </c>
      <c r="S169" s="448">
        <v>0</v>
      </c>
      <c r="T169" s="514">
        <v>0</v>
      </c>
      <c r="U169" s="514"/>
      <c r="V169" s="514">
        <v>0</v>
      </c>
      <c r="W169" s="492">
        <f>V168*(C168/100)</f>
        <v>0</v>
      </c>
      <c r="X169" s="408"/>
      <c r="Y169" s="427" t="str">
        <f>IFERROR(INT(#REF!/(F168)),"")</f>
        <v/>
      </c>
      <c r="Z169" s="428" t="str">
        <f>IFERROR(IF(C169&lt;&gt;"",$AA$1/(D165/100)*(C169/100),""),"")</f>
        <v/>
      </c>
      <c r="AA169" s="429" t="str">
        <f t="shared" si="112"/>
        <v/>
      </c>
      <c r="AB169" s="469"/>
    </row>
    <row r="170" spans="1:28" ht="12.75" hidden="1" customHeight="1" outlineLevel="1">
      <c r="A170" s="456" t="s">
        <v>595</v>
      </c>
      <c r="B170" s="530"/>
      <c r="C170" s="573"/>
      <c r="D170" s="574"/>
      <c r="E170" s="534"/>
      <c r="F170" s="553"/>
      <c r="G170" s="470"/>
      <c r="H170" s="231"/>
      <c r="I170" s="223"/>
      <c r="J170" s="223"/>
      <c r="K170" s="242"/>
      <c r="L170" s="235"/>
      <c r="M170" s="227"/>
      <c r="N170" s="235"/>
      <c r="O170" s="250"/>
      <c r="P170" s="359">
        <v>169</v>
      </c>
      <c r="Q170" s="246"/>
      <c r="R170" s="388">
        <v>0</v>
      </c>
      <c r="S170" s="400">
        <v>0</v>
      </c>
      <c r="T170" s="511">
        <v>0</v>
      </c>
      <c r="U170" s="511"/>
      <c r="V170" s="511"/>
      <c r="W170" s="487">
        <f t="shared" ref="W170" si="113">(V170*X170)</f>
        <v>0</v>
      </c>
      <c r="X170" s="397"/>
      <c r="Y170" s="374">
        <f>IF(D170&lt;&gt;0,($C171*(1-$AB$1))-$D170,0)</f>
        <v>0</v>
      </c>
      <c r="Z170" s="375"/>
      <c r="AA170" s="376"/>
      <c r="AB170" s="480"/>
    </row>
    <row r="171" spans="1:28" ht="12.75" hidden="1" customHeight="1" outlineLevel="1">
      <c r="A171" s="344" t="s">
        <v>596</v>
      </c>
      <c r="B171" s="529"/>
      <c r="C171" s="575"/>
      <c r="D171" s="575"/>
      <c r="E171" s="529"/>
      <c r="F171" s="462"/>
      <c r="G171" s="471"/>
      <c r="H171" s="230"/>
      <c r="I171" s="221"/>
      <c r="J171" s="221"/>
      <c r="K171" s="240"/>
      <c r="L171" s="228"/>
      <c r="M171" s="225"/>
      <c r="N171" s="228"/>
      <c r="O171" s="251"/>
      <c r="P171" s="360">
        <v>170</v>
      </c>
      <c r="Q171" s="244"/>
      <c r="R171" s="387">
        <v>0</v>
      </c>
      <c r="S171" s="401">
        <v>0</v>
      </c>
      <c r="T171" s="512">
        <v>0</v>
      </c>
      <c r="U171" s="512"/>
      <c r="V171" s="512">
        <v>0</v>
      </c>
      <c r="W171" s="289">
        <f>V170*(D170/100)</f>
        <v>0</v>
      </c>
      <c r="X171" s="396"/>
      <c r="Y171" s="353" t="str">
        <f>IFERROR(INT(#REF!/(F170)),"")</f>
        <v/>
      </c>
      <c r="Z171" s="377"/>
      <c r="AA171" s="378"/>
      <c r="AB171" s="469"/>
    </row>
    <row r="172" spans="1:28" ht="12.75" hidden="1" customHeight="1" outlineLevel="1">
      <c r="A172" s="455" t="s">
        <v>597</v>
      </c>
      <c r="B172" s="530"/>
      <c r="C172" s="573"/>
      <c r="D172" s="574"/>
      <c r="E172" s="534"/>
      <c r="F172" s="553"/>
      <c r="G172" s="470"/>
      <c r="H172" s="232"/>
      <c r="I172" s="222"/>
      <c r="J172" s="222"/>
      <c r="K172" s="243"/>
      <c r="L172" s="233"/>
      <c r="M172" s="226"/>
      <c r="N172" s="233"/>
      <c r="O172" s="252"/>
      <c r="P172" s="359">
        <v>171</v>
      </c>
      <c r="Q172" s="245"/>
      <c r="R172" s="390">
        <v>0</v>
      </c>
      <c r="S172" s="402">
        <v>0</v>
      </c>
      <c r="T172" s="513">
        <v>0</v>
      </c>
      <c r="U172" s="513"/>
      <c r="V172" s="513"/>
      <c r="W172" s="488">
        <f t="shared" ref="W172" si="114">(V172*X172)</f>
        <v>0</v>
      </c>
      <c r="X172" s="399"/>
      <c r="Y172" s="379">
        <f>IF(D172&lt;&gt;0,($C173*(1-$AB$1))-$D172,0)</f>
        <v>0</v>
      </c>
      <c r="Z172" s="380" t="str">
        <f>IFERROR(IF(C172&lt;&gt;"",$AA$1/(D170/100)*(C172/100),""),"")</f>
        <v/>
      </c>
      <c r="AA172" s="381" t="str">
        <f t="shared" ref="AA172:AA173" si="115">IFERROR($AC$1/(D172/100)*(C170/100),"")</f>
        <v/>
      </c>
      <c r="AB172" s="480"/>
    </row>
    <row r="173" spans="1:28" ht="12.75" hidden="1" customHeight="1" outlineLevel="1">
      <c r="A173" s="344" t="s">
        <v>598</v>
      </c>
      <c r="B173" s="529"/>
      <c r="C173" s="575"/>
      <c r="D173" s="575"/>
      <c r="E173" s="529"/>
      <c r="F173" s="462"/>
      <c r="G173" s="555"/>
      <c r="H173" s="230"/>
      <c r="I173" s="221"/>
      <c r="J173" s="221"/>
      <c r="K173" s="240"/>
      <c r="L173" s="228"/>
      <c r="M173" s="225"/>
      <c r="N173" s="228"/>
      <c r="O173" s="251"/>
      <c r="P173" s="360">
        <v>172</v>
      </c>
      <c r="Q173" s="244"/>
      <c r="R173" s="387">
        <v>0</v>
      </c>
      <c r="S173" s="401">
        <v>0</v>
      </c>
      <c r="T173" s="512">
        <v>0</v>
      </c>
      <c r="U173" s="512"/>
      <c r="V173" s="512">
        <v>0</v>
      </c>
      <c r="W173" s="489">
        <f>V172*(F172/100)</f>
        <v>0</v>
      </c>
      <c r="X173" s="396"/>
      <c r="Y173" s="354" t="str">
        <f>IFERROR(INT(#REF!/(F172/100)),"")</f>
        <v/>
      </c>
      <c r="Z173" s="382" t="str">
        <f>IFERROR(IF(C173&lt;&gt;"",$AA$1/(D169/100)*(C173/100),""),"")</f>
        <v/>
      </c>
      <c r="AA173" s="383" t="str">
        <f t="shared" si="115"/>
        <v/>
      </c>
      <c r="AB173" s="469"/>
    </row>
    <row r="174" spans="1:28" ht="12.75" hidden="1" customHeight="1" outlineLevel="1">
      <c r="A174" s="455" t="s">
        <v>599</v>
      </c>
      <c r="B174" s="530"/>
      <c r="C174" s="573"/>
      <c r="D174" s="574"/>
      <c r="E174" s="534"/>
      <c r="F174" s="554"/>
      <c r="G174" s="470"/>
      <c r="H174" s="232"/>
      <c r="I174" s="222"/>
      <c r="J174" s="222"/>
      <c r="K174" s="243"/>
      <c r="L174" s="233"/>
      <c r="M174" s="226"/>
      <c r="N174" s="233"/>
      <c r="O174" s="252"/>
      <c r="P174" s="359">
        <v>173</v>
      </c>
      <c r="Q174" s="245"/>
      <c r="R174" s="390">
        <v>0</v>
      </c>
      <c r="S174" s="402">
        <v>0</v>
      </c>
      <c r="T174" s="513">
        <v>0</v>
      </c>
      <c r="U174" s="513"/>
      <c r="V174" s="513"/>
      <c r="W174" s="490">
        <f t="shared" ref="W174" si="116">(V174*X174)</f>
        <v>0</v>
      </c>
      <c r="X174" s="398"/>
      <c r="Y174" s="384">
        <f>IF(D174&lt;&gt;0,($C175*(1-$AB$1))-$D174,0)</f>
        <v>0</v>
      </c>
      <c r="Z174" s="385" t="str">
        <f>IFERROR(IF(C174&lt;&gt;"",$AA$1/(D170/100)*(C174/100),""),"")</f>
        <v/>
      </c>
      <c r="AA174" s="386" t="str">
        <f t="shared" ref="AA174:AA175" si="117">IFERROR($AC$1/(D174/100)*(C170/100),"")</f>
        <v/>
      </c>
      <c r="AB174" s="480"/>
    </row>
    <row r="175" spans="1:28" ht="12.75" hidden="1" customHeight="1" outlineLevel="1">
      <c r="A175" s="439" t="s">
        <v>600</v>
      </c>
      <c r="B175" s="579"/>
      <c r="C175" s="580"/>
      <c r="D175" s="580"/>
      <c r="E175" s="579"/>
      <c r="F175" s="463"/>
      <c r="G175" s="473"/>
      <c r="H175" s="440"/>
      <c r="I175" s="441"/>
      <c r="J175" s="441"/>
      <c r="K175" s="454"/>
      <c r="L175" s="444"/>
      <c r="M175" s="443"/>
      <c r="N175" s="444"/>
      <c r="O175" s="445"/>
      <c r="P175" s="525">
        <v>174</v>
      </c>
      <c r="Q175" s="446"/>
      <c r="R175" s="447">
        <v>0</v>
      </c>
      <c r="S175" s="448">
        <v>0</v>
      </c>
      <c r="T175" s="514">
        <v>0</v>
      </c>
      <c r="U175" s="514"/>
      <c r="V175" s="514">
        <v>0</v>
      </c>
      <c r="W175" s="492">
        <f>V174*(C174/100)</f>
        <v>0</v>
      </c>
      <c r="X175" s="408"/>
      <c r="Y175" s="427" t="str">
        <f>IFERROR(INT(#REF!/(F174)),"")</f>
        <v/>
      </c>
      <c r="Z175" s="428" t="str">
        <f>IFERROR(IF(C175&lt;&gt;"",$AA$1/(D171/100)*(C175/100),""),"")</f>
        <v/>
      </c>
      <c r="AA175" s="429" t="str">
        <f t="shared" si="117"/>
        <v/>
      </c>
      <c r="AB175" s="469"/>
    </row>
    <row r="176" spans="1:28" ht="12.75" hidden="1" customHeight="1" outlineLevel="1">
      <c r="A176" s="456" t="s">
        <v>601</v>
      </c>
      <c r="B176" s="530"/>
      <c r="C176" s="573"/>
      <c r="D176" s="574"/>
      <c r="E176" s="534"/>
      <c r="F176" s="553"/>
      <c r="G176" s="470"/>
      <c r="H176" s="231"/>
      <c r="I176" s="223"/>
      <c r="J176" s="223"/>
      <c r="K176" s="242"/>
      <c r="L176" s="235"/>
      <c r="M176" s="227"/>
      <c r="N176" s="235"/>
      <c r="O176" s="250"/>
      <c r="P176" s="359">
        <v>175</v>
      </c>
      <c r="Q176" s="246"/>
      <c r="R176" s="388">
        <v>0</v>
      </c>
      <c r="S176" s="400">
        <v>0</v>
      </c>
      <c r="T176" s="511">
        <v>0</v>
      </c>
      <c r="U176" s="511"/>
      <c r="V176" s="511"/>
      <c r="W176" s="487">
        <f t="shared" ref="W176" si="118">(V176*X176)</f>
        <v>0</v>
      </c>
      <c r="X176" s="397"/>
      <c r="Y176" s="374">
        <f>IF(D176&lt;&gt;0,($C177*(1-$AB$1))-$D176,0)</f>
        <v>0</v>
      </c>
      <c r="Z176" s="375"/>
      <c r="AA176" s="376"/>
      <c r="AB176" s="480"/>
    </row>
    <row r="177" spans="1:28" ht="12.75" hidden="1" customHeight="1" outlineLevel="1">
      <c r="A177" s="344" t="s">
        <v>602</v>
      </c>
      <c r="B177" s="529"/>
      <c r="C177" s="575"/>
      <c r="D177" s="575"/>
      <c r="E177" s="529"/>
      <c r="F177" s="462"/>
      <c r="G177" s="471"/>
      <c r="H177" s="230"/>
      <c r="I177" s="221"/>
      <c r="J177" s="221"/>
      <c r="K177" s="240"/>
      <c r="L177" s="228"/>
      <c r="M177" s="225"/>
      <c r="N177" s="228"/>
      <c r="O177" s="251"/>
      <c r="P177" s="360">
        <v>176</v>
      </c>
      <c r="Q177" s="244"/>
      <c r="R177" s="387">
        <v>0</v>
      </c>
      <c r="S177" s="401">
        <v>0</v>
      </c>
      <c r="T177" s="512">
        <v>0</v>
      </c>
      <c r="U177" s="512"/>
      <c r="V177" s="512">
        <v>0</v>
      </c>
      <c r="W177" s="289">
        <f>V176*(D176/100)</f>
        <v>0</v>
      </c>
      <c r="X177" s="396"/>
      <c r="Y177" s="353" t="str">
        <f>IFERROR(INT(#REF!/(F176)),"")</f>
        <v/>
      </c>
      <c r="Z177" s="377"/>
      <c r="AA177" s="378"/>
      <c r="AB177" s="469"/>
    </row>
    <row r="178" spans="1:28" ht="12.75" hidden="1" customHeight="1" outlineLevel="1">
      <c r="A178" s="455" t="s">
        <v>603</v>
      </c>
      <c r="B178" s="530"/>
      <c r="C178" s="573"/>
      <c r="D178" s="574"/>
      <c r="E178" s="534"/>
      <c r="F178" s="553"/>
      <c r="G178" s="470"/>
      <c r="H178" s="232"/>
      <c r="I178" s="222"/>
      <c r="J178" s="222"/>
      <c r="K178" s="243"/>
      <c r="L178" s="233"/>
      <c r="M178" s="226"/>
      <c r="N178" s="233"/>
      <c r="O178" s="252"/>
      <c r="P178" s="359">
        <v>177</v>
      </c>
      <c r="Q178" s="245"/>
      <c r="R178" s="390">
        <v>0</v>
      </c>
      <c r="S178" s="402">
        <v>0</v>
      </c>
      <c r="T178" s="513">
        <v>0</v>
      </c>
      <c r="U178" s="513"/>
      <c r="V178" s="513"/>
      <c r="W178" s="488">
        <f t="shared" ref="W178" si="119">(V178*X178)</f>
        <v>0</v>
      </c>
      <c r="X178" s="399"/>
      <c r="Y178" s="379">
        <f>IF(D178&lt;&gt;0,($C179*(1-$AB$1))-$D178,0)</f>
        <v>0</v>
      </c>
      <c r="Z178" s="380" t="str">
        <f>IFERROR(IF(C178&lt;&gt;"",$AA$1/(D176/100)*(C178/100),""),"")</f>
        <v/>
      </c>
      <c r="AA178" s="381" t="str">
        <f t="shared" ref="AA178:AA179" si="120">IFERROR($AC$1/(D178/100)*(C176/100),"")</f>
        <v/>
      </c>
      <c r="AB178" s="480"/>
    </row>
    <row r="179" spans="1:28" ht="12.75" hidden="1" customHeight="1" outlineLevel="1">
      <c r="A179" s="344" t="s">
        <v>604</v>
      </c>
      <c r="B179" s="529"/>
      <c r="C179" s="575"/>
      <c r="D179" s="575"/>
      <c r="E179" s="529"/>
      <c r="F179" s="462"/>
      <c r="G179" s="555"/>
      <c r="H179" s="230"/>
      <c r="I179" s="221"/>
      <c r="J179" s="221"/>
      <c r="K179" s="240"/>
      <c r="L179" s="228"/>
      <c r="M179" s="225"/>
      <c r="N179" s="228"/>
      <c r="O179" s="251"/>
      <c r="P179" s="360">
        <v>178</v>
      </c>
      <c r="Q179" s="244"/>
      <c r="R179" s="387">
        <v>0</v>
      </c>
      <c r="S179" s="401">
        <v>0</v>
      </c>
      <c r="T179" s="512">
        <v>0</v>
      </c>
      <c r="U179" s="512"/>
      <c r="V179" s="512">
        <v>0</v>
      </c>
      <c r="W179" s="489">
        <f>V178*(F178/100)</f>
        <v>0</v>
      </c>
      <c r="X179" s="396"/>
      <c r="Y179" s="354" t="str">
        <f>IFERROR(INT(#REF!/(F178/100)),"")</f>
        <v/>
      </c>
      <c r="Z179" s="382" t="str">
        <f>IFERROR(IF(C179&lt;&gt;"",$AA$1/(D175/100)*(C179/100),""),"")</f>
        <v/>
      </c>
      <c r="AA179" s="383" t="str">
        <f t="shared" si="120"/>
        <v/>
      </c>
      <c r="AB179" s="469"/>
    </row>
    <row r="180" spans="1:28" ht="12.75" hidden="1" customHeight="1" outlineLevel="1">
      <c r="A180" s="455" t="s">
        <v>605</v>
      </c>
      <c r="B180" s="530"/>
      <c r="C180" s="573"/>
      <c r="D180" s="574"/>
      <c r="E180" s="534"/>
      <c r="F180" s="554"/>
      <c r="G180" s="470"/>
      <c r="H180" s="232"/>
      <c r="I180" s="222"/>
      <c r="J180" s="222"/>
      <c r="K180" s="243"/>
      <c r="L180" s="233"/>
      <c r="M180" s="226"/>
      <c r="N180" s="233"/>
      <c r="O180" s="252"/>
      <c r="P180" s="359">
        <v>179</v>
      </c>
      <c r="Q180" s="245"/>
      <c r="R180" s="390">
        <v>0</v>
      </c>
      <c r="S180" s="402">
        <v>0</v>
      </c>
      <c r="T180" s="513">
        <v>0</v>
      </c>
      <c r="U180" s="513"/>
      <c r="V180" s="513"/>
      <c r="W180" s="490">
        <f t="shared" ref="W180" si="121">(V180*X180)</f>
        <v>0</v>
      </c>
      <c r="X180" s="398"/>
      <c r="Y180" s="384">
        <f>IF(D180&lt;&gt;0,($C181*(1-$AB$1))-$D180,0)</f>
        <v>0</v>
      </c>
      <c r="Z180" s="385" t="str">
        <f>IFERROR(IF(C180&lt;&gt;"",$AA$1/(D176/100)*(C180/100),""),"")</f>
        <v/>
      </c>
      <c r="AA180" s="386" t="str">
        <f t="shared" ref="AA180:AA181" si="122">IFERROR($AC$1/(D180/100)*(C176/100),"")</f>
        <v/>
      </c>
      <c r="AB180" s="480"/>
    </row>
    <row r="181" spans="1:28" ht="12.75" hidden="1" customHeight="1" outlineLevel="1">
      <c r="A181" s="439" t="s">
        <v>606</v>
      </c>
      <c r="B181" s="579"/>
      <c r="C181" s="580"/>
      <c r="D181" s="580"/>
      <c r="E181" s="579"/>
      <c r="F181" s="463"/>
      <c r="G181" s="473"/>
      <c r="H181" s="440"/>
      <c r="I181" s="441"/>
      <c r="J181" s="441"/>
      <c r="K181" s="454"/>
      <c r="L181" s="444"/>
      <c r="M181" s="443"/>
      <c r="N181" s="444"/>
      <c r="O181" s="445"/>
      <c r="P181" s="525">
        <v>180</v>
      </c>
      <c r="Q181" s="446"/>
      <c r="R181" s="447">
        <v>0</v>
      </c>
      <c r="S181" s="448">
        <v>0</v>
      </c>
      <c r="T181" s="514">
        <v>0</v>
      </c>
      <c r="U181" s="514"/>
      <c r="V181" s="514">
        <v>0</v>
      </c>
      <c r="W181" s="492">
        <f>V180*(C180/100)</f>
        <v>0</v>
      </c>
      <c r="X181" s="408"/>
      <c r="Y181" s="427" t="str">
        <f>IFERROR(INT(#REF!/(F180)),"")</f>
        <v/>
      </c>
      <c r="Z181" s="428" t="str">
        <f>IFERROR(IF(C181&lt;&gt;"",$AA$1/(D177/100)*(C181/100),""),"")</f>
        <v/>
      </c>
      <c r="AA181" s="429" t="str">
        <f t="shared" si="122"/>
        <v/>
      </c>
      <c r="AB181" s="469"/>
    </row>
    <row r="182" spans="1:28" ht="12.75" hidden="1" customHeight="1" outlineLevel="1">
      <c r="A182" s="456" t="s">
        <v>607</v>
      </c>
      <c r="B182" s="530"/>
      <c r="C182" s="573"/>
      <c r="D182" s="574"/>
      <c r="E182" s="534"/>
      <c r="F182" s="553"/>
      <c r="G182" s="470"/>
      <c r="H182" s="231"/>
      <c r="I182" s="223"/>
      <c r="J182" s="223"/>
      <c r="K182" s="242"/>
      <c r="L182" s="235"/>
      <c r="M182" s="227"/>
      <c r="N182" s="235"/>
      <c r="O182" s="250"/>
      <c r="P182" s="359">
        <v>181</v>
      </c>
      <c r="Q182" s="246"/>
      <c r="R182" s="388">
        <v>0</v>
      </c>
      <c r="S182" s="400">
        <v>0</v>
      </c>
      <c r="T182" s="511">
        <v>0</v>
      </c>
      <c r="U182" s="511"/>
      <c r="V182" s="511"/>
      <c r="W182" s="487">
        <f t="shared" ref="W182" si="123">(V182*X182)</f>
        <v>0</v>
      </c>
      <c r="X182" s="397"/>
      <c r="Y182" s="374">
        <f>IF(D182&lt;&gt;0,($C183*(1-$AB$1))-$D182,0)</f>
        <v>0</v>
      </c>
      <c r="Z182" s="375"/>
      <c r="AA182" s="376"/>
      <c r="AB182" s="480"/>
    </row>
    <row r="183" spans="1:28" ht="12.75" hidden="1" customHeight="1" outlineLevel="1">
      <c r="A183" s="344" t="s">
        <v>608</v>
      </c>
      <c r="B183" s="529"/>
      <c r="C183" s="575"/>
      <c r="D183" s="575"/>
      <c r="E183" s="529"/>
      <c r="F183" s="462"/>
      <c r="G183" s="471"/>
      <c r="H183" s="230"/>
      <c r="I183" s="221"/>
      <c r="J183" s="221"/>
      <c r="K183" s="240"/>
      <c r="L183" s="228"/>
      <c r="M183" s="225"/>
      <c r="N183" s="228"/>
      <c r="O183" s="251"/>
      <c r="P183" s="360">
        <v>182</v>
      </c>
      <c r="Q183" s="244"/>
      <c r="R183" s="387">
        <v>0</v>
      </c>
      <c r="S183" s="401">
        <v>0</v>
      </c>
      <c r="T183" s="512">
        <v>0</v>
      </c>
      <c r="U183" s="512"/>
      <c r="V183" s="512">
        <v>0</v>
      </c>
      <c r="W183" s="289">
        <f>V182*(D182/100)</f>
        <v>0</v>
      </c>
      <c r="X183" s="396"/>
      <c r="Y183" s="353" t="str">
        <f>IFERROR(INT(#REF!/(F182)),"")</f>
        <v/>
      </c>
      <c r="Z183" s="377"/>
      <c r="AA183" s="378"/>
      <c r="AB183" s="469"/>
    </row>
    <row r="184" spans="1:28" ht="12.75" hidden="1" customHeight="1" outlineLevel="1">
      <c r="A184" s="455" t="s">
        <v>609</v>
      </c>
      <c r="B184" s="530"/>
      <c r="C184" s="573"/>
      <c r="D184" s="574"/>
      <c r="E184" s="534"/>
      <c r="F184" s="553"/>
      <c r="G184" s="470"/>
      <c r="H184" s="232"/>
      <c r="I184" s="222"/>
      <c r="J184" s="222"/>
      <c r="K184" s="243"/>
      <c r="L184" s="233"/>
      <c r="M184" s="226"/>
      <c r="N184" s="233"/>
      <c r="O184" s="252"/>
      <c r="P184" s="359">
        <v>183</v>
      </c>
      <c r="Q184" s="245"/>
      <c r="R184" s="390">
        <v>0</v>
      </c>
      <c r="S184" s="402">
        <v>0</v>
      </c>
      <c r="T184" s="513">
        <v>0</v>
      </c>
      <c r="U184" s="513"/>
      <c r="V184" s="513"/>
      <c r="W184" s="488">
        <f t="shared" ref="W184" si="124">(V184*X184)</f>
        <v>0</v>
      </c>
      <c r="X184" s="399"/>
      <c r="Y184" s="379">
        <f>IF(D184&lt;&gt;0,($C185*(1-$AB$1))-$D184,0)</f>
        <v>0</v>
      </c>
      <c r="Z184" s="380" t="str">
        <f>IFERROR(IF(C184&lt;&gt;"",$AA$1/(D182/100)*(C184/100),""),"")</f>
        <v/>
      </c>
      <c r="AA184" s="381" t="str">
        <f t="shared" ref="AA184:AA185" si="125">IFERROR($AC$1/(D184/100)*(C182/100),"")</f>
        <v/>
      </c>
      <c r="AB184" s="480"/>
    </row>
    <row r="185" spans="1:28" ht="12.75" hidden="1" customHeight="1" outlineLevel="1">
      <c r="A185" s="344" t="s">
        <v>610</v>
      </c>
      <c r="B185" s="529"/>
      <c r="C185" s="575"/>
      <c r="D185" s="575"/>
      <c r="E185" s="529"/>
      <c r="F185" s="462"/>
      <c r="G185" s="555"/>
      <c r="H185" s="230"/>
      <c r="I185" s="221"/>
      <c r="J185" s="221"/>
      <c r="K185" s="240"/>
      <c r="L185" s="228"/>
      <c r="M185" s="225"/>
      <c r="N185" s="228"/>
      <c r="O185" s="251"/>
      <c r="P185" s="360">
        <v>184</v>
      </c>
      <c r="Q185" s="244"/>
      <c r="R185" s="387">
        <v>0</v>
      </c>
      <c r="S185" s="401">
        <v>0</v>
      </c>
      <c r="T185" s="512">
        <v>0</v>
      </c>
      <c r="U185" s="512"/>
      <c r="V185" s="512">
        <v>0</v>
      </c>
      <c r="W185" s="489">
        <f>V184*(F184/100)</f>
        <v>0</v>
      </c>
      <c r="X185" s="396"/>
      <c r="Y185" s="354" t="str">
        <f>IFERROR(INT(#REF!/(F184/100)),"")</f>
        <v/>
      </c>
      <c r="Z185" s="382" t="str">
        <f>IFERROR(IF(C185&lt;&gt;"",$AA$1/(D181/100)*(C185/100),""),"")</f>
        <v/>
      </c>
      <c r="AA185" s="383" t="str">
        <f t="shared" si="125"/>
        <v/>
      </c>
      <c r="AB185" s="469"/>
    </row>
    <row r="186" spans="1:28" ht="12.75" hidden="1" customHeight="1" outlineLevel="1">
      <c r="A186" s="455" t="s">
        <v>611</v>
      </c>
      <c r="B186" s="530"/>
      <c r="C186" s="573"/>
      <c r="D186" s="574"/>
      <c r="E186" s="534"/>
      <c r="F186" s="554"/>
      <c r="G186" s="470"/>
      <c r="H186" s="232"/>
      <c r="I186" s="222"/>
      <c r="J186" s="222"/>
      <c r="K186" s="243"/>
      <c r="L186" s="233"/>
      <c r="M186" s="226"/>
      <c r="N186" s="233"/>
      <c r="O186" s="252"/>
      <c r="P186" s="359">
        <v>185</v>
      </c>
      <c r="Q186" s="245"/>
      <c r="R186" s="390">
        <v>0</v>
      </c>
      <c r="S186" s="402">
        <v>0</v>
      </c>
      <c r="T186" s="513">
        <v>0</v>
      </c>
      <c r="U186" s="513"/>
      <c r="V186" s="513"/>
      <c r="W186" s="490">
        <f t="shared" ref="W186" si="126">(V186*X186)</f>
        <v>0</v>
      </c>
      <c r="X186" s="398"/>
      <c r="Y186" s="384">
        <f>IF(D186&lt;&gt;0,($C187*(1-$AB$1))-$D186,0)</f>
        <v>0</v>
      </c>
      <c r="Z186" s="385" t="str">
        <f>IFERROR(IF(C186&lt;&gt;"",$AA$1/(D182/100)*(C186/100),""),"")</f>
        <v/>
      </c>
      <c r="AA186" s="386" t="str">
        <f t="shared" ref="AA186:AA187" si="127">IFERROR($AC$1/(D186/100)*(C182/100),"")</f>
        <v/>
      </c>
      <c r="AB186" s="480"/>
    </row>
    <row r="187" spans="1:28" ht="12.75" hidden="1" customHeight="1" outlineLevel="1">
      <c r="A187" s="439" t="s">
        <v>612</v>
      </c>
      <c r="B187" s="579"/>
      <c r="C187" s="580"/>
      <c r="D187" s="580"/>
      <c r="E187" s="579"/>
      <c r="F187" s="463"/>
      <c r="G187" s="473"/>
      <c r="H187" s="440"/>
      <c r="I187" s="441"/>
      <c r="J187" s="441"/>
      <c r="K187" s="454"/>
      <c r="L187" s="444"/>
      <c r="M187" s="443"/>
      <c r="N187" s="444"/>
      <c r="O187" s="445"/>
      <c r="P187" s="525">
        <v>186</v>
      </c>
      <c r="Q187" s="446"/>
      <c r="R187" s="447">
        <v>0</v>
      </c>
      <c r="S187" s="448">
        <v>0</v>
      </c>
      <c r="T187" s="514">
        <v>0</v>
      </c>
      <c r="U187" s="514"/>
      <c r="V187" s="514">
        <v>0</v>
      </c>
      <c r="W187" s="492">
        <f>V186*(C186/100)</f>
        <v>0</v>
      </c>
      <c r="X187" s="408"/>
      <c r="Y187" s="427" t="str">
        <f>IFERROR(INT(#REF!/(F186)),"")</f>
        <v/>
      </c>
      <c r="Z187" s="428" t="str">
        <f>IFERROR(IF(C187&lt;&gt;"",$AA$1/(D183/100)*(C187/100),""),"")</f>
        <v/>
      </c>
      <c r="AA187" s="429" t="str">
        <f t="shared" si="127"/>
        <v/>
      </c>
      <c r="AB187" s="469"/>
    </row>
    <row r="188" spans="1:28" ht="12.75" hidden="1" customHeight="1" outlineLevel="1">
      <c r="A188" s="456" t="s">
        <v>613</v>
      </c>
      <c r="B188" s="530"/>
      <c r="C188" s="573"/>
      <c r="D188" s="574"/>
      <c r="E188" s="534"/>
      <c r="F188" s="553"/>
      <c r="G188" s="470"/>
      <c r="H188" s="231"/>
      <c r="I188" s="223"/>
      <c r="J188" s="223"/>
      <c r="K188" s="242"/>
      <c r="L188" s="235"/>
      <c r="M188" s="227"/>
      <c r="N188" s="235"/>
      <c r="O188" s="250"/>
      <c r="P188" s="359">
        <v>187</v>
      </c>
      <c r="Q188" s="246"/>
      <c r="R188" s="388">
        <v>0</v>
      </c>
      <c r="S188" s="400">
        <v>0</v>
      </c>
      <c r="T188" s="511">
        <v>0</v>
      </c>
      <c r="U188" s="511"/>
      <c r="V188" s="511"/>
      <c r="W188" s="487">
        <f t="shared" ref="W188" si="128">(V188*X188)</f>
        <v>0</v>
      </c>
      <c r="X188" s="397"/>
      <c r="Y188" s="374">
        <f>IF(D188&lt;&gt;0,($C189*(1-$AB$1))-$D188,0)</f>
        <v>0</v>
      </c>
      <c r="Z188" s="375"/>
      <c r="AA188" s="376"/>
      <c r="AB188" s="480"/>
    </row>
    <row r="189" spans="1:28" ht="12.75" hidden="1" customHeight="1" outlineLevel="1">
      <c r="A189" s="344" t="s">
        <v>614</v>
      </c>
      <c r="B189" s="529"/>
      <c r="C189" s="575"/>
      <c r="D189" s="575"/>
      <c r="E189" s="529"/>
      <c r="F189" s="462"/>
      <c r="G189" s="471"/>
      <c r="H189" s="230"/>
      <c r="I189" s="221"/>
      <c r="J189" s="221"/>
      <c r="K189" s="240"/>
      <c r="L189" s="228"/>
      <c r="M189" s="225"/>
      <c r="N189" s="228"/>
      <c r="O189" s="251"/>
      <c r="P189" s="360">
        <v>188</v>
      </c>
      <c r="Q189" s="244"/>
      <c r="R189" s="387">
        <v>0</v>
      </c>
      <c r="S189" s="401">
        <v>0</v>
      </c>
      <c r="T189" s="512">
        <v>0</v>
      </c>
      <c r="U189" s="512"/>
      <c r="V189" s="512">
        <v>0</v>
      </c>
      <c r="W189" s="289">
        <f>V188*(D188/100)</f>
        <v>0</v>
      </c>
      <c r="X189" s="396"/>
      <c r="Y189" s="353" t="str">
        <f>IFERROR(INT(#REF!/(F188)),"")</f>
        <v/>
      </c>
      <c r="Z189" s="377"/>
      <c r="AA189" s="378"/>
      <c r="AB189" s="469"/>
    </row>
    <row r="190" spans="1:28" ht="12.75" hidden="1" customHeight="1" outlineLevel="1">
      <c r="A190" s="455" t="s">
        <v>615</v>
      </c>
      <c r="B190" s="530"/>
      <c r="C190" s="573"/>
      <c r="D190" s="574"/>
      <c r="E190" s="534"/>
      <c r="F190" s="553"/>
      <c r="G190" s="470"/>
      <c r="H190" s="232"/>
      <c r="I190" s="222"/>
      <c r="J190" s="222"/>
      <c r="K190" s="243"/>
      <c r="L190" s="233"/>
      <c r="M190" s="226"/>
      <c r="N190" s="233"/>
      <c r="O190" s="252"/>
      <c r="P190" s="359">
        <v>189</v>
      </c>
      <c r="Q190" s="245"/>
      <c r="R190" s="390">
        <v>0</v>
      </c>
      <c r="S190" s="402">
        <v>0</v>
      </c>
      <c r="T190" s="513">
        <v>0</v>
      </c>
      <c r="U190" s="513"/>
      <c r="V190" s="513"/>
      <c r="W190" s="488">
        <f t="shared" ref="W190" si="129">(V190*X190)</f>
        <v>0</v>
      </c>
      <c r="X190" s="399"/>
      <c r="Y190" s="379">
        <f>IF(D190&lt;&gt;0,($C191*(1-$AB$1))-$D190,0)</f>
        <v>0</v>
      </c>
      <c r="Z190" s="380" t="str">
        <f>IFERROR(IF(C190&lt;&gt;"",$AA$1/(D188/100)*(C190/100),""),"")</f>
        <v/>
      </c>
      <c r="AA190" s="381" t="str">
        <f t="shared" ref="AA190:AA191" si="130">IFERROR($AC$1/(D190/100)*(C188/100),"")</f>
        <v/>
      </c>
      <c r="AB190" s="480"/>
    </row>
    <row r="191" spans="1:28" ht="12.75" hidden="1" customHeight="1" outlineLevel="1">
      <c r="A191" s="344" t="s">
        <v>616</v>
      </c>
      <c r="B191" s="529"/>
      <c r="C191" s="575"/>
      <c r="D191" s="575"/>
      <c r="E191" s="529"/>
      <c r="F191" s="462"/>
      <c r="G191" s="555"/>
      <c r="H191" s="230"/>
      <c r="I191" s="221"/>
      <c r="J191" s="221"/>
      <c r="K191" s="240"/>
      <c r="L191" s="228"/>
      <c r="M191" s="225"/>
      <c r="N191" s="228"/>
      <c r="O191" s="251"/>
      <c r="P191" s="360">
        <v>190</v>
      </c>
      <c r="Q191" s="244"/>
      <c r="R191" s="387">
        <v>0</v>
      </c>
      <c r="S191" s="401">
        <v>0</v>
      </c>
      <c r="T191" s="512">
        <v>0</v>
      </c>
      <c r="U191" s="512"/>
      <c r="V191" s="512">
        <v>0</v>
      </c>
      <c r="W191" s="489">
        <f>V190*(F190/100)</f>
        <v>0</v>
      </c>
      <c r="X191" s="396"/>
      <c r="Y191" s="354" t="str">
        <f>IFERROR(INT(#REF!/(F190/100)),"")</f>
        <v/>
      </c>
      <c r="Z191" s="382" t="str">
        <f>IFERROR(IF(C191&lt;&gt;"",$AA$1/(D187/100)*(C191/100),""),"")</f>
        <v/>
      </c>
      <c r="AA191" s="383" t="str">
        <f t="shared" si="130"/>
        <v/>
      </c>
      <c r="AB191" s="469"/>
    </row>
    <row r="192" spans="1:28" ht="12.75" hidden="1" customHeight="1" outlineLevel="1">
      <c r="A192" s="455" t="s">
        <v>617</v>
      </c>
      <c r="B192" s="530"/>
      <c r="C192" s="573"/>
      <c r="D192" s="574"/>
      <c r="E192" s="534"/>
      <c r="F192" s="554"/>
      <c r="G192" s="470"/>
      <c r="H192" s="232"/>
      <c r="I192" s="222"/>
      <c r="J192" s="222"/>
      <c r="K192" s="243"/>
      <c r="L192" s="233"/>
      <c r="M192" s="226"/>
      <c r="N192" s="233"/>
      <c r="O192" s="252"/>
      <c r="P192" s="359">
        <v>191</v>
      </c>
      <c r="Q192" s="245"/>
      <c r="R192" s="390">
        <v>0</v>
      </c>
      <c r="S192" s="402">
        <v>0</v>
      </c>
      <c r="T192" s="513">
        <v>0</v>
      </c>
      <c r="U192" s="513"/>
      <c r="V192" s="513"/>
      <c r="W192" s="490">
        <f t="shared" ref="W192" si="131">(V192*X192)</f>
        <v>0</v>
      </c>
      <c r="X192" s="398"/>
      <c r="Y192" s="384">
        <f>IF(D192&lt;&gt;0,($C193*(1-$AB$1))-$D192,0)</f>
        <v>0</v>
      </c>
      <c r="Z192" s="385" t="str">
        <f>IFERROR(IF(C192&lt;&gt;"",$AA$1/(D188/100)*(C192/100),""),"")</f>
        <v/>
      </c>
      <c r="AA192" s="386" t="str">
        <f t="shared" ref="AA192:AA193" si="132">IFERROR($AC$1/(D192/100)*(C188/100),"")</f>
        <v/>
      </c>
      <c r="AB192" s="480"/>
    </row>
    <row r="193" spans="1:28" ht="12.75" hidden="1" customHeight="1" outlineLevel="1">
      <c r="A193" s="439" t="s">
        <v>618</v>
      </c>
      <c r="B193" s="579"/>
      <c r="C193" s="580"/>
      <c r="D193" s="580"/>
      <c r="E193" s="579"/>
      <c r="F193" s="463"/>
      <c r="G193" s="473"/>
      <c r="H193" s="440"/>
      <c r="I193" s="441"/>
      <c r="J193" s="441"/>
      <c r="K193" s="454"/>
      <c r="L193" s="444"/>
      <c r="M193" s="443"/>
      <c r="N193" s="444"/>
      <c r="O193" s="445"/>
      <c r="P193" s="525">
        <v>192</v>
      </c>
      <c r="Q193" s="446"/>
      <c r="R193" s="447">
        <v>0</v>
      </c>
      <c r="S193" s="448">
        <v>0</v>
      </c>
      <c r="T193" s="514">
        <v>0</v>
      </c>
      <c r="U193" s="514"/>
      <c r="V193" s="514">
        <v>0</v>
      </c>
      <c r="W193" s="492">
        <f>V192*(C192/100)</f>
        <v>0</v>
      </c>
      <c r="X193" s="408"/>
      <c r="Y193" s="427" t="str">
        <f>IFERROR(INT(#REF!/(F192)),"")</f>
        <v/>
      </c>
      <c r="Z193" s="428" t="str">
        <f>IFERROR(IF(C193&lt;&gt;"",$AA$1/(D189/100)*(C193/100),""),"")</f>
        <v/>
      </c>
      <c r="AA193" s="429" t="str">
        <f t="shared" si="132"/>
        <v/>
      </c>
      <c r="AB193" s="469"/>
    </row>
    <row r="194" spans="1:28" ht="12.75" hidden="1" customHeight="1" outlineLevel="1">
      <c r="A194" s="456" t="s">
        <v>619</v>
      </c>
      <c r="B194" s="530"/>
      <c r="C194" s="573"/>
      <c r="D194" s="574"/>
      <c r="E194" s="534"/>
      <c r="F194" s="553"/>
      <c r="G194" s="470"/>
      <c r="H194" s="231"/>
      <c r="I194" s="223"/>
      <c r="J194" s="223"/>
      <c r="K194" s="242"/>
      <c r="L194" s="235"/>
      <c r="M194" s="227"/>
      <c r="N194" s="235"/>
      <c r="O194" s="250"/>
      <c r="P194" s="359">
        <v>193</v>
      </c>
      <c r="Q194" s="246"/>
      <c r="R194" s="388">
        <v>0</v>
      </c>
      <c r="S194" s="400">
        <v>0</v>
      </c>
      <c r="T194" s="511">
        <v>0</v>
      </c>
      <c r="U194" s="511"/>
      <c r="V194" s="511"/>
      <c r="W194" s="487">
        <f t="shared" ref="W194" si="133">(V194*X194)</f>
        <v>0</v>
      </c>
      <c r="X194" s="397"/>
      <c r="Y194" s="374">
        <f>IF(D194&lt;&gt;0,($C195*(1-$AB$1))-$D194,0)</f>
        <v>0</v>
      </c>
      <c r="Z194" s="375"/>
      <c r="AA194" s="376"/>
      <c r="AB194" s="480"/>
    </row>
    <row r="195" spans="1:28" ht="12.75" hidden="1" customHeight="1" outlineLevel="1">
      <c r="A195" s="344" t="s">
        <v>620</v>
      </c>
      <c r="B195" s="529"/>
      <c r="C195" s="575"/>
      <c r="D195" s="575"/>
      <c r="E195" s="529"/>
      <c r="F195" s="462"/>
      <c r="G195" s="471"/>
      <c r="H195" s="230"/>
      <c r="I195" s="221"/>
      <c r="J195" s="221"/>
      <c r="K195" s="240"/>
      <c r="L195" s="228"/>
      <c r="M195" s="225"/>
      <c r="N195" s="228"/>
      <c r="O195" s="251"/>
      <c r="P195" s="360">
        <v>194</v>
      </c>
      <c r="Q195" s="244"/>
      <c r="R195" s="387">
        <v>0</v>
      </c>
      <c r="S195" s="401">
        <v>0</v>
      </c>
      <c r="T195" s="512">
        <v>0</v>
      </c>
      <c r="U195" s="512"/>
      <c r="V195" s="512">
        <v>0</v>
      </c>
      <c r="W195" s="289">
        <f>V194*(D194/100)</f>
        <v>0</v>
      </c>
      <c r="X195" s="396"/>
      <c r="Y195" s="353" t="str">
        <f>IFERROR(INT(#REF!/(F194)),"")</f>
        <v/>
      </c>
      <c r="Z195" s="377"/>
      <c r="AA195" s="378"/>
      <c r="AB195" s="469"/>
    </row>
    <row r="196" spans="1:28" ht="12.75" hidden="1" customHeight="1" outlineLevel="1">
      <c r="A196" s="455" t="s">
        <v>623</v>
      </c>
      <c r="B196" s="530"/>
      <c r="C196" s="573"/>
      <c r="D196" s="574"/>
      <c r="E196" s="534"/>
      <c r="F196" s="553"/>
      <c r="G196" s="470"/>
      <c r="H196" s="232"/>
      <c r="I196" s="222"/>
      <c r="J196" s="222"/>
      <c r="K196" s="243"/>
      <c r="L196" s="233"/>
      <c r="M196" s="226"/>
      <c r="N196" s="233"/>
      <c r="O196" s="252"/>
      <c r="P196" s="359">
        <v>195</v>
      </c>
      <c r="Q196" s="245"/>
      <c r="R196" s="390">
        <v>0</v>
      </c>
      <c r="S196" s="402">
        <v>0</v>
      </c>
      <c r="T196" s="513">
        <v>0</v>
      </c>
      <c r="U196" s="513"/>
      <c r="V196" s="513"/>
      <c r="W196" s="488">
        <f t="shared" ref="W196" si="134">(V196*X196)</f>
        <v>0</v>
      </c>
      <c r="X196" s="399"/>
      <c r="Y196" s="379">
        <f>IF(D196&lt;&gt;0,($C197*(1-$AB$1))-$D196,0)</f>
        <v>0</v>
      </c>
      <c r="Z196" s="380" t="str">
        <f>IFERROR(IF(C196&lt;&gt;"",$AA$1/(D194/100)*(C196/100),""),"")</f>
        <v/>
      </c>
      <c r="AA196" s="381" t="str">
        <f t="shared" ref="AA196:AA197" si="135">IFERROR($AC$1/(D196/100)*(C194/100),"")</f>
        <v/>
      </c>
      <c r="AB196" s="480"/>
    </row>
    <row r="197" spans="1:28" ht="12.75" hidden="1" customHeight="1" outlineLevel="1">
      <c r="A197" s="344" t="s">
        <v>624</v>
      </c>
      <c r="B197" s="529"/>
      <c r="C197" s="575"/>
      <c r="D197" s="575"/>
      <c r="E197" s="529"/>
      <c r="F197" s="462"/>
      <c r="G197" s="555"/>
      <c r="H197" s="230"/>
      <c r="I197" s="221"/>
      <c r="J197" s="221"/>
      <c r="K197" s="240"/>
      <c r="L197" s="228"/>
      <c r="M197" s="225"/>
      <c r="N197" s="228"/>
      <c r="O197" s="251"/>
      <c r="P197" s="360">
        <v>196</v>
      </c>
      <c r="Q197" s="244"/>
      <c r="R197" s="387">
        <v>0</v>
      </c>
      <c r="S197" s="401">
        <v>0</v>
      </c>
      <c r="T197" s="512">
        <v>0</v>
      </c>
      <c r="U197" s="512"/>
      <c r="V197" s="512">
        <v>0</v>
      </c>
      <c r="W197" s="489">
        <f>V196*(F196/100)</f>
        <v>0</v>
      </c>
      <c r="X197" s="396"/>
      <c r="Y197" s="354" t="str">
        <f>IFERROR(INT(#REF!/(F196/100)),"")</f>
        <v/>
      </c>
      <c r="Z197" s="382" t="str">
        <f>IFERROR(IF(C197&lt;&gt;"",$AA$1/(D193/100)*(C197/100),""),"")</f>
        <v/>
      </c>
      <c r="AA197" s="383" t="str">
        <f t="shared" si="135"/>
        <v/>
      </c>
      <c r="AB197" s="469"/>
    </row>
    <row r="198" spans="1:28" ht="12.75" hidden="1" customHeight="1" outlineLevel="1">
      <c r="A198" s="455" t="s">
        <v>621</v>
      </c>
      <c r="B198" s="530"/>
      <c r="C198" s="573"/>
      <c r="D198" s="574"/>
      <c r="E198" s="534"/>
      <c r="F198" s="554"/>
      <c r="G198" s="470"/>
      <c r="H198" s="232"/>
      <c r="I198" s="222"/>
      <c r="J198" s="222"/>
      <c r="K198" s="243"/>
      <c r="L198" s="233"/>
      <c r="M198" s="226"/>
      <c r="N198" s="233"/>
      <c r="O198" s="252"/>
      <c r="P198" s="359">
        <v>197</v>
      </c>
      <c r="Q198" s="245"/>
      <c r="R198" s="390">
        <v>0</v>
      </c>
      <c r="S198" s="402">
        <v>0</v>
      </c>
      <c r="T198" s="513">
        <v>0</v>
      </c>
      <c r="U198" s="513"/>
      <c r="V198" s="513"/>
      <c r="W198" s="490">
        <f t="shared" ref="W198" si="136">(V198*X198)</f>
        <v>0</v>
      </c>
      <c r="X198" s="398"/>
      <c r="Y198" s="384">
        <f>IF(D198&lt;&gt;0,($C199*(1-$AB$1))-$D198,0)</f>
        <v>0</v>
      </c>
      <c r="Z198" s="385" t="str">
        <f>IFERROR(IF(C198&lt;&gt;"",$AA$1/(D194/100)*(C198/100),""),"")</f>
        <v/>
      </c>
      <c r="AA198" s="386" t="str">
        <f t="shared" ref="AA198:AA199" si="137">IFERROR($AC$1/(D198/100)*(C194/100),"")</f>
        <v/>
      </c>
      <c r="AB198" s="480"/>
    </row>
    <row r="199" spans="1:28" ht="12.75" hidden="1" customHeight="1" outlineLevel="1">
      <c r="A199" s="439" t="s">
        <v>622</v>
      </c>
      <c r="B199" s="579"/>
      <c r="C199" s="580"/>
      <c r="D199" s="580"/>
      <c r="E199" s="579"/>
      <c r="F199" s="463"/>
      <c r="G199" s="473"/>
      <c r="H199" s="236"/>
      <c r="I199" s="237"/>
      <c r="J199" s="237"/>
      <c r="K199" s="430"/>
      <c r="L199" s="239"/>
      <c r="M199" s="238"/>
      <c r="N199" s="239"/>
      <c r="O199" s="253"/>
      <c r="P199" s="360">
        <v>198</v>
      </c>
      <c r="Q199" s="361"/>
      <c r="R199" s="389">
        <v>0</v>
      </c>
      <c r="S199" s="421">
        <v>0</v>
      </c>
      <c r="T199" s="515">
        <v>0</v>
      </c>
      <c r="U199" s="515"/>
      <c r="V199" s="515">
        <v>0</v>
      </c>
      <c r="W199" s="492">
        <f>V198*(C198/100)</f>
        <v>0</v>
      </c>
      <c r="X199" s="408"/>
      <c r="Y199" s="427" t="str">
        <f>IFERROR(INT(#REF!/(F198)),"")</f>
        <v/>
      </c>
      <c r="Z199" s="428" t="str">
        <f>IFERROR(IF(C199&lt;&gt;"",$AA$1/(D195/100)*(C199/100),""),"")</f>
        <v/>
      </c>
      <c r="AA199" s="429" t="str">
        <f t="shared" si="137"/>
        <v/>
      </c>
      <c r="AB199" s="469"/>
    </row>
    <row r="200" spans="1:28" ht="12.75" customHeight="1" collapsed="1"/>
    <row r="204" spans="1:28" ht="12.75" customHeight="1">
      <c r="A204" s="410"/>
    </row>
    <row r="205" spans="1:28" ht="12.75" customHeight="1">
      <c r="A205" s="411"/>
    </row>
    <row r="206" spans="1:28" ht="12.75" customHeight="1">
      <c r="A206" s="411"/>
    </row>
    <row r="207" spans="1:28" ht="12.75" customHeight="1">
      <c r="A207" s="411"/>
    </row>
  </sheetData>
  <sortState xmlns:xlrd2="http://schemas.microsoft.com/office/spreadsheetml/2017/richdata2" ref="A15">
    <sortCondition descending="1" ref="A14:A15"/>
  </sortState>
  <mergeCells count="17">
    <mergeCell ref="AA20:AA21"/>
    <mergeCell ref="AA22:AA23"/>
    <mergeCell ref="AA24:AA25"/>
    <mergeCell ref="Z28:Z29"/>
    <mergeCell ref="Q1:R1"/>
    <mergeCell ref="AA2:AA3"/>
    <mergeCell ref="AA6:AA7"/>
    <mergeCell ref="AA10:AA11"/>
    <mergeCell ref="AA8:AA9"/>
    <mergeCell ref="AA4:AA5"/>
    <mergeCell ref="U1:V1"/>
    <mergeCell ref="S1:T1"/>
    <mergeCell ref="Z26:Z27"/>
    <mergeCell ref="AA12:AA13"/>
    <mergeCell ref="AA14:AA15"/>
    <mergeCell ref="AA16:AA17"/>
    <mergeCell ref="AA18:AA19"/>
  </mergeCells>
  <phoneticPr fontId="16" type="noConversion"/>
  <conditionalFormatting sqref="Q60:T157">
    <cfRule type="cellIs" dxfId="2883" priority="17624" operator="equal">
      <formula>0</formula>
    </cfRule>
  </conditionalFormatting>
  <conditionalFormatting sqref="Y64 Y66">
    <cfRule type="cellIs" dxfId="2882" priority="13720" operator="lessThanOrEqual">
      <formula>0</formula>
    </cfRule>
  </conditionalFormatting>
  <conditionalFormatting sqref="Z30:Z34 Z37:Z39">
    <cfRule type="cellIs" dxfId="2881" priority="18367" operator="equal">
      <formula>0</formula>
    </cfRule>
  </conditionalFormatting>
  <conditionalFormatting sqref="W63">
    <cfRule type="cellIs" dxfId="2880" priority="13674" operator="equal">
      <formula>0</formula>
    </cfRule>
  </conditionalFormatting>
  <conditionalFormatting sqref="W62">
    <cfRule type="cellIs" dxfId="2879" priority="8784" operator="equal">
      <formula>0</formula>
    </cfRule>
    <cfRule type="cellIs" dxfId="2878" priority="8786" operator="lessThan">
      <formula>W63</formula>
    </cfRule>
    <cfRule type="cellIs" dxfId="2877" priority="13673" operator="lessThan">
      <formula>0</formula>
    </cfRule>
  </conditionalFormatting>
  <conditionalFormatting sqref="W65">
    <cfRule type="cellIs" dxfId="2876" priority="13672" operator="equal">
      <formula>0</formula>
    </cfRule>
  </conditionalFormatting>
  <conditionalFormatting sqref="W64">
    <cfRule type="cellIs" dxfId="2875" priority="8782" operator="equal">
      <formula>0</formula>
    </cfRule>
    <cfRule type="cellIs" dxfId="2874" priority="8783" operator="lessThan">
      <formula>W65</formula>
    </cfRule>
    <cfRule type="cellIs" dxfId="2873" priority="13671" operator="lessThan">
      <formula>0</formula>
    </cfRule>
  </conditionalFormatting>
  <conditionalFormatting sqref="W66">
    <cfRule type="cellIs" dxfId="2872" priority="8781" operator="equal">
      <formula>0</formula>
    </cfRule>
    <cfRule type="cellIs" dxfId="2871" priority="8787" operator="lessThan">
      <formula>W67</formula>
    </cfRule>
  </conditionalFormatting>
  <conditionalFormatting sqref="Z2 Z6 Z10 Z14 Z18 Z22">
    <cfRule type="cellIs" dxfId="2870" priority="13341" operator="equal">
      <formula>0</formula>
    </cfRule>
  </conditionalFormatting>
  <conditionalFormatting sqref="Z3 Z7 Z11 Z15 Z19 Z23">
    <cfRule type="cellIs" dxfId="2869" priority="13340" operator="equal">
      <formula>0</formula>
    </cfRule>
  </conditionalFormatting>
  <conditionalFormatting sqref="Z4 Z8 Z12 Z16 Z20 Z24">
    <cfRule type="cellIs" dxfId="2868" priority="13339" operator="equal">
      <formula>0</formula>
    </cfRule>
  </conditionalFormatting>
  <conditionalFormatting sqref="Z5 Z9 Z13 Z17 Z21 Z25">
    <cfRule type="cellIs" dxfId="2867" priority="13338" operator="equal">
      <formula>0</formula>
    </cfRule>
  </conditionalFormatting>
  <conditionalFormatting sqref="Y3">
    <cfRule type="cellIs" dxfId="2866" priority="12394" operator="equal">
      <formula>0</formula>
    </cfRule>
  </conditionalFormatting>
  <conditionalFormatting sqref="Y4">
    <cfRule type="cellIs" dxfId="2865" priority="12393" operator="equal">
      <formula>0</formula>
    </cfRule>
  </conditionalFormatting>
  <conditionalFormatting sqref="Y7">
    <cfRule type="cellIs" dxfId="2864" priority="12388" operator="equal">
      <formula>0</formula>
    </cfRule>
  </conditionalFormatting>
  <conditionalFormatting sqref="Y8">
    <cfRule type="cellIs" dxfId="2863" priority="12387" operator="equal">
      <formula>0</formula>
    </cfRule>
  </conditionalFormatting>
  <conditionalFormatting sqref="Y11 Y15 Y19 Y23">
    <cfRule type="cellIs" dxfId="2862" priority="12382" operator="equal">
      <formula>0</formula>
    </cfRule>
  </conditionalFormatting>
  <conditionalFormatting sqref="Y12 Y16 Y20 Y24">
    <cfRule type="cellIs" dxfId="2861" priority="12381" operator="equal">
      <formula>0</formula>
    </cfRule>
  </conditionalFormatting>
  <conditionalFormatting sqref="B2 B6 B10 B14">
    <cfRule type="expression" dxfId="2860" priority="21579">
      <formula>IF($Y5&gt;$Y2,AND(MID($A2,5,1)=" "))</formula>
    </cfRule>
    <cfRule type="expression" dxfId="2859" priority="21580">
      <formula>IF($Y5&gt;$Y2,AND(MID($A2,5,1)="C"))</formula>
    </cfRule>
    <cfRule type="expression" dxfId="2858" priority="21581">
      <formula>IF($Y5&gt;$Y2,AND(MID($A2,5,1)="D"))</formula>
    </cfRule>
  </conditionalFormatting>
  <conditionalFormatting sqref="E3 E7 E11 E15">
    <cfRule type="expression" dxfId="2857" priority="21594">
      <formula>IF($Y5&gt;$Y2,AND(MID($A3,5,1)=" "))</formula>
    </cfRule>
    <cfRule type="expression" dxfId="2856" priority="21595">
      <formula>IF($Y5&gt;$Y2,AND(MID($A3,5,1)="C"))</formula>
    </cfRule>
    <cfRule type="expression" dxfId="2855" priority="21596">
      <formula>IF($Y5&gt;$Y2,AND(MID($A3,5,1)="D"))</formula>
    </cfRule>
  </conditionalFormatting>
  <conditionalFormatting sqref="B4 B8 B16">
    <cfRule type="expression" dxfId="2854" priority="21609">
      <formula>IF($Y5&gt;$Y2,AND(MID($A4,5,1)=" "))</formula>
    </cfRule>
    <cfRule type="expression" dxfId="2853" priority="21610">
      <formula>IF($Y5&gt;$Y2,AND(MID($A4,5,1)="C"))</formula>
    </cfRule>
    <cfRule type="expression" dxfId="2852" priority="21611">
      <formula>IF($Y5&gt;$Y2,AND(MID($A4,5,1)="D"))</formula>
    </cfRule>
  </conditionalFormatting>
  <conditionalFormatting sqref="E5 E9 E13 E17">
    <cfRule type="expression" dxfId="2851" priority="21624">
      <formula>IF($Y5&gt;$Y2,AND(MID($A5,5,1)=" "))</formula>
    </cfRule>
    <cfRule type="expression" dxfId="2850" priority="21625">
      <formula>IF($Y5&gt;$Y2,AND(MID($A5,5,1)="C"))</formula>
    </cfRule>
    <cfRule type="expression" dxfId="2849" priority="21626">
      <formula>IF($Y5&gt;$Y2,AND(MID($A5,5,1)="D"))</formula>
    </cfRule>
  </conditionalFormatting>
  <conditionalFormatting sqref="C2 C6 C10 C14">
    <cfRule type="expression" dxfId="2848" priority="21639">
      <formula>IF($Y5&gt;$Y2,AND(MID($A2,5,1)=" "))</formula>
    </cfRule>
    <cfRule type="expression" dxfId="2847" priority="21640">
      <formula>IF($Y5&gt;$Y2,AND(MID($A2,5,1)="C"))</formula>
    </cfRule>
    <cfRule type="expression" dxfId="2846" priority="21641">
      <formula>IF($Y5&gt;$Y2,AND(MID($A2,5,1)="D"))</formula>
    </cfRule>
  </conditionalFormatting>
  <conditionalFormatting sqref="D3 D7 D11 D15">
    <cfRule type="expression" dxfId="2845" priority="21654">
      <formula>IF($Y5&gt;$Y2,AND(MID($A3,5,1)=" "))</formula>
    </cfRule>
    <cfRule type="expression" dxfId="2844" priority="21655">
      <formula>IF($Y5&gt;$Y2,AND(MID($A3,5,1)="C"))</formula>
    </cfRule>
    <cfRule type="expression" dxfId="2843" priority="21656">
      <formula>IF($Y5&gt;$Y2,AND(MID($A3,5,1)="D"))</formula>
    </cfRule>
  </conditionalFormatting>
  <conditionalFormatting sqref="D5 D9 D13 D17">
    <cfRule type="expression" dxfId="2842" priority="21669">
      <formula>IF($Y5&gt;$Y2,AND(MID($A5,5,1)=" "))</formula>
    </cfRule>
    <cfRule type="expression" dxfId="2841" priority="21670">
      <formula>IF($Y5&gt;$Y2,AND(MID($A5,5,1)="C"))</formula>
    </cfRule>
    <cfRule type="expression" dxfId="2840" priority="21671">
      <formula>IF($Y5&gt;$Y2,AND(MID($A5,5,1)="D"))</formula>
    </cfRule>
  </conditionalFormatting>
  <conditionalFormatting sqref="C4 C8 C16">
    <cfRule type="expression" dxfId="2839" priority="21684">
      <formula>IF($Y5&gt;$Y2,AND(MID($A4,5,1)=" "))</formula>
    </cfRule>
    <cfRule type="expression" dxfId="2838" priority="21685">
      <formula>IF($Y5&gt;$Y2,AND(MID($A4,5,1)="C"))</formula>
    </cfRule>
    <cfRule type="expression" dxfId="2837" priority="21686">
      <formula>IF($Y5&gt;$Y2,AND(MID($A4,5,1)="D"))</formula>
    </cfRule>
  </conditionalFormatting>
  <conditionalFormatting sqref="Q158:T199">
    <cfRule type="cellIs" dxfId="2836" priority="11537" operator="equal">
      <formula>0</formula>
    </cfRule>
  </conditionalFormatting>
  <conditionalFormatting sqref="Z64">
    <cfRule type="cellIs" dxfId="2835" priority="11514" operator="equal">
      <formula>0</formula>
    </cfRule>
  </conditionalFormatting>
  <conditionalFormatting sqref="AA64">
    <cfRule type="cellIs" dxfId="2834" priority="11513" operator="equal">
      <formula>0</formula>
    </cfRule>
  </conditionalFormatting>
  <conditionalFormatting sqref="Z65 Z67">
    <cfRule type="cellIs" dxfId="2833" priority="11511" operator="equal">
      <formula>0</formula>
    </cfRule>
  </conditionalFormatting>
  <conditionalFormatting sqref="AA65:AA67">
    <cfRule type="cellIs" dxfId="2832" priority="11510" operator="equal">
      <formula>0</formula>
    </cfRule>
  </conditionalFormatting>
  <conditionalFormatting sqref="Z70">
    <cfRule type="cellIs" dxfId="2831" priority="11509" operator="equal">
      <formula>0</formula>
    </cfRule>
  </conditionalFormatting>
  <conditionalFormatting sqref="AA70">
    <cfRule type="cellIs" dxfId="2830" priority="11508" operator="equal">
      <formula>0</formula>
    </cfRule>
  </conditionalFormatting>
  <conditionalFormatting sqref="Z71:Z73">
    <cfRule type="cellIs" dxfId="2829" priority="11506" operator="equal">
      <formula>0</formula>
    </cfRule>
  </conditionalFormatting>
  <conditionalFormatting sqref="AA71:AA73">
    <cfRule type="cellIs" dxfId="2828" priority="11505" operator="equal">
      <formula>0</formula>
    </cfRule>
  </conditionalFormatting>
  <conditionalFormatting sqref="Z76">
    <cfRule type="cellIs" dxfId="2827" priority="11504" operator="equal">
      <formula>0</formula>
    </cfRule>
  </conditionalFormatting>
  <conditionalFormatting sqref="AA76">
    <cfRule type="cellIs" dxfId="2826" priority="11503" operator="equal">
      <formula>0</formula>
    </cfRule>
  </conditionalFormatting>
  <conditionalFormatting sqref="Z77:Z79">
    <cfRule type="cellIs" dxfId="2825" priority="11501" operator="equal">
      <formula>0</formula>
    </cfRule>
  </conditionalFormatting>
  <conditionalFormatting sqref="AA77:AA79">
    <cfRule type="cellIs" dxfId="2824" priority="11500" operator="equal">
      <formula>0</formula>
    </cfRule>
  </conditionalFormatting>
  <conditionalFormatting sqref="Z82">
    <cfRule type="cellIs" dxfId="2823" priority="11499" operator="equal">
      <formula>0</formula>
    </cfRule>
  </conditionalFormatting>
  <conditionalFormatting sqref="AA82">
    <cfRule type="cellIs" dxfId="2822" priority="11498" operator="equal">
      <formula>0</formula>
    </cfRule>
  </conditionalFormatting>
  <conditionalFormatting sqref="Z83:Z85">
    <cfRule type="cellIs" dxfId="2821" priority="11496" operator="equal">
      <formula>0</formula>
    </cfRule>
  </conditionalFormatting>
  <conditionalFormatting sqref="AA83:AA85">
    <cfRule type="cellIs" dxfId="2820" priority="11495" operator="equal">
      <formula>0</formula>
    </cfRule>
  </conditionalFormatting>
  <conditionalFormatting sqref="Z88">
    <cfRule type="cellIs" dxfId="2819" priority="11494" operator="equal">
      <formula>0</formula>
    </cfRule>
  </conditionalFormatting>
  <conditionalFormatting sqref="AA88">
    <cfRule type="cellIs" dxfId="2818" priority="11493" operator="equal">
      <formula>0</formula>
    </cfRule>
  </conditionalFormatting>
  <conditionalFormatting sqref="Z89:Z91">
    <cfRule type="cellIs" dxfId="2817" priority="11491" operator="equal">
      <formula>0</formula>
    </cfRule>
  </conditionalFormatting>
  <conditionalFormatting sqref="AA89:AA91">
    <cfRule type="cellIs" dxfId="2816" priority="11490" operator="equal">
      <formula>0</formula>
    </cfRule>
  </conditionalFormatting>
  <conditionalFormatting sqref="Z94">
    <cfRule type="cellIs" dxfId="2815" priority="11489" operator="equal">
      <formula>0</formula>
    </cfRule>
  </conditionalFormatting>
  <conditionalFormatting sqref="AA94">
    <cfRule type="cellIs" dxfId="2814" priority="11488" operator="equal">
      <formula>0</formula>
    </cfRule>
  </conditionalFormatting>
  <conditionalFormatting sqref="Z95:Z97">
    <cfRule type="cellIs" dxfId="2813" priority="11486" operator="equal">
      <formula>0</formula>
    </cfRule>
  </conditionalFormatting>
  <conditionalFormatting sqref="AA95:AA97">
    <cfRule type="cellIs" dxfId="2812" priority="11485" operator="equal">
      <formula>0</formula>
    </cfRule>
  </conditionalFormatting>
  <conditionalFormatting sqref="Z100">
    <cfRule type="cellIs" dxfId="2811" priority="11484" operator="equal">
      <formula>0</formula>
    </cfRule>
  </conditionalFormatting>
  <conditionalFormatting sqref="AA100">
    <cfRule type="cellIs" dxfId="2810" priority="11483" operator="equal">
      <formula>0</formula>
    </cfRule>
  </conditionalFormatting>
  <conditionalFormatting sqref="Z101:Z103">
    <cfRule type="cellIs" dxfId="2809" priority="11481" operator="equal">
      <formula>0</formula>
    </cfRule>
  </conditionalFormatting>
  <conditionalFormatting sqref="AA101:AA103">
    <cfRule type="cellIs" dxfId="2808" priority="11480" operator="equal">
      <formula>0</formula>
    </cfRule>
  </conditionalFormatting>
  <conditionalFormatting sqref="Z106">
    <cfRule type="cellIs" dxfId="2807" priority="11479" operator="equal">
      <formula>0</formula>
    </cfRule>
  </conditionalFormatting>
  <conditionalFormatting sqref="AA106">
    <cfRule type="cellIs" dxfId="2806" priority="11478" operator="equal">
      <formula>0</formula>
    </cfRule>
  </conditionalFormatting>
  <conditionalFormatting sqref="Z107:Z109">
    <cfRule type="cellIs" dxfId="2805" priority="11476" operator="equal">
      <formula>0</formula>
    </cfRule>
  </conditionalFormatting>
  <conditionalFormatting sqref="AA107:AA109">
    <cfRule type="cellIs" dxfId="2804" priority="11475" operator="equal">
      <formula>0</formula>
    </cfRule>
  </conditionalFormatting>
  <conditionalFormatting sqref="Z112">
    <cfRule type="cellIs" dxfId="2803" priority="11474" operator="equal">
      <formula>0</formula>
    </cfRule>
  </conditionalFormatting>
  <conditionalFormatting sqref="AA112">
    <cfRule type="cellIs" dxfId="2802" priority="11473" operator="equal">
      <formula>0</formula>
    </cfRule>
  </conditionalFormatting>
  <conditionalFormatting sqref="Z136">
    <cfRule type="cellIs" dxfId="2801" priority="11454" operator="equal">
      <formula>0</formula>
    </cfRule>
  </conditionalFormatting>
  <conditionalFormatting sqref="Z113:Z115">
    <cfRule type="cellIs" dxfId="2800" priority="11471" operator="equal">
      <formula>0</formula>
    </cfRule>
  </conditionalFormatting>
  <conditionalFormatting sqref="AA113:AA115">
    <cfRule type="cellIs" dxfId="2799" priority="11470" operator="equal">
      <formula>0</formula>
    </cfRule>
  </conditionalFormatting>
  <conditionalFormatting sqref="Z118">
    <cfRule type="cellIs" dxfId="2798" priority="11469" operator="equal">
      <formula>0</formula>
    </cfRule>
  </conditionalFormatting>
  <conditionalFormatting sqref="AA118">
    <cfRule type="cellIs" dxfId="2797" priority="11468" operator="equal">
      <formula>0</formula>
    </cfRule>
  </conditionalFormatting>
  <conditionalFormatting sqref="Z137:Z139">
    <cfRule type="cellIs" dxfId="2796" priority="11451" operator="equal">
      <formula>0</formula>
    </cfRule>
  </conditionalFormatting>
  <conditionalFormatting sqref="Z119:Z121">
    <cfRule type="cellIs" dxfId="2795" priority="11466" operator="equal">
      <formula>0</formula>
    </cfRule>
  </conditionalFormatting>
  <conditionalFormatting sqref="AA119:AA121">
    <cfRule type="cellIs" dxfId="2794" priority="11465" operator="equal">
      <formula>0</formula>
    </cfRule>
  </conditionalFormatting>
  <conditionalFormatting sqref="Z124">
    <cfRule type="cellIs" dxfId="2793" priority="11464" operator="equal">
      <formula>0</formula>
    </cfRule>
  </conditionalFormatting>
  <conditionalFormatting sqref="AA124">
    <cfRule type="cellIs" dxfId="2792" priority="11463" operator="equal">
      <formula>0</formula>
    </cfRule>
  </conditionalFormatting>
  <conditionalFormatting sqref="AA142">
    <cfRule type="cellIs" dxfId="2791" priority="11448" operator="equal">
      <formula>0</formula>
    </cfRule>
  </conditionalFormatting>
  <conditionalFormatting sqref="Z125:Z127">
    <cfRule type="cellIs" dxfId="2790" priority="11461" operator="equal">
      <formula>0</formula>
    </cfRule>
  </conditionalFormatting>
  <conditionalFormatting sqref="AA125:AA127">
    <cfRule type="cellIs" dxfId="2789" priority="11460" operator="equal">
      <formula>0</formula>
    </cfRule>
  </conditionalFormatting>
  <conditionalFormatting sqref="Z130">
    <cfRule type="cellIs" dxfId="2788" priority="11459" operator="equal">
      <formula>0</formula>
    </cfRule>
  </conditionalFormatting>
  <conditionalFormatting sqref="AA130">
    <cfRule type="cellIs" dxfId="2787" priority="11458" operator="equal">
      <formula>0</formula>
    </cfRule>
  </conditionalFormatting>
  <conditionalFormatting sqref="AA143:AA145">
    <cfRule type="cellIs" dxfId="2786" priority="11445" operator="equal">
      <formula>0</formula>
    </cfRule>
  </conditionalFormatting>
  <conditionalFormatting sqref="Z131:Z133">
    <cfRule type="cellIs" dxfId="2785" priority="11456" operator="equal">
      <formula>0</formula>
    </cfRule>
  </conditionalFormatting>
  <conditionalFormatting sqref="AA131:AA133">
    <cfRule type="cellIs" dxfId="2784" priority="11455" operator="equal">
      <formula>0</formula>
    </cfRule>
  </conditionalFormatting>
  <conditionalFormatting sqref="AA136">
    <cfRule type="cellIs" dxfId="2783" priority="11453" operator="equal">
      <formula>0</formula>
    </cfRule>
  </conditionalFormatting>
  <conditionalFormatting sqref="AA137:AA139">
    <cfRule type="cellIs" dxfId="2782" priority="11450" operator="equal">
      <formula>0</formula>
    </cfRule>
  </conditionalFormatting>
  <conditionalFormatting sqref="Z142">
    <cfRule type="cellIs" dxfId="2781" priority="11449" operator="equal">
      <formula>0</formula>
    </cfRule>
  </conditionalFormatting>
  <conditionalFormatting sqref="Z154">
    <cfRule type="cellIs" dxfId="2780" priority="11439" operator="equal">
      <formula>0</formula>
    </cfRule>
  </conditionalFormatting>
  <conditionalFormatting sqref="Z143:Z145">
    <cfRule type="cellIs" dxfId="2779" priority="11446" operator="equal">
      <formula>0</formula>
    </cfRule>
  </conditionalFormatting>
  <conditionalFormatting sqref="Z148">
    <cfRule type="cellIs" dxfId="2778" priority="11444" operator="equal">
      <formula>0</formula>
    </cfRule>
  </conditionalFormatting>
  <conditionalFormatting sqref="AA148">
    <cfRule type="cellIs" dxfId="2777" priority="11443" operator="equal">
      <formula>0</formula>
    </cfRule>
  </conditionalFormatting>
  <conditionalFormatting sqref="Z155:Z157">
    <cfRule type="cellIs" dxfId="2776" priority="11436" operator="equal">
      <formula>0</formula>
    </cfRule>
  </conditionalFormatting>
  <conditionalFormatting sqref="Z149:Z151">
    <cfRule type="cellIs" dxfId="2775" priority="11441" operator="equal">
      <formula>0</formula>
    </cfRule>
  </conditionalFormatting>
  <conditionalFormatting sqref="AA149:AA151">
    <cfRule type="cellIs" dxfId="2774" priority="11440" operator="equal">
      <formula>0</formula>
    </cfRule>
  </conditionalFormatting>
  <conditionalFormatting sqref="AA154">
    <cfRule type="cellIs" dxfId="2773" priority="11438" operator="equal">
      <formula>0</formula>
    </cfRule>
  </conditionalFormatting>
  <conditionalFormatting sqref="AA160 AA166 AA172 AA178 AA184 AA190 AA196">
    <cfRule type="cellIs" dxfId="2772" priority="11433" operator="equal">
      <formula>0</formula>
    </cfRule>
  </conditionalFormatting>
  <conditionalFormatting sqref="AA155:AA157">
    <cfRule type="cellIs" dxfId="2771" priority="11435" operator="equal">
      <formula>0</formula>
    </cfRule>
  </conditionalFormatting>
  <conditionalFormatting sqref="Z160 Z166 Z172 Z178 Z184 Z190 Z196">
    <cfRule type="cellIs" dxfId="2770" priority="11434" operator="equal">
      <formula>0</formula>
    </cfRule>
  </conditionalFormatting>
  <conditionalFormatting sqref="AA161:AA163 AA167:AA169 AA173:AA175 AA179:AA181 AA185:AA187 AA191:AA193 AA197:AA199">
    <cfRule type="cellIs" dxfId="2769" priority="11430" operator="equal">
      <formula>0</formula>
    </cfRule>
  </conditionalFormatting>
  <conditionalFormatting sqref="Z161:Z163 Z167:Z169 Z173:Z175 Z179:Z181 Z185:Z187 Z191:Z193 Z197:Z199">
    <cfRule type="cellIs" dxfId="2768" priority="1143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67" priority="11424" operator="equal">
      <formula>0</formula>
    </cfRule>
  </conditionalFormatting>
  <conditionalFormatting sqref="W67">
    <cfRule type="cellIs" dxfId="2766" priority="8769" operator="equal">
      <formula>0</formula>
    </cfRule>
    <cfRule type="cellIs" dxfId="2765" priority="10246" operator="greaterThan">
      <formula>W66</formula>
    </cfRule>
  </conditionalFormatting>
  <conditionalFormatting sqref="Y65">
    <cfRule type="cellIs" dxfId="2764" priority="8909" operator="equal">
      <formula>0</formula>
    </cfRule>
  </conditionalFormatting>
  <conditionalFormatting sqref="Y67">
    <cfRule type="cellIs" dxfId="2763" priority="8908" operator="equal">
      <formula>0</formula>
    </cfRule>
  </conditionalFormatting>
  <conditionalFormatting sqref="W69">
    <cfRule type="cellIs" dxfId="2762" priority="8330" operator="lessThan">
      <formula>W68</formula>
    </cfRule>
    <cfRule type="cellIs" dxfId="2761" priority="8756" operator="equal">
      <formula>0</formula>
    </cfRule>
  </conditionalFormatting>
  <conditionalFormatting sqref="W68">
    <cfRule type="cellIs" dxfId="2760" priority="8331" operator="lessThan">
      <formula>W69</formula>
    </cfRule>
    <cfRule type="cellIs" dxfId="2759" priority="8749" operator="equal">
      <formula>0</formula>
    </cfRule>
    <cfRule type="cellIs" dxfId="2758" priority="8750" operator="lessThan">
      <formula>W69</formula>
    </cfRule>
    <cfRule type="cellIs" dxfId="2757" priority="8755" operator="lessThan">
      <formula>0</formula>
    </cfRule>
  </conditionalFormatting>
  <conditionalFormatting sqref="W71">
    <cfRule type="cellIs" dxfId="2756" priority="8754" operator="equal">
      <formula>0</formula>
    </cfRule>
  </conditionalFormatting>
  <conditionalFormatting sqref="W70">
    <cfRule type="cellIs" dxfId="2755" priority="8747" operator="equal">
      <formula>0</formula>
    </cfRule>
    <cfRule type="cellIs" dxfId="2754" priority="8748" operator="lessThan">
      <formula>W71</formula>
    </cfRule>
    <cfRule type="cellIs" dxfId="2753" priority="8753" operator="lessThan">
      <formula>0</formula>
    </cfRule>
  </conditionalFormatting>
  <conditionalFormatting sqref="W72">
    <cfRule type="cellIs" dxfId="2752" priority="8746" operator="equal">
      <formula>0</formula>
    </cfRule>
    <cfRule type="cellIs" dxfId="2751" priority="8751" operator="lessThan">
      <formula>W73</formula>
    </cfRule>
  </conditionalFormatting>
  <conditionalFormatting sqref="W77">
    <cfRule type="cellIs" dxfId="2750" priority="8742" operator="equal">
      <formula>0</formula>
    </cfRule>
  </conditionalFormatting>
  <conditionalFormatting sqref="W76">
    <cfRule type="cellIs" dxfId="2749" priority="8735" operator="equal">
      <formula>0</formula>
    </cfRule>
    <cfRule type="cellIs" dxfId="2748" priority="8736" operator="lessThan">
      <formula>W77</formula>
    </cfRule>
    <cfRule type="cellIs" dxfId="2747" priority="8741" operator="lessThan">
      <formula>0</formula>
    </cfRule>
  </conditionalFormatting>
  <conditionalFormatting sqref="W78">
    <cfRule type="cellIs" dxfId="2746" priority="8734" operator="equal">
      <formula>0</formula>
    </cfRule>
    <cfRule type="cellIs" dxfId="2745" priority="8739" operator="lessThan">
      <formula>W79</formula>
    </cfRule>
  </conditionalFormatting>
  <conditionalFormatting sqref="W83">
    <cfRule type="cellIs" dxfId="2744" priority="8730" operator="equal">
      <formula>0</formula>
    </cfRule>
  </conditionalFormatting>
  <conditionalFormatting sqref="W82">
    <cfRule type="cellIs" dxfId="2743" priority="8723" operator="equal">
      <formula>0</formula>
    </cfRule>
    <cfRule type="cellIs" dxfId="2742" priority="8724" operator="lessThan">
      <formula>W83</formula>
    </cfRule>
    <cfRule type="cellIs" dxfId="2741" priority="8729" operator="lessThan">
      <formula>0</formula>
    </cfRule>
  </conditionalFormatting>
  <conditionalFormatting sqref="W84">
    <cfRule type="cellIs" dxfId="2740" priority="8722" operator="equal">
      <formula>0</formula>
    </cfRule>
    <cfRule type="cellIs" dxfId="2739" priority="8727" operator="lessThan">
      <formula>W85</formula>
    </cfRule>
  </conditionalFormatting>
  <conditionalFormatting sqref="W85">
    <cfRule type="cellIs" dxfId="2738" priority="8721" operator="equal">
      <formula>0</formula>
    </cfRule>
    <cfRule type="cellIs" dxfId="2737" priority="8728" operator="greaterThan">
      <formula>W84</formula>
    </cfRule>
  </conditionalFormatting>
  <conditionalFormatting sqref="W89">
    <cfRule type="cellIs" dxfId="2736" priority="8718" operator="equal">
      <formula>0</formula>
    </cfRule>
  </conditionalFormatting>
  <conditionalFormatting sqref="W88">
    <cfRule type="cellIs" dxfId="2735" priority="8711" operator="equal">
      <formula>0</formula>
    </cfRule>
    <cfRule type="cellIs" dxfId="2734" priority="8712" operator="lessThan">
      <formula>W89</formula>
    </cfRule>
    <cfRule type="cellIs" dxfId="2733" priority="8717" operator="lessThan">
      <formula>0</formula>
    </cfRule>
  </conditionalFormatting>
  <conditionalFormatting sqref="W90">
    <cfRule type="cellIs" dxfId="2732" priority="8710" operator="equal">
      <formula>0</formula>
    </cfRule>
    <cfRule type="cellIs" dxfId="2731" priority="8715" operator="lessThan">
      <formula>W91</formula>
    </cfRule>
  </conditionalFormatting>
  <conditionalFormatting sqref="W91">
    <cfRule type="cellIs" dxfId="2730" priority="8709" operator="equal">
      <formula>0</formula>
    </cfRule>
    <cfRule type="cellIs" dxfId="2729" priority="8716" operator="greaterThan">
      <formula>W90</formula>
    </cfRule>
  </conditionalFormatting>
  <conditionalFormatting sqref="W95">
    <cfRule type="cellIs" dxfId="2728" priority="8706" operator="equal">
      <formula>0</formula>
    </cfRule>
  </conditionalFormatting>
  <conditionalFormatting sqref="W94">
    <cfRule type="cellIs" dxfId="2727" priority="8699" operator="equal">
      <formula>0</formula>
    </cfRule>
    <cfRule type="cellIs" dxfId="2726" priority="8700" operator="lessThan">
      <formula>W95</formula>
    </cfRule>
    <cfRule type="cellIs" dxfId="2725" priority="8705" operator="lessThan">
      <formula>0</formula>
    </cfRule>
  </conditionalFormatting>
  <conditionalFormatting sqref="W96">
    <cfRule type="cellIs" dxfId="2724" priority="8698" operator="equal">
      <formula>0</formula>
    </cfRule>
    <cfRule type="cellIs" dxfId="2723" priority="8703" operator="lessThan">
      <formula>W97</formula>
    </cfRule>
  </conditionalFormatting>
  <conditionalFormatting sqref="W97">
    <cfRule type="cellIs" dxfId="2722" priority="8697" operator="equal">
      <formula>0</formula>
    </cfRule>
    <cfRule type="cellIs" dxfId="2721" priority="8704" operator="greaterThan">
      <formula>W96</formula>
    </cfRule>
  </conditionalFormatting>
  <conditionalFormatting sqref="W101">
    <cfRule type="cellIs" dxfId="2720" priority="8694" operator="equal">
      <formula>0</formula>
    </cfRule>
  </conditionalFormatting>
  <conditionalFormatting sqref="W100">
    <cfRule type="cellIs" dxfId="2719" priority="8687" operator="equal">
      <formula>0</formula>
    </cfRule>
    <cfRule type="cellIs" dxfId="2718" priority="8688" operator="lessThan">
      <formula>W101</formula>
    </cfRule>
    <cfRule type="cellIs" dxfId="2717" priority="8693" operator="lessThan">
      <formula>0</formula>
    </cfRule>
  </conditionalFormatting>
  <conditionalFormatting sqref="W102">
    <cfRule type="cellIs" dxfId="2716" priority="8686" operator="equal">
      <formula>0</formula>
    </cfRule>
    <cfRule type="cellIs" dxfId="2715" priority="8691" operator="lessThan">
      <formula>W103</formula>
    </cfRule>
  </conditionalFormatting>
  <conditionalFormatting sqref="W103">
    <cfRule type="cellIs" dxfId="2714" priority="8685" operator="equal">
      <formula>0</formula>
    </cfRule>
    <cfRule type="cellIs" dxfId="2713" priority="8692" operator="greaterThan">
      <formula>W102</formula>
    </cfRule>
  </conditionalFormatting>
  <conditionalFormatting sqref="W107">
    <cfRule type="cellIs" dxfId="2712" priority="8682" operator="equal">
      <formula>0</formula>
    </cfRule>
  </conditionalFormatting>
  <conditionalFormatting sqref="W106">
    <cfRule type="cellIs" dxfId="2711" priority="8675" operator="equal">
      <formula>0</formula>
    </cfRule>
    <cfRule type="cellIs" dxfId="2710" priority="8676" operator="lessThan">
      <formula>W107</formula>
    </cfRule>
    <cfRule type="cellIs" dxfId="2709" priority="8681" operator="lessThan">
      <formula>0</formula>
    </cfRule>
  </conditionalFormatting>
  <conditionalFormatting sqref="W108">
    <cfRule type="cellIs" dxfId="2708" priority="8674" operator="equal">
      <formula>0</formula>
    </cfRule>
    <cfRule type="cellIs" dxfId="2707" priority="8679" operator="lessThan">
      <formula>W109</formula>
    </cfRule>
  </conditionalFormatting>
  <conditionalFormatting sqref="W109">
    <cfRule type="cellIs" dxfId="2706" priority="8673" operator="equal">
      <formula>0</formula>
    </cfRule>
    <cfRule type="cellIs" dxfId="2705" priority="8680" operator="greaterThan">
      <formula>W108</formula>
    </cfRule>
  </conditionalFormatting>
  <conditionalFormatting sqref="W113">
    <cfRule type="cellIs" dxfId="2704" priority="8670" operator="equal">
      <formula>0</formula>
    </cfRule>
  </conditionalFormatting>
  <conditionalFormatting sqref="W112">
    <cfRule type="cellIs" dxfId="2703" priority="8663" operator="equal">
      <formula>0</formula>
    </cfRule>
    <cfRule type="cellIs" dxfId="2702" priority="8664" operator="lessThan">
      <formula>W113</formula>
    </cfRule>
    <cfRule type="cellIs" dxfId="2701" priority="8669" operator="lessThan">
      <formula>0</formula>
    </cfRule>
  </conditionalFormatting>
  <conditionalFormatting sqref="W114">
    <cfRule type="cellIs" dxfId="2700" priority="8662" operator="equal">
      <formula>0</formula>
    </cfRule>
    <cfRule type="cellIs" dxfId="2699" priority="8667" operator="lessThan">
      <formula>W115</formula>
    </cfRule>
  </conditionalFormatting>
  <conditionalFormatting sqref="W115">
    <cfRule type="cellIs" dxfId="2698" priority="8661" operator="equal">
      <formula>0</formula>
    </cfRule>
    <cfRule type="cellIs" dxfId="2697" priority="8668" operator="greaterThan">
      <formula>W114</formula>
    </cfRule>
  </conditionalFormatting>
  <conditionalFormatting sqref="W119">
    <cfRule type="cellIs" dxfId="2696" priority="8658" operator="equal">
      <formula>0</formula>
    </cfRule>
  </conditionalFormatting>
  <conditionalFormatting sqref="W118">
    <cfRule type="cellIs" dxfId="2695" priority="8651" operator="equal">
      <formula>0</formula>
    </cfRule>
    <cfRule type="cellIs" dxfId="2694" priority="8652" operator="lessThan">
      <formula>W119</formula>
    </cfRule>
    <cfRule type="cellIs" dxfId="2693" priority="8657" operator="lessThan">
      <formula>0</formula>
    </cfRule>
  </conditionalFormatting>
  <conditionalFormatting sqref="W120">
    <cfRule type="cellIs" dxfId="2692" priority="8650" operator="equal">
      <formula>0</formula>
    </cfRule>
    <cfRule type="cellIs" dxfId="2691" priority="8655" operator="lessThan">
      <formula>W121</formula>
    </cfRule>
  </conditionalFormatting>
  <conditionalFormatting sqref="W121">
    <cfRule type="cellIs" dxfId="2690" priority="8649" operator="equal">
      <formula>0</formula>
    </cfRule>
    <cfRule type="cellIs" dxfId="2689" priority="8656" operator="greaterThan">
      <formula>W120</formula>
    </cfRule>
  </conditionalFormatting>
  <conditionalFormatting sqref="W125">
    <cfRule type="cellIs" dxfId="2688" priority="8646" operator="equal">
      <formula>0</formula>
    </cfRule>
  </conditionalFormatting>
  <conditionalFormatting sqref="W124">
    <cfRule type="cellIs" dxfId="2687" priority="8639" operator="equal">
      <formula>0</formula>
    </cfRule>
    <cfRule type="cellIs" dxfId="2686" priority="8640" operator="lessThan">
      <formula>W125</formula>
    </cfRule>
    <cfRule type="cellIs" dxfId="2685" priority="8645" operator="lessThan">
      <formula>0</formula>
    </cfRule>
  </conditionalFormatting>
  <conditionalFormatting sqref="W126">
    <cfRule type="cellIs" dxfId="2684" priority="8638" operator="equal">
      <formula>0</formula>
    </cfRule>
    <cfRule type="cellIs" dxfId="2683" priority="8643" operator="lessThan">
      <formula>W127</formula>
    </cfRule>
  </conditionalFormatting>
  <conditionalFormatting sqref="W127">
    <cfRule type="cellIs" dxfId="2682" priority="8637" operator="equal">
      <formula>0</formula>
    </cfRule>
    <cfRule type="cellIs" dxfId="2681" priority="8644" operator="greaterThan">
      <formula>W126</formula>
    </cfRule>
  </conditionalFormatting>
  <conditionalFormatting sqref="W131">
    <cfRule type="cellIs" dxfId="2680" priority="8634" operator="equal">
      <formula>0</formula>
    </cfRule>
  </conditionalFormatting>
  <conditionalFormatting sqref="W130">
    <cfRule type="cellIs" dxfId="2679" priority="8627" operator="equal">
      <formula>0</formula>
    </cfRule>
    <cfRule type="cellIs" dxfId="2678" priority="8628" operator="lessThan">
      <formula>W131</formula>
    </cfRule>
    <cfRule type="cellIs" dxfId="2677" priority="8633" operator="lessThan">
      <formula>0</formula>
    </cfRule>
  </conditionalFormatting>
  <conditionalFormatting sqref="W132">
    <cfRule type="cellIs" dxfId="2676" priority="8626" operator="equal">
      <formula>0</formula>
    </cfRule>
    <cfRule type="cellIs" dxfId="2675" priority="8631" operator="lessThan">
      <formula>W133</formula>
    </cfRule>
  </conditionalFormatting>
  <conditionalFormatting sqref="W133">
    <cfRule type="cellIs" dxfId="2674" priority="8625" operator="equal">
      <formula>0</formula>
    </cfRule>
    <cfRule type="cellIs" dxfId="2673" priority="8632" operator="greaterThan">
      <formula>W132</formula>
    </cfRule>
  </conditionalFormatting>
  <conditionalFormatting sqref="W137">
    <cfRule type="cellIs" dxfId="2672" priority="8622" operator="equal">
      <formula>0</formula>
    </cfRule>
  </conditionalFormatting>
  <conditionalFormatting sqref="W136">
    <cfRule type="cellIs" dxfId="2671" priority="8615" operator="equal">
      <formula>0</formula>
    </cfRule>
    <cfRule type="cellIs" dxfId="2670" priority="8616" operator="lessThan">
      <formula>W137</formula>
    </cfRule>
    <cfRule type="cellIs" dxfId="2669" priority="8621" operator="lessThan">
      <formula>0</formula>
    </cfRule>
  </conditionalFormatting>
  <conditionalFormatting sqref="W138">
    <cfRule type="cellIs" dxfId="2668" priority="8614" operator="equal">
      <formula>0</formula>
    </cfRule>
    <cfRule type="cellIs" dxfId="2667" priority="8619" operator="lessThan">
      <formula>W139</formula>
    </cfRule>
  </conditionalFormatting>
  <conditionalFormatting sqref="W139">
    <cfRule type="cellIs" dxfId="2666" priority="8613" operator="equal">
      <formula>0</formula>
    </cfRule>
    <cfRule type="cellIs" dxfId="2665" priority="8620" operator="greaterThan">
      <formula>W138</formula>
    </cfRule>
  </conditionalFormatting>
  <conditionalFormatting sqref="W143">
    <cfRule type="cellIs" dxfId="2664" priority="8610" operator="equal">
      <formula>0</formula>
    </cfRule>
  </conditionalFormatting>
  <conditionalFormatting sqref="W142">
    <cfRule type="cellIs" dxfId="2663" priority="8603" operator="equal">
      <formula>0</formula>
    </cfRule>
    <cfRule type="cellIs" dxfId="2662" priority="8604" operator="lessThan">
      <formula>W143</formula>
    </cfRule>
    <cfRule type="cellIs" dxfId="2661" priority="8609" operator="lessThan">
      <formula>0</formula>
    </cfRule>
  </conditionalFormatting>
  <conditionalFormatting sqref="W144">
    <cfRule type="cellIs" dxfId="2660" priority="8602" operator="equal">
      <formula>0</formula>
    </cfRule>
    <cfRule type="cellIs" dxfId="2659" priority="8607" operator="lessThan">
      <formula>W145</formula>
    </cfRule>
  </conditionalFormatting>
  <conditionalFormatting sqref="W145">
    <cfRule type="cellIs" dxfId="2658" priority="8601" operator="equal">
      <formula>0</formula>
    </cfRule>
    <cfRule type="cellIs" dxfId="2657" priority="8608" operator="greaterThan">
      <formula>W144</formula>
    </cfRule>
  </conditionalFormatting>
  <conditionalFormatting sqref="W149">
    <cfRule type="cellIs" dxfId="2656" priority="8598" operator="equal">
      <formula>0</formula>
    </cfRule>
  </conditionalFormatting>
  <conditionalFormatting sqref="W148">
    <cfRule type="cellIs" dxfId="2655" priority="8591" operator="equal">
      <formula>0</formula>
    </cfRule>
    <cfRule type="cellIs" dxfId="2654" priority="8592" operator="lessThan">
      <formula>W149</formula>
    </cfRule>
    <cfRule type="cellIs" dxfId="2653" priority="8597" operator="lessThan">
      <formula>0</formula>
    </cfRule>
  </conditionalFormatting>
  <conditionalFormatting sqref="W150">
    <cfRule type="cellIs" dxfId="2652" priority="8590" operator="equal">
      <formula>0</formula>
    </cfRule>
    <cfRule type="cellIs" dxfId="2651" priority="8595" operator="lessThan">
      <formula>W151</formula>
    </cfRule>
  </conditionalFormatting>
  <conditionalFormatting sqref="W151">
    <cfRule type="cellIs" dxfId="2650" priority="8589" operator="equal">
      <formula>0</formula>
    </cfRule>
    <cfRule type="cellIs" dxfId="2649" priority="8596" operator="greaterThan">
      <formula>W150</formula>
    </cfRule>
  </conditionalFormatting>
  <conditionalFormatting sqref="W153">
    <cfRule type="cellIs" dxfId="2648" priority="8588" operator="equal">
      <formula>0</formula>
    </cfRule>
  </conditionalFormatting>
  <conditionalFormatting sqref="W152">
    <cfRule type="cellIs" dxfId="2647" priority="8581" operator="equal">
      <formula>0</formula>
    </cfRule>
    <cfRule type="cellIs" dxfId="2646" priority="8582" operator="lessThan">
      <formula>W153</formula>
    </cfRule>
    <cfRule type="cellIs" dxfId="2645" priority="8587" operator="lessThan">
      <formula>0</formula>
    </cfRule>
  </conditionalFormatting>
  <conditionalFormatting sqref="W155">
    <cfRule type="cellIs" dxfId="2644" priority="8586" operator="equal">
      <formula>0</formula>
    </cfRule>
  </conditionalFormatting>
  <conditionalFormatting sqref="W154">
    <cfRule type="cellIs" dxfId="2643" priority="8579" operator="equal">
      <formula>0</formula>
    </cfRule>
    <cfRule type="cellIs" dxfId="2642" priority="8580" operator="lessThan">
      <formula>W155</formula>
    </cfRule>
    <cfRule type="cellIs" dxfId="2641" priority="8585" operator="lessThan">
      <formula>0</formula>
    </cfRule>
  </conditionalFormatting>
  <conditionalFormatting sqref="W156">
    <cfRule type="cellIs" dxfId="2640" priority="8578" operator="equal">
      <formula>0</formula>
    </cfRule>
    <cfRule type="cellIs" dxfId="2639" priority="8583" operator="lessThan">
      <formula>W157</formula>
    </cfRule>
  </conditionalFormatting>
  <conditionalFormatting sqref="W157">
    <cfRule type="cellIs" dxfId="2638" priority="8577" operator="equal">
      <formula>0</formula>
    </cfRule>
    <cfRule type="cellIs" dxfId="2637" priority="8584" operator="greaterThan">
      <formula>W156</formula>
    </cfRule>
  </conditionalFormatting>
  <conditionalFormatting sqref="W159">
    <cfRule type="cellIs" dxfId="2636" priority="8576" operator="equal">
      <formula>0</formula>
    </cfRule>
  </conditionalFormatting>
  <conditionalFormatting sqref="W158">
    <cfRule type="cellIs" dxfId="2635" priority="8569" operator="equal">
      <formula>0</formula>
    </cfRule>
    <cfRule type="cellIs" dxfId="2634" priority="8570" operator="lessThan">
      <formula>W159</formula>
    </cfRule>
    <cfRule type="cellIs" dxfId="2633" priority="8575" operator="lessThan">
      <formula>0</formula>
    </cfRule>
  </conditionalFormatting>
  <conditionalFormatting sqref="W161">
    <cfRule type="cellIs" dxfId="2632" priority="8574" operator="equal">
      <formula>0</formula>
    </cfRule>
  </conditionalFormatting>
  <conditionalFormatting sqref="W160">
    <cfRule type="cellIs" dxfId="2631" priority="8567" operator="equal">
      <formula>0</formula>
    </cfRule>
    <cfRule type="cellIs" dxfId="2630" priority="8568" operator="lessThan">
      <formula>W161</formula>
    </cfRule>
    <cfRule type="cellIs" dxfId="2629" priority="8573" operator="lessThan">
      <formula>0</formula>
    </cfRule>
  </conditionalFormatting>
  <conditionalFormatting sqref="W162">
    <cfRule type="cellIs" dxfId="2628" priority="8566" operator="equal">
      <formula>0</formula>
    </cfRule>
    <cfRule type="cellIs" dxfId="2627" priority="8571" operator="lessThan">
      <formula>W163</formula>
    </cfRule>
  </conditionalFormatting>
  <conditionalFormatting sqref="W163">
    <cfRule type="cellIs" dxfId="2626" priority="8565" operator="equal">
      <formula>0</formula>
    </cfRule>
    <cfRule type="cellIs" dxfId="2625" priority="8572" operator="greaterThan">
      <formula>W162</formula>
    </cfRule>
  </conditionalFormatting>
  <conditionalFormatting sqref="W165 W171 W177 W183 W189 W195">
    <cfRule type="cellIs" dxfId="2624" priority="8564" operator="equal">
      <formula>0</formula>
    </cfRule>
  </conditionalFormatting>
  <conditionalFormatting sqref="W164 W170 W176 W182 W188 W194">
    <cfRule type="cellIs" dxfId="2623" priority="8557" operator="equal">
      <formula>0</formula>
    </cfRule>
    <cfRule type="cellIs" dxfId="2622" priority="8558" operator="lessThan">
      <formula>W165</formula>
    </cfRule>
    <cfRule type="cellIs" dxfId="2621" priority="8563" operator="lessThan">
      <formula>0</formula>
    </cfRule>
  </conditionalFormatting>
  <conditionalFormatting sqref="W167 W173 W179 W185 W191 W197">
    <cfRule type="cellIs" dxfId="2620" priority="8562" operator="equal">
      <formula>0</formula>
    </cfRule>
  </conditionalFormatting>
  <conditionalFormatting sqref="W166 W172 W178 W184 W190 W196">
    <cfRule type="cellIs" dxfId="2619" priority="8555" operator="equal">
      <formula>0</formula>
    </cfRule>
    <cfRule type="cellIs" dxfId="2618" priority="8556" operator="lessThan">
      <formula>W167</formula>
    </cfRule>
    <cfRule type="cellIs" dxfId="2617" priority="8561" operator="lessThan">
      <formula>0</formula>
    </cfRule>
  </conditionalFormatting>
  <conditionalFormatting sqref="W168 W174 W180 W186 W192 W198">
    <cfRule type="cellIs" dxfId="2616" priority="8554" operator="equal">
      <formula>0</formula>
    </cfRule>
    <cfRule type="cellIs" dxfId="2615" priority="8559" operator="lessThan">
      <formula>W169</formula>
    </cfRule>
  </conditionalFormatting>
  <conditionalFormatting sqref="W169 W175 W181 W187 W193 W199">
    <cfRule type="cellIs" dxfId="2614" priority="8553" operator="equal">
      <formula>0</formula>
    </cfRule>
    <cfRule type="cellIs" dxfId="2613" priority="8560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12" priority="8324" operator="lessThan">
      <formula>W74</formula>
    </cfRule>
    <cfRule type="cellIs" dxfId="2611" priority="8329" operator="equal">
      <formula>0</formula>
    </cfRule>
  </conditionalFormatting>
  <conditionalFormatting sqref="W74">
    <cfRule type="cellIs" dxfId="2610" priority="8325" operator="lessThan">
      <formula>W75</formula>
    </cfRule>
    <cfRule type="cellIs" dxfId="2609" priority="8326" operator="equal">
      <formula>0</formula>
    </cfRule>
    <cfRule type="cellIs" dxfId="2608" priority="8327" operator="lessThan">
      <formula>W75</formula>
    </cfRule>
    <cfRule type="cellIs" dxfId="2607" priority="8328" operator="lessThan">
      <formula>0</formula>
    </cfRule>
  </conditionalFormatting>
  <conditionalFormatting sqref="W81">
    <cfRule type="cellIs" dxfId="2606" priority="8318" operator="lessThan">
      <formula>W80</formula>
    </cfRule>
    <cfRule type="cellIs" dxfId="2605" priority="8323" operator="equal">
      <formula>0</formula>
    </cfRule>
  </conditionalFormatting>
  <conditionalFormatting sqref="W80">
    <cfRule type="cellIs" dxfId="2604" priority="8319" operator="lessThan">
      <formula>W81</formula>
    </cfRule>
    <cfRule type="cellIs" dxfId="2603" priority="8320" operator="equal">
      <formula>0</formula>
    </cfRule>
    <cfRule type="cellIs" dxfId="2602" priority="8321" operator="lessThan">
      <formula>W81</formula>
    </cfRule>
    <cfRule type="cellIs" dxfId="2601" priority="8322" operator="lessThan">
      <formula>0</formula>
    </cfRule>
  </conditionalFormatting>
  <conditionalFormatting sqref="W87">
    <cfRule type="cellIs" dxfId="2600" priority="8312" operator="lessThan">
      <formula>W86</formula>
    </cfRule>
    <cfRule type="cellIs" dxfId="2599" priority="8317" operator="equal">
      <formula>0</formula>
    </cfRule>
  </conditionalFormatting>
  <conditionalFormatting sqref="W86">
    <cfRule type="cellIs" dxfId="2598" priority="8313" operator="lessThan">
      <formula>W87</formula>
    </cfRule>
    <cfRule type="cellIs" dxfId="2597" priority="8314" operator="equal">
      <formula>0</formula>
    </cfRule>
    <cfRule type="cellIs" dxfId="2596" priority="8315" operator="lessThan">
      <formula>W87</formula>
    </cfRule>
    <cfRule type="cellIs" dxfId="2595" priority="8316" operator="lessThan">
      <formula>0</formula>
    </cfRule>
  </conditionalFormatting>
  <conditionalFormatting sqref="W93">
    <cfRule type="cellIs" dxfId="2594" priority="8306" operator="lessThan">
      <formula>W92</formula>
    </cfRule>
    <cfRule type="cellIs" dxfId="2593" priority="8311" operator="equal">
      <formula>0</formula>
    </cfRule>
  </conditionalFormatting>
  <conditionalFormatting sqref="W92">
    <cfRule type="cellIs" dxfId="2592" priority="8307" operator="lessThan">
      <formula>W93</formula>
    </cfRule>
    <cfRule type="cellIs" dxfId="2591" priority="8308" operator="equal">
      <formula>0</formula>
    </cfRule>
    <cfRule type="cellIs" dxfId="2590" priority="8309" operator="lessThan">
      <formula>W93</formula>
    </cfRule>
    <cfRule type="cellIs" dxfId="2589" priority="8310" operator="lessThan">
      <formula>0</formula>
    </cfRule>
  </conditionalFormatting>
  <conditionalFormatting sqref="W99">
    <cfRule type="cellIs" dxfId="2588" priority="8300" operator="lessThan">
      <formula>W98</formula>
    </cfRule>
    <cfRule type="cellIs" dxfId="2587" priority="8305" operator="equal">
      <formula>0</formula>
    </cfRule>
  </conditionalFormatting>
  <conditionalFormatting sqref="W98">
    <cfRule type="cellIs" dxfId="2586" priority="8301" operator="lessThan">
      <formula>W99</formula>
    </cfRule>
    <cfRule type="cellIs" dxfId="2585" priority="8302" operator="equal">
      <formula>0</formula>
    </cfRule>
    <cfRule type="cellIs" dxfId="2584" priority="8303" operator="lessThan">
      <formula>W99</formula>
    </cfRule>
    <cfRule type="cellIs" dxfId="2583" priority="8304" operator="lessThan">
      <formula>0</formula>
    </cfRule>
  </conditionalFormatting>
  <conditionalFormatting sqref="W105">
    <cfRule type="cellIs" dxfId="2582" priority="8294" operator="lessThan">
      <formula>W104</formula>
    </cfRule>
    <cfRule type="cellIs" dxfId="2581" priority="8299" operator="equal">
      <formula>0</formula>
    </cfRule>
  </conditionalFormatting>
  <conditionalFormatting sqref="W104">
    <cfRule type="cellIs" dxfId="2580" priority="8295" operator="lessThan">
      <formula>W105</formula>
    </cfRule>
    <cfRule type="cellIs" dxfId="2579" priority="8296" operator="equal">
      <formula>0</formula>
    </cfRule>
    <cfRule type="cellIs" dxfId="2578" priority="8297" operator="lessThan">
      <formula>W105</formula>
    </cfRule>
    <cfRule type="cellIs" dxfId="2577" priority="8298" operator="lessThan">
      <formula>0</formula>
    </cfRule>
  </conditionalFormatting>
  <conditionalFormatting sqref="W111">
    <cfRule type="cellIs" dxfId="2576" priority="8288" operator="lessThan">
      <formula>W110</formula>
    </cfRule>
    <cfRule type="cellIs" dxfId="2575" priority="8293" operator="equal">
      <formula>0</formula>
    </cfRule>
  </conditionalFormatting>
  <conditionalFormatting sqref="W110">
    <cfRule type="cellIs" dxfId="2574" priority="8289" operator="lessThan">
      <formula>W111</formula>
    </cfRule>
    <cfRule type="cellIs" dxfId="2573" priority="8290" operator="equal">
      <formula>0</formula>
    </cfRule>
    <cfRule type="cellIs" dxfId="2572" priority="8291" operator="lessThan">
      <formula>W111</formula>
    </cfRule>
    <cfRule type="cellIs" dxfId="2571" priority="8292" operator="lessThan">
      <formula>0</formula>
    </cfRule>
  </conditionalFormatting>
  <conditionalFormatting sqref="W117">
    <cfRule type="cellIs" dxfId="2570" priority="8282" operator="lessThan">
      <formula>W116</formula>
    </cfRule>
    <cfRule type="cellIs" dxfId="2569" priority="8287" operator="equal">
      <formula>0</formula>
    </cfRule>
  </conditionalFormatting>
  <conditionalFormatting sqref="W116">
    <cfRule type="cellIs" dxfId="2568" priority="8283" operator="lessThan">
      <formula>W117</formula>
    </cfRule>
    <cfRule type="cellIs" dxfId="2567" priority="8284" operator="equal">
      <formula>0</formula>
    </cfRule>
    <cfRule type="cellIs" dxfId="2566" priority="8285" operator="lessThan">
      <formula>W117</formula>
    </cfRule>
    <cfRule type="cellIs" dxfId="2565" priority="8286" operator="lessThan">
      <formula>0</formula>
    </cfRule>
  </conditionalFormatting>
  <conditionalFormatting sqref="W123">
    <cfRule type="cellIs" dxfId="2564" priority="8276" operator="lessThan">
      <formula>W122</formula>
    </cfRule>
    <cfRule type="cellIs" dxfId="2563" priority="8281" operator="equal">
      <formula>0</formula>
    </cfRule>
  </conditionalFormatting>
  <conditionalFormatting sqref="W122">
    <cfRule type="cellIs" dxfId="2562" priority="8277" operator="lessThan">
      <formula>W123</formula>
    </cfRule>
    <cfRule type="cellIs" dxfId="2561" priority="8278" operator="equal">
      <formula>0</formula>
    </cfRule>
    <cfRule type="cellIs" dxfId="2560" priority="8279" operator="lessThan">
      <formula>W123</formula>
    </cfRule>
    <cfRule type="cellIs" dxfId="2559" priority="8280" operator="lessThan">
      <formula>0</formula>
    </cfRule>
  </conditionalFormatting>
  <conditionalFormatting sqref="W129">
    <cfRule type="cellIs" dxfId="2558" priority="8270" operator="lessThan">
      <formula>W128</formula>
    </cfRule>
    <cfRule type="cellIs" dxfId="2557" priority="8275" operator="equal">
      <formula>0</formula>
    </cfRule>
  </conditionalFormatting>
  <conditionalFormatting sqref="W128">
    <cfRule type="cellIs" dxfId="2556" priority="8271" operator="lessThan">
      <formula>W129</formula>
    </cfRule>
    <cfRule type="cellIs" dxfId="2555" priority="8272" operator="equal">
      <formula>0</formula>
    </cfRule>
    <cfRule type="cellIs" dxfId="2554" priority="8273" operator="lessThan">
      <formula>W129</formula>
    </cfRule>
    <cfRule type="cellIs" dxfId="2553" priority="8274" operator="lessThan">
      <formula>0</formula>
    </cfRule>
  </conditionalFormatting>
  <conditionalFormatting sqref="W135">
    <cfRule type="cellIs" dxfId="2552" priority="8264" operator="lessThan">
      <formula>W134</formula>
    </cfRule>
    <cfRule type="cellIs" dxfId="2551" priority="8269" operator="equal">
      <formula>0</formula>
    </cfRule>
  </conditionalFormatting>
  <conditionalFormatting sqref="W134">
    <cfRule type="cellIs" dxfId="2550" priority="8265" operator="lessThan">
      <formula>W135</formula>
    </cfRule>
    <cfRule type="cellIs" dxfId="2549" priority="8266" operator="equal">
      <formula>0</formula>
    </cfRule>
    <cfRule type="cellIs" dxfId="2548" priority="8267" operator="lessThan">
      <formula>W135</formula>
    </cfRule>
    <cfRule type="cellIs" dxfId="2547" priority="8268" operator="lessThan">
      <formula>0</formula>
    </cfRule>
  </conditionalFormatting>
  <conditionalFormatting sqref="W141">
    <cfRule type="cellIs" dxfId="2546" priority="8258" operator="lessThan">
      <formula>W140</formula>
    </cfRule>
    <cfRule type="cellIs" dxfId="2545" priority="8263" operator="equal">
      <formula>0</formula>
    </cfRule>
  </conditionalFormatting>
  <conditionalFormatting sqref="W140">
    <cfRule type="cellIs" dxfId="2544" priority="8259" operator="lessThan">
      <formula>W141</formula>
    </cfRule>
    <cfRule type="cellIs" dxfId="2543" priority="8260" operator="equal">
      <formula>0</formula>
    </cfRule>
    <cfRule type="cellIs" dxfId="2542" priority="8261" operator="lessThan">
      <formula>W141</formula>
    </cfRule>
    <cfRule type="cellIs" dxfId="2541" priority="8262" operator="lessThan">
      <formula>0</formula>
    </cfRule>
  </conditionalFormatting>
  <conditionalFormatting sqref="W147">
    <cfRule type="cellIs" dxfId="2540" priority="8252" operator="lessThan">
      <formula>W146</formula>
    </cfRule>
    <cfRule type="cellIs" dxfId="2539" priority="8257" operator="equal">
      <formula>0</formula>
    </cfRule>
  </conditionalFormatting>
  <conditionalFormatting sqref="W146">
    <cfRule type="cellIs" dxfId="2538" priority="8253" operator="lessThan">
      <formula>W147</formula>
    </cfRule>
    <cfRule type="cellIs" dxfId="2537" priority="8254" operator="equal">
      <formula>0</formula>
    </cfRule>
    <cfRule type="cellIs" dxfId="2536" priority="8255" operator="lessThan">
      <formula>W147</formula>
    </cfRule>
    <cfRule type="cellIs" dxfId="2535" priority="8256" operator="lessThan">
      <formula>0</formula>
    </cfRule>
  </conditionalFormatting>
  <conditionalFormatting sqref="W73">
    <cfRule type="cellIs" dxfId="2534" priority="8181" operator="equal">
      <formula>0</formula>
    </cfRule>
    <cfRule type="cellIs" dxfId="2533" priority="8182" operator="greaterThan">
      <formula>W72</formula>
    </cfRule>
  </conditionalFormatting>
  <conditionalFormatting sqref="W79">
    <cfRule type="cellIs" dxfId="2532" priority="8179" operator="equal">
      <formula>0</formula>
    </cfRule>
    <cfRule type="cellIs" dxfId="2531" priority="8180" operator="greaterThan">
      <formula>W78</formula>
    </cfRule>
  </conditionalFormatting>
  <conditionalFormatting sqref="D30">
    <cfRule type="expression" dxfId="2530" priority="6479">
      <formula>E30&gt;B30</formula>
    </cfRule>
  </conditionalFormatting>
  <conditionalFormatting sqref="C30">
    <cfRule type="expression" dxfId="2529" priority="6478">
      <formula>B30&gt;E30</formula>
    </cfRule>
  </conditionalFormatting>
  <conditionalFormatting sqref="D31">
    <cfRule type="expression" dxfId="2528" priority="6272">
      <formula>E31&gt;B31</formula>
    </cfRule>
  </conditionalFormatting>
  <conditionalFormatting sqref="C31">
    <cfRule type="expression" dxfId="2527" priority="6271">
      <formula>B31&gt;E31</formula>
    </cfRule>
  </conditionalFormatting>
  <conditionalFormatting sqref="D32 D34 D36 D38 D50 D55 D57 D59 D41 D43 D45">
    <cfRule type="expression" dxfId="2526" priority="6270">
      <formula>E32&gt;B32</formula>
    </cfRule>
  </conditionalFormatting>
  <conditionalFormatting sqref="C32 C34 C36 C38 C50 C55 C57 C59 C41 C43 C45">
    <cfRule type="expression" dxfId="2525" priority="6269">
      <formula>B32&gt;E32</formula>
    </cfRule>
  </conditionalFormatting>
  <conditionalFormatting sqref="D33 D35 D37 D51 D56 D58 D39:D40 D42 D44 D46">
    <cfRule type="expression" dxfId="2524" priority="6268">
      <formula>E33&gt;B33</formula>
    </cfRule>
  </conditionalFormatting>
  <conditionalFormatting sqref="C33 C35 C37 C51 C56 C58 C39:C40 C42 C44 C46">
    <cfRule type="expression" dxfId="2523" priority="6267">
      <formula>B33&gt;E33</formula>
    </cfRule>
  </conditionalFormatting>
  <conditionalFormatting sqref="Y30:Y34 Y37:Y39">
    <cfRule type="cellIs" dxfId="2522" priority="6224" operator="equal">
      <formula>0</formula>
    </cfRule>
  </conditionalFormatting>
  <conditionalFormatting sqref="X60">
    <cfRule type="cellIs" dxfId="2521" priority="6112" operator="equal">
      <formula>0</formula>
    </cfRule>
    <cfRule type="expression" dxfId="2520" priority="6113">
      <formula>F60*100&lt;X60</formula>
    </cfRule>
    <cfRule type="expression" dxfId="2519" priority="6114">
      <formula>X60&lt;F60*100</formula>
    </cfRule>
  </conditionalFormatting>
  <conditionalFormatting sqref="X61">
    <cfRule type="cellIs" dxfId="2518" priority="6109" operator="equal">
      <formula>0</formula>
    </cfRule>
    <cfRule type="expression" dxfId="2517" priority="6110">
      <formula>F61*100&lt;X61</formula>
    </cfRule>
    <cfRule type="expression" dxfId="2516" priority="6111">
      <formula>X61&lt;F61*100</formula>
    </cfRule>
  </conditionalFormatting>
  <conditionalFormatting sqref="W60:W61">
    <cfRule type="cellIs" dxfId="2515" priority="6108" operator="equal">
      <formula>0</formula>
    </cfRule>
  </conditionalFormatting>
  <conditionalFormatting sqref="W60">
    <cfRule type="containsText" dxfId="2514" priority="6106" operator="containsText" text="STOP">
      <formula>NOT(ISERROR(SEARCH("STOP",W60)))</formula>
    </cfRule>
    <cfRule type="containsText" dxfId="2513" priority="6107" operator="containsText" text="TRAILING">
      <formula>NOT(ISERROR(SEARCH("TRAILING",W60)))</formula>
    </cfRule>
  </conditionalFormatting>
  <conditionalFormatting sqref="W61">
    <cfRule type="containsText" dxfId="2512" priority="6104" operator="containsText" text="STOP">
      <formula>NOT(ISERROR(SEARCH("STOP",W61)))</formula>
    </cfRule>
    <cfRule type="containsText" dxfId="2511" priority="6105" operator="containsText" text="TRAILING">
      <formula>NOT(ISERROR(SEARCH("TRAILING",W61)))</formula>
    </cfRule>
  </conditionalFormatting>
  <conditionalFormatting sqref="D53">
    <cfRule type="expression" dxfId="2510" priority="6094">
      <formula>E53&gt;B53</formula>
    </cfRule>
  </conditionalFormatting>
  <conditionalFormatting sqref="C53">
    <cfRule type="expression" dxfId="2509" priority="6093">
      <formula>B53&gt;E53</formula>
    </cfRule>
  </conditionalFormatting>
  <conditionalFormatting sqref="D52">
    <cfRule type="expression" dxfId="2508" priority="6092">
      <formula>E52&gt;B52</formula>
    </cfRule>
  </conditionalFormatting>
  <conditionalFormatting sqref="C52">
    <cfRule type="expression" dxfId="2507" priority="6091">
      <formula>B52&gt;E52</formula>
    </cfRule>
  </conditionalFormatting>
  <conditionalFormatting sqref="D48">
    <cfRule type="expression" dxfId="2506" priority="6065">
      <formula>E48&gt;B48</formula>
    </cfRule>
  </conditionalFormatting>
  <conditionalFormatting sqref="C48">
    <cfRule type="expression" dxfId="2505" priority="6064">
      <formula>B48&gt;E48</formula>
    </cfRule>
  </conditionalFormatting>
  <conditionalFormatting sqref="D47 D49">
    <cfRule type="expression" dxfId="2504" priority="6063">
      <formula>E47&gt;B47</formula>
    </cfRule>
  </conditionalFormatting>
  <conditionalFormatting sqref="C47 C49">
    <cfRule type="expression" dxfId="2503" priority="6062">
      <formula>B47&gt;E47</formula>
    </cfRule>
  </conditionalFormatting>
  <conditionalFormatting sqref="B55">
    <cfRule type="cellIs" dxfId="2502" priority="6043" operator="greaterThan">
      <formula>E55</formula>
    </cfRule>
  </conditionalFormatting>
  <conditionalFormatting sqref="B56">
    <cfRule type="cellIs" dxfId="2501" priority="6042" operator="greaterThan">
      <formula>E56</formula>
    </cfRule>
  </conditionalFormatting>
  <conditionalFormatting sqref="B57 B59 B41 B43 B45 B47 B49">
    <cfRule type="cellIs" dxfId="2500" priority="6041" operator="greaterThan">
      <formula>E41</formula>
    </cfRule>
  </conditionalFormatting>
  <conditionalFormatting sqref="B58 B40 B42 B44 B46 B48">
    <cfRule type="cellIs" dxfId="2499" priority="6040" operator="greaterThan">
      <formula>E40</formula>
    </cfRule>
  </conditionalFormatting>
  <conditionalFormatting sqref="E55">
    <cfRule type="cellIs" dxfId="2498" priority="6039" operator="greaterThan">
      <formula>B55</formula>
    </cfRule>
  </conditionalFormatting>
  <conditionalFormatting sqref="E56">
    <cfRule type="cellIs" dxfId="2497" priority="6038" operator="greaterThan">
      <formula>B56</formula>
    </cfRule>
  </conditionalFormatting>
  <conditionalFormatting sqref="E57 E59 E41 E45 E47 E49">
    <cfRule type="cellIs" dxfId="2496" priority="6037" operator="greaterThan">
      <formula>B41</formula>
    </cfRule>
  </conditionalFormatting>
  <conditionalFormatting sqref="E58 E40 E42 E44 E46 E48">
    <cfRule type="cellIs" dxfId="2495" priority="6036" operator="greaterThan">
      <formula>B40</formula>
    </cfRule>
  </conditionalFormatting>
  <conditionalFormatting sqref="E43">
    <cfRule type="cellIs" dxfId="2494" priority="6035" operator="greaterThan">
      <formula>H53</formula>
    </cfRule>
  </conditionalFormatting>
  <conditionalFormatting sqref="B30">
    <cfRule type="cellIs" dxfId="2493" priority="6034" operator="greaterThan">
      <formula>E30</formula>
    </cfRule>
  </conditionalFormatting>
  <conditionalFormatting sqref="B31">
    <cfRule type="cellIs" dxfId="2492" priority="6033" operator="greaterThan">
      <formula>E31</formula>
    </cfRule>
  </conditionalFormatting>
  <conditionalFormatting sqref="B32 B34 B36 B38 B50 B52">
    <cfRule type="cellIs" dxfId="2491" priority="6032" operator="greaterThan">
      <formula>E32</formula>
    </cfRule>
  </conditionalFormatting>
  <conditionalFormatting sqref="B33 B35 B37 B39 B51 B53">
    <cfRule type="cellIs" dxfId="2490" priority="6031" operator="greaterThan">
      <formula>E33</formula>
    </cfRule>
  </conditionalFormatting>
  <conditionalFormatting sqref="E30">
    <cfRule type="cellIs" dxfId="2489" priority="6030" operator="greaterThan">
      <formula>B30</formula>
    </cfRule>
  </conditionalFormatting>
  <conditionalFormatting sqref="E31">
    <cfRule type="cellIs" dxfId="2488" priority="6029" operator="greaterThan">
      <formula>B31</formula>
    </cfRule>
  </conditionalFormatting>
  <conditionalFormatting sqref="E32 E34 E36 E50 E52">
    <cfRule type="cellIs" dxfId="2487" priority="6028" operator="greaterThan">
      <formula>B32</formula>
    </cfRule>
  </conditionalFormatting>
  <conditionalFormatting sqref="E33 E35 E37 E39 E51 E53">
    <cfRule type="cellIs" dxfId="2486" priority="6027" operator="greaterThan">
      <formula>B33</formula>
    </cfRule>
  </conditionalFormatting>
  <conditionalFormatting sqref="E38">
    <cfRule type="cellIs" dxfId="2485" priority="6026" operator="greaterThan">
      <formula>H38</formula>
    </cfRule>
  </conditionalFormatting>
  <conditionalFormatting sqref="Y35:Z35">
    <cfRule type="cellIs" dxfId="2484" priority="6015" operator="equal">
      <formula>0</formula>
    </cfRule>
  </conditionalFormatting>
  <conditionalFormatting sqref="Y36:Z36">
    <cfRule type="cellIs" dxfId="2483" priority="6009" operator="equal">
      <formula>0</formula>
    </cfRule>
  </conditionalFormatting>
  <conditionalFormatting sqref="X26 X170:X199 X62">
    <cfRule type="expression" dxfId="2482" priority="5695">
      <formula>X26*100&lt;C26</formula>
    </cfRule>
    <cfRule type="cellIs" dxfId="2481" priority="5696" operator="equal">
      <formula>0</formula>
    </cfRule>
  </conditionalFormatting>
  <conditionalFormatting sqref="X27">
    <cfRule type="expression" dxfId="2480" priority="5693">
      <formula>X27*100&lt;C27</formula>
    </cfRule>
    <cfRule type="cellIs" dxfId="2479" priority="5694" operator="equal">
      <formula>0</formula>
    </cfRule>
  </conditionalFormatting>
  <conditionalFormatting sqref="X28">
    <cfRule type="expression" dxfId="2478" priority="5691">
      <formula>X28*100&lt;C28</formula>
    </cfRule>
    <cfRule type="cellIs" dxfId="2477" priority="5692" operator="equal">
      <formula>0</formula>
    </cfRule>
  </conditionalFormatting>
  <conditionalFormatting sqref="X29">
    <cfRule type="expression" dxfId="2476" priority="5689">
      <formula>X29*100&lt;C29</formula>
    </cfRule>
    <cfRule type="cellIs" dxfId="2475" priority="5690" operator="equal">
      <formula>0</formula>
    </cfRule>
  </conditionalFormatting>
  <conditionalFormatting sqref="X63">
    <cfRule type="expression" dxfId="2474" priority="5589">
      <formula>X63*100&lt;C63</formula>
    </cfRule>
    <cfRule type="cellIs" dxfId="2473" priority="5590" operator="equal">
      <formula>0</formula>
    </cfRule>
  </conditionalFormatting>
  <conditionalFormatting sqref="X64">
    <cfRule type="expression" dxfId="2472" priority="5587">
      <formula>X64*100&lt;C64</formula>
    </cfRule>
    <cfRule type="cellIs" dxfId="2471" priority="5588" operator="equal">
      <formula>0</formula>
    </cfRule>
  </conditionalFormatting>
  <conditionalFormatting sqref="X65">
    <cfRule type="expression" dxfId="2470" priority="5585">
      <formula>X65*100&lt;C65</formula>
    </cfRule>
    <cfRule type="cellIs" dxfId="2469" priority="5586" operator="equal">
      <formula>0</formula>
    </cfRule>
  </conditionalFormatting>
  <conditionalFormatting sqref="X66">
    <cfRule type="expression" dxfId="2468" priority="5583">
      <formula>X66*100&lt;C66</formula>
    </cfRule>
    <cfRule type="cellIs" dxfId="2467" priority="5584" operator="equal">
      <formula>0</formula>
    </cfRule>
  </conditionalFormatting>
  <conditionalFormatting sqref="X67">
    <cfRule type="expression" dxfId="2466" priority="5581">
      <formula>X67*100&lt;C67</formula>
    </cfRule>
    <cfRule type="cellIs" dxfId="2465" priority="5582" operator="equal">
      <formula>0</formula>
    </cfRule>
  </conditionalFormatting>
  <conditionalFormatting sqref="X68">
    <cfRule type="expression" dxfId="2464" priority="5579">
      <formula>X68*100&lt;C68</formula>
    </cfRule>
    <cfRule type="cellIs" dxfId="2463" priority="5580" operator="equal">
      <formula>0</formula>
    </cfRule>
  </conditionalFormatting>
  <conditionalFormatting sqref="X69">
    <cfRule type="expression" dxfId="2462" priority="5577">
      <formula>X69*100&lt;C69</formula>
    </cfRule>
    <cfRule type="cellIs" dxfId="2461" priority="5578" operator="equal">
      <formula>0</formula>
    </cfRule>
  </conditionalFormatting>
  <conditionalFormatting sqref="X70">
    <cfRule type="expression" dxfId="2460" priority="5575">
      <formula>X70*100&lt;C70</formula>
    </cfRule>
    <cfRule type="cellIs" dxfId="2459" priority="5576" operator="equal">
      <formula>0</formula>
    </cfRule>
  </conditionalFormatting>
  <conditionalFormatting sqref="X71">
    <cfRule type="expression" dxfId="2458" priority="5573">
      <formula>X71*100&lt;C71</formula>
    </cfRule>
    <cfRule type="cellIs" dxfId="2457" priority="5574" operator="equal">
      <formula>0</formula>
    </cfRule>
  </conditionalFormatting>
  <conditionalFormatting sqref="X72">
    <cfRule type="expression" dxfId="2456" priority="5571">
      <formula>X72*100&lt;C72</formula>
    </cfRule>
    <cfRule type="cellIs" dxfId="2455" priority="5572" operator="equal">
      <formula>0</formula>
    </cfRule>
  </conditionalFormatting>
  <conditionalFormatting sqref="X73">
    <cfRule type="expression" dxfId="2454" priority="5569">
      <formula>X73*100&lt;C73</formula>
    </cfRule>
    <cfRule type="cellIs" dxfId="2453" priority="5570" operator="equal">
      <formula>0</formula>
    </cfRule>
  </conditionalFormatting>
  <conditionalFormatting sqref="X74">
    <cfRule type="expression" dxfId="2452" priority="5567">
      <formula>X74*100&lt;C74</formula>
    </cfRule>
    <cfRule type="cellIs" dxfId="2451" priority="5568" operator="equal">
      <formula>0</formula>
    </cfRule>
  </conditionalFormatting>
  <conditionalFormatting sqref="X75">
    <cfRule type="expression" dxfId="2450" priority="5565">
      <formula>X75*100&lt;C75</formula>
    </cfRule>
    <cfRule type="cellIs" dxfId="2449" priority="5566" operator="equal">
      <formula>0</formula>
    </cfRule>
  </conditionalFormatting>
  <conditionalFormatting sqref="X76">
    <cfRule type="expression" dxfId="2448" priority="5563">
      <formula>X76*100&lt;C76</formula>
    </cfRule>
    <cfRule type="cellIs" dxfId="2447" priority="5564" operator="equal">
      <formula>0</formula>
    </cfRule>
  </conditionalFormatting>
  <conditionalFormatting sqref="X77">
    <cfRule type="expression" dxfId="2446" priority="5561">
      <formula>X77*100&lt;C77</formula>
    </cfRule>
    <cfRule type="cellIs" dxfId="2445" priority="5562" operator="equal">
      <formula>0</formula>
    </cfRule>
  </conditionalFormatting>
  <conditionalFormatting sqref="X78">
    <cfRule type="expression" dxfId="2444" priority="5559">
      <formula>X78*100&lt;C78</formula>
    </cfRule>
    <cfRule type="cellIs" dxfId="2443" priority="5560" operator="equal">
      <formula>0</formula>
    </cfRule>
  </conditionalFormatting>
  <conditionalFormatting sqref="X79">
    <cfRule type="expression" dxfId="2442" priority="5557">
      <formula>X79*100&lt;C79</formula>
    </cfRule>
    <cfRule type="cellIs" dxfId="2441" priority="5558" operator="equal">
      <formula>0</formula>
    </cfRule>
  </conditionalFormatting>
  <conditionalFormatting sqref="X80">
    <cfRule type="expression" dxfId="2440" priority="5555">
      <formula>X80*100&lt;C80</formula>
    </cfRule>
    <cfRule type="cellIs" dxfId="2439" priority="5556" operator="equal">
      <formula>0</formula>
    </cfRule>
  </conditionalFormatting>
  <conditionalFormatting sqref="X81">
    <cfRule type="expression" dxfId="2438" priority="5553">
      <formula>X81*100&lt;C81</formula>
    </cfRule>
    <cfRule type="cellIs" dxfId="2437" priority="5554" operator="equal">
      <formula>0</formula>
    </cfRule>
  </conditionalFormatting>
  <conditionalFormatting sqref="X82">
    <cfRule type="expression" dxfId="2436" priority="5551">
      <formula>X82*100&lt;C82</formula>
    </cfRule>
    <cfRule type="cellIs" dxfId="2435" priority="5552" operator="equal">
      <formula>0</formula>
    </cfRule>
  </conditionalFormatting>
  <conditionalFormatting sqref="X83">
    <cfRule type="expression" dxfId="2434" priority="5549">
      <formula>X83*100&lt;C83</formula>
    </cfRule>
    <cfRule type="cellIs" dxfId="2433" priority="5550" operator="equal">
      <formula>0</formula>
    </cfRule>
  </conditionalFormatting>
  <conditionalFormatting sqref="X84">
    <cfRule type="expression" dxfId="2432" priority="5547">
      <formula>X84*100&lt;C84</formula>
    </cfRule>
    <cfRule type="cellIs" dxfId="2431" priority="5548" operator="equal">
      <formula>0</formula>
    </cfRule>
  </conditionalFormatting>
  <conditionalFormatting sqref="X85">
    <cfRule type="expression" dxfId="2430" priority="5545">
      <formula>X85*100&lt;C85</formula>
    </cfRule>
    <cfRule type="cellIs" dxfId="2429" priority="5546" operator="equal">
      <formula>0</formula>
    </cfRule>
  </conditionalFormatting>
  <conditionalFormatting sqref="X86">
    <cfRule type="expression" dxfId="2428" priority="5543">
      <formula>X86*100&lt;C86</formula>
    </cfRule>
    <cfRule type="cellIs" dxfId="2427" priority="5544" operator="equal">
      <formula>0</formula>
    </cfRule>
  </conditionalFormatting>
  <conditionalFormatting sqref="X87">
    <cfRule type="expression" dxfId="2426" priority="5541">
      <formula>X87*100&lt;C87</formula>
    </cfRule>
    <cfRule type="cellIs" dxfId="2425" priority="5542" operator="equal">
      <formula>0</formula>
    </cfRule>
  </conditionalFormatting>
  <conditionalFormatting sqref="X88">
    <cfRule type="expression" dxfId="2424" priority="5539">
      <formula>X88*100&lt;C88</formula>
    </cfRule>
    <cfRule type="cellIs" dxfId="2423" priority="5540" operator="equal">
      <formula>0</formula>
    </cfRule>
  </conditionalFormatting>
  <conditionalFormatting sqref="X89">
    <cfRule type="expression" dxfId="2422" priority="5537">
      <formula>X89*100&lt;C89</formula>
    </cfRule>
    <cfRule type="cellIs" dxfId="2421" priority="5538" operator="equal">
      <formula>0</formula>
    </cfRule>
  </conditionalFormatting>
  <conditionalFormatting sqref="X90">
    <cfRule type="expression" dxfId="2420" priority="5535">
      <formula>X90*100&lt;C90</formula>
    </cfRule>
    <cfRule type="cellIs" dxfId="2419" priority="5536" operator="equal">
      <formula>0</formula>
    </cfRule>
  </conditionalFormatting>
  <conditionalFormatting sqref="X91">
    <cfRule type="expression" dxfId="2418" priority="5533">
      <formula>X91*100&lt;C91</formula>
    </cfRule>
    <cfRule type="cellIs" dxfId="2417" priority="5534" operator="equal">
      <formula>0</formula>
    </cfRule>
  </conditionalFormatting>
  <conditionalFormatting sqref="X92">
    <cfRule type="expression" dxfId="2416" priority="5531">
      <formula>X92*100&lt;C92</formula>
    </cfRule>
    <cfRule type="cellIs" dxfId="2415" priority="5532" operator="equal">
      <formula>0</formula>
    </cfRule>
  </conditionalFormatting>
  <conditionalFormatting sqref="X93">
    <cfRule type="expression" dxfId="2414" priority="5529">
      <formula>X93*100&lt;C93</formula>
    </cfRule>
    <cfRule type="cellIs" dxfId="2413" priority="5530" operator="equal">
      <formula>0</formula>
    </cfRule>
  </conditionalFormatting>
  <conditionalFormatting sqref="X94">
    <cfRule type="expression" dxfId="2412" priority="5527">
      <formula>X94*100&lt;C94</formula>
    </cfRule>
    <cfRule type="cellIs" dxfId="2411" priority="5528" operator="equal">
      <formula>0</formula>
    </cfRule>
  </conditionalFormatting>
  <conditionalFormatting sqref="X95">
    <cfRule type="expression" dxfId="2410" priority="5525">
      <formula>X95*100&lt;C95</formula>
    </cfRule>
    <cfRule type="cellIs" dxfId="2409" priority="5526" operator="equal">
      <formula>0</formula>
    </cfRule>
  </conditionalFormatting>
  <conditionalFormatting sqref="X96">
    <cfRule type="expression" dxfId="2408" priority="5523">
      <formula>X96*100&lt;C96</formula>
    </cfRule>
    <cfRule type="cellIs" dxfId="2407" priority="5524" operator="equal">
      <formula>0</formula>
    </cfRule>
  </conditionalFormatting>
  <conditionalFormatting sqref="X97">
    <cfRule type="expression" dxfId="2406" priority="5521">
      <formula>X97*100&lt;C97</formula>
    </cfRule>
    <cfRule type="cellIs" dxfId="2405" priority="5522" operator="equal">
      <formula>0</formula>
    </cfRule>
  </conditionalFormatting>
  <conditionalFormatting sqref="X98">
    <cfRule type="expression" dxfId="2404" priority="5519">
      <formula>X98*100&lt;C98</formula>
    </cfRule>
    <cfRule type="cellIs" dxfId="2403" priority="5520" operator="equal">
      <formula>0</formula>
    </cfRule>
  </conditionalFormatting>
  <conditionalFormatting sqref="X99">
    <cfRule type="expression" dxfId="2402" priority="5517">
      <formula>X99*100&lt;C99</formula>
    </cfRule>
    <cfRule type="cellIs" dxfId="2401" priority="5518" operator="equal">
      <formula>0</formula>
    </cfRule>
  </conditionalFormatting>
  <conditionalFormatting sqref="X100">
    <cfRule type="expression" dxfId="2400" priority="5515">
      <formula>X100*100&lt;C100</formula>
    </cfRule>
    <cfRule type="cellIs" dxfId="2399" priority="5516" operator="equal">
      <formula>0</formula>
    </cfRule>
  </conditionalFormatting>
  <conditionalFormatting sqref="X101">
    <cfRule type="expression" dxfId="2398" priority="5513">
      <formula>X101*100&lt;C101</formula>
    </cfRule>
    <cfRule type="cellIs" dxfId="2397" priority="5514" operator="equal">
      <formula>0</formula>
    </cfRule>
  </conditionalFormatting>
  <conditionalFormatting sqref="X102">
    <cfRule type="expression" dxfId="2396" priority="5511">
      <formula>X102*100&lt;C102</formula>
    </cfRule>
    <cfRule type="cellIs" dxfId="2395" priority="5512" operator="equal">
      <formula>0</formula>
    </cfRule>
  </conditionalFormatting>
  <conditionalFormatting sqref="X103">
    <cfRule type="expression" dxfId="2394" priority="5509">
      <formula>X103*100&lt;C103</formula>
    </cfRule>
    <cfRule type="cellIs" dxfId="2393" priority="5510" operator="equal">
      <formula>0</formula>
    </cfRule>
  </conditionalFormatting>
  <conditionalFormatting sqref="X104">
    <cfRule type="expression" dxfId="2392" priority="5507">
      <formula>X104*100&lt;C104</formula>
    </cfRule>
    <cfRule type="cellIs" dxfId="2391" priority="5508" operator="equal">
      <formula>0</formula>
    </cfRule>
  </conditionalFormatting>
  <conditionalFormatting sqref="X105">
    <cfRule type="expression" dxfId="2390" priority="5505">
      <formula>X105*100&lt;C105</formula>
    </cfRule>
    <cfRule type="cellIs" dxfId="2389" priority="5506" operator="equal">
      <formula>0</formula>
    </cfRule>
  </conditionalFormatting>
  <conditionalFormatting sqref="X106">
    <cfRule type="expression" dxfId="2388" priority="5503">
      <formula>X106*100&lt;C106</formula>
    </cfRule>
    <cfRule type="cellIs" dxfId="2387" priority="5504" operator="equal">
      <formula>0</formula>
    </cfRule>
  </conditionalFormatting>
  <conditionalFormatting sqref="X107">
    <cfRule type="expression" dxfId="2386" priority="5501">
      <formula>X107*100&lt;C107</formula>
    </cfRule>
    <cfRule type="cellIs" dxfId="2385" priority="5502" operator="equal">
      <formula>0</formula>
    </cfRule>
  </conditionalFormatting>
  <conditionalFormatting sqref="X108">
    <cfRule type="expression" dxfId="2384" priority="5499">
      <formula>X108*100&lt;C108</formula>
    </cfRule>
    <cfRule type="cellIs" dxfId="2383" priority="5500" operator="equal">
      <formula>0</formula>
    </cfRule>
  </conditionalFormatting>
  <conditionalFormatting sqref="X109">
    <cfRule type="expression" dxfId="2382" priority="5497">
      <formula>X109*100&lt;C109</formula>
    </cfRule>
    <cfRule type="cellIs" dxfId="2381" priority="5498" operator="equal">
      <formula>0</formula>
    </cfRule>
  </conditionalFormatting>
  <conditionalFormatting sqref="X110">
    <cfRule type="expression" dxfId="2380" priority="5495">
      <formula>X110*100&lt;C110</formula>
    </cfRule>
    <cfRule type="cellIs" dxfId="2379" priority="5496" operator="equal">
      <formula>0</formula>
    </cfRule>
  </conditionalFormatting>
  <conditionalFormatting sqref="X111">
    <cfRule type="expression" dxfId="2378" priority="5493">
      <formula>X111*100&lt;C111</formula>
    </cfRule>
    <cfRule type="cellIs" dxfId="2377" priority="5494" operator="equal">
      <formula>0</formula>
    </cfRule>
  </conditionalFormatting>
  <conditionalFormatting sqref="X112">
    <cfRule type="expression" dxfId="2376" priority="5491">
      <formula>X112*100&lt;C112</formula>
    </cfRule>
    <cfRule type="cellIs" dxfId="2375" priority="5492" operator="equal">
      <formula>0</formula>
    </cfRule>
  </conditionalFormatting>
  <conditionalFormatting sqref="X113">
    <cfRule type="expression" dxfId="2374" priority="5489">
      <formula>X113*100&lt;C113</formula>
    </cfRule>
    <cfRule type="cellIs" dxfId="2373" priority="5490" operator="equal">
      <formula>0</formula>
    </cfRule>
  </conditionalFormatting>
  <conditionalFormatting sqref="X114">
    <cfRule type="expression" dxfId="2372" priority="5487">
      <formula>X114*100&lt;C114</formula>
    </cfRule>
    <cfRule type="cellIs" dxfId="2371" priority="5488" operator="equal">
      <formula>0</formula>
    </cfRule>
  </conditionalFormatting>
  <conditionalFormatting sqref="X115">
    <cfRule type="expression" dxfId="2370" priority="5485">
      <formula>X115*100&lt;C115</formula>
    </cfRule>
    <cfRule type="cellIs" dxfId="2369" priority="5486" operator="equal">
      <formula>0</formula>
    </cfRule>
  </conditionalFormatting>
  <conditionalFormatting sqref="X116">
    <cfRule type="expression" dxfId="2368" priority="5483">
      <formula>X116*100&lt;C116</formula>
    </cfRule>
    <cfRule type="cellIs" dxfId="2367" priority="5484" operator="equal">
      <formula>0</formula>
    </cfRule>
  </conditionalFormatting>
  <conditionalFormatting sqref="X117">
    <cfRule type="expression" dxfId="2366" priority="5481">
      <formula>X117*100&lt;C117</formula>
    </cfRule>
    <cfRule type="cellIs" dxfId="2365" priority="5482" operator="equal">
      <formula>0</formula>
    </cfRule>
  </conditionalFormatting>
  <conditionalFormatting sqref="X118">
    <cfRule type="expression" dxfId="2364" priority="5479">
      <formula>X118*100&lt;C118</formula>
    </cfRule>
    <cfRule type="cellIs" dxfId="2363" priority="5480" operator="equal">
      <formula>0</formula>
    </cfRule>
  </conditionalFormatting>
  <conditionalFormatting sqref="X119">
    <cfRule type="expression" dxfId="2362" priority="5477">
      <formula>X119*100&lt;C119</formula>
    </cfRule>
    <cfRule type="cellIs" dxfId="2361" priority="5478" operator="equal">
      <formula>0</formula>
    </cfRule>
  </conditionalFormatting>
  <conditionalFormatting sqref="X120">
    <cfRule type="expression" dxfId="2360" priority="5475">
      <formula>X120*100&lt;C120</formula>
    </cfRule>
    <cfRule type="cellIs" dxfId="2359" priority="5476" operator="equal">
      <formula>0</formula>
    </cfRule>
  </conditionalFormatting>
  <conditionalFormatting sqref="X121">
    <cfRule type="expression" dxfId="2358" priority="5473">
      <formula>X121*100&lt;C121</formula>
    </cfRule>
    <cfRule type="cellIs" dxfId="2357" priority="5474" operator="equal">
      <formula>0</formula>
    </cfRule>
  </conditionalFormatting>
  <conditionalFormatting sqref="X122">
    <cfRule type="expression" dxfId="2356" priority="5471">
      <formula>X122*100&lt;C122</formula>
    </cfRule>
    <cfRule type="cellIs" dxfId="2355" priority="5472" operator="equal">
      <formula>0</formula>
    </cfRule>
  </conditionalFormatting>
  <conditionalFormatting sqref="X123">
    <cfRule type="expression" dxfId="2354" priority="5469">
      <formula>X123*100&lt;C123</formula>
    </cfRule>
    <cfRule type="cellIs" dxfId="2353" priority="5470" operator="equal">
      <formula>0</formula>
    </cfRule>
  </conditionalFormatting>
  <conditionalFormatting sqref="X124">
    <cfRule type="expression" dxfId="2352" priority="5467">
      <formula>X124*100&lt;C124</formula>
    </cfRule>
    <cfRule type="cellIs" dxfId="2351" priority="5468" operator="equal">
      <formula>0</formula>
    </cfRule>
  </conditionalFormatting>
  <conditionalFormatting sqref="X125">
    <cfRule type="expression" dxfId="2350" priority="5465">
      <formula>X125*100&lt;C125</formula>
    </cfRule>
    <cfRule type="cellIs" dxfId="2349" priority="5466" operator="equal">
      <formula>0</formula>
    </cfRule>
  </conditionalFormatting>
  <conditionalFormatting sqref="X126">
    <cfRule type="expression" dxfId="2348" priority="5463">
      <formula>X126*100&lt;C126</formula>
    </cfRule>
    <cfRule type="cellIs" dxfId="2347" priority="5464" operator="equal">
      <formula>0</formula>
    </cfRule>
  </conditionalFormatting>
  <conditionalFormatting sqref="X127">
    <cfRule type="expression" dxfId="2346" priority="5461">
      <formula>X127*100&lt;C127</formula>
    </cfRule>
    <cfRule type="cellIs" dxfId="2345" priority="5462" operator="equal">
      <formula>0</formula>
    </cfRule>
  </conditionalFormatting>
  <conditionalFormatting sqref="X128">
    <cfRule type="expression" dxfId="2344" priority="5459">
      <formula>X128*100&lt;C128</formula>
    </cfRule>
    <cfRule type="cellIs" dxfId="2343" priority="5460" operator="equal">
      <formula>0</formula>
    </cfRule>
  </conditionalFormatting>
  <conditionalFormatting sqref="X129">
    <cfRule type="expression" dxfId="2342" priority="5457">
      <formula>X129*100&lt;C129</formula>
    </cfRule>
    <cfRule type="cellIs" dxfId="2341" priority="5458" operator="equal">
      <formula>0</formula>
    </cfRule>
  </conditionalFormatting>
  <conditionalFormatting sqref="X130">
    <cfRule type="expression" dxfId="2340" priority="5455">
      <formula>X130*100&lt;C130</formula>
    </cfRule>
    <cfRule type="cellIs" dxfId="2339" priority="5456" operator="equal">
      <formula>0</formula>
    </cfRule>
  </conditionalFormatting>
  <conditionalFormatting sqref="X131">
    <cfRule type="expression" dxfId="2338" priority="5453">
      <formula>X131*100&lt;C131</formula>
    </cfRule>
    <cfRule type="cellIs" dxfId="2337" priority="5454" operator="equal">
      <formula>0</formula>
    </cfRule>
  </conditionalFormatting>
  <conditionalFormatting sqref="X132">
    <cfRule type="expression" dxfId="2336" priority="5451">
      <formula>X132*100&lt;C132</formula>
    </cfRule>
    <cfRule type="cellIs" dxfId="2335" priority="5452" operator="equal">
      <formula>0</formula>
    </cfRule>
  </conditionalFormatting>
  <conditionalFormatting sqref="X133">
    <cfRule type="expression" dxfId="2334" priority="5449">
      <formula>X133*100&lt;C133</formula>
    </cfRule>
    <cfRule type="cellIs" dxfId="2333" priority="5450" operator="equal">
      <formula>0</formula>
    </cfRule>
  </conditionalFormatting>
  <conditionalFormatting sqref="X134">
    <cfRule type="expression" dxfId="2332" priority="5447">
      <formula>X134*100&lt;C134</formula>
    </cfRule>
    <cfRule type="cellIs" dxfId="2331" priority="5448" operator="equal">
      <formula>0</formula>
    </cfRule>
  </conditionalFormatting>
  <conditionalFormatting sqref="X135">
    <cfRule type="expression" dxfId="2330" priority="5445">
      <formula>X135*100&lt;C135</formula>
    </cfRule>
    <cfRule type="cellIs" dxfId="2329" priority="5446" operator="equal">
      <formula>0</formula>
    </cfRule>
  </conditionalFormatting>
  <conditionalFormatting sqref="X136">
    <cfRule type="expression" dxfId="2328" priority="5443">
      <formula>X136*100&lt;C136</formula>
    </cfRule>
    <cfRule type="cellIs" dxfId="2327" priority="5444" operator="equal">
      <formula>0</formula>
    </cfRule>
  </conditionalFormatting>
  <conditionalFormatting sqref="X137">
    <cfRule type="expression" dxfId="2326" priority="5441">
      <formula>X137*100&lt;C137</formula>
    </cfRule>
    <cfRule type="cellIs" dxfId="2325" priority="5442" operator="equal">
      <formula>0</formula>
    </cfRule>
  </conditionalFormatting>
  <conditionalFormatting sqref="X138">
    <cfRule type="expression" dxfId="2324" priority="5439">
      <formula>X138*100&lt;C138</formula>
    </cfRule>
    <cfRule type="cellIs" dxfId="2323" priority="5440" operator="equal">
      <formula>0</formula>
    </cfRule>
  </conditionalFormatting>
  <conditionalFormatting sqref="X139">
    <cfRule type="expression" dxfId="2322" priority="5437">
      <formula>X139*100&lt;C139</formula>
    </cfRule>
    <cfRule type="cellIs" dxfId="2321" priority="5438" operator="equal">
      <formula>0</formula>
    </cfRule>
  </conditionalFormatting>
  <conditionalFormatting sqref="X140">
    <cfRule type="expression" dxfId="2320" priority="5435">
      <formula>X140*100&lt;C140</formula>
    </cfRule>
    <cfRule type="cellIs" dxfId="2319" priority="5436" operator="equal">
      <formula>0</formula>
    </cfRule>
  </conditionalFormatting>
  <conditionalFormatting sqref="X141">
    <cfRule type="expression" dxfId="2318" priority="5433">
      <formula>X141*100&lt;C141</formula>
    </cfRule>
    <cfRule type="cellIs" dxfId="2317" priority="5434" operator="equal">
      <formula>0</formula>
    </cfRule>
  </conditionalFormatting>
  <conditionalFormatting sqref="X142">
    <cfRule type="expression" dxfId="2316" priority="5431">
      <formula>X142*100&lt;C142</formula>
    </cfRule>
    <cfRule type="cellIs" dxfId="2315" priority="5432" operator="equal">
      <formula>0</formula>
    </cfRule>
  </conditionalFormatting>
  <conditionalFormatting sqref="X143">
    <cfRule type="expression" dxfId="2314" priority="5429">
      <formula>X143*100&lt;C143</formula>
    </cfRule>
    <cfRule type="cellIs" dxfId="2313" priority="5430" operator="equal">
      <formula>0</formula>
    </cfRule>
  </conditionalFormatting>
  <conditionalFormatting sqref="X144">
    <cfRule type="expression" dxfId="2312" priority="5427">
      <formula>X144*100&lt;C144</formula>
    </cfRule>
    <cfRule type="cellIs" dxfId="2311" priority="5428" operator="equal">
      <formula>0</formula>
    </cfRule>
  </conditionalFormatting>
  <conditionalFormatting sqref="X145">
    <cfRule type="expression" dxfId="2310" priority="5425">
      <formula>X145*100&lt;C145</formula>
    </cfRule>
    <cfRule type="cellIs" dxfId="2309" priority="5426" operator="equal">
      <formula>0</formula>
    </cfRule>
  </conditionalFormatting>
  <conditionalFormatting sqref="X146">
    <cfRule type="expression" dxfId="2308" priority="5423">
      <formula>X146*100&lt;C146</formula>
    </cfRule>
    <cfRule type="cellIs" dxfId="2307" priority="5424" operator="equal">
      <formula>0</formula>
    </cfRule>
  </conditionalFormatting>
  <conditionalFormatting sqref="X147">
    <cfRule type="expression" dxfId="2306" priority="5421">
      <formula>X147*100&lt;C147</formula>
    </cfRule>
    <cfRule type="cellIs" dxfId="2305" priority="5422" operator="equal">
      <formula>0</formula>
    </cfRule>
  </conditionalFormatting>
  <conditionalFormatting sqref="X148">
    <cfRule type="expression" dxfId="2304" priority="5419">
      <formula>X148*100&lt;C148</formula>
    </cfRule>
    <cfRule type="cellIs" dxfId="2303" priority="5420" operator="equal">
      <formula>0</formula>
    </cfRule>
  </conditionalFormatting>
  <conditionalFormatting sqref="X149">
    <cfRule type="expression" dxfId="2302" priority="5417">
      <formula>X149*100&lt;C149</formula>
    </cfRule>
    <cfRule type="cellIs" dxfId="2301" priority="5418" operator="equal">
      <formula>0</formula>
    </cfRule>
  </conditionalFormatting>
  <conditionalFormatting sqref="X150">
    <cfRule type="expression" dxfId="2300" priority="5415">
      <formula>X150*100&lt;C150</formula>
    </cfRule>
    <cfRule type="cellIs" dxfId="2299" priority="5416" operator="equal">
      <formula>0</formula>
    </cfRule>
  </conditionalFormatting>
  <conditionalFormatting sqref="X151">
    <cfRule type="expression" dxfId="2298" priority="5413">
      <formula>X151*100&lt;C151</formula>
    </cfRule>
    <cfRule type="cellIs" dxfId="2297" priority="5414" operator="equal">
      <formula>0</formula>
    </cfRule>
  </conditionalFormatting>
  <conditionalFormatting sqref="X152">
    <cfRule type="expression" dxfId="2296" priority="5411">
      <formula>X152*100&lt;C152</formula>
    </cfRule>
    <cfRule type="cellIs" dxfId="2295" priority="5412" operator="equal">
      <formula>0</formula>
    </cfRule>
  </conditionalFormatting>
  <conditionalFormatting sqref="X153">
    <cfRule type="expression" dxfId="2294" priority="5409">
      <formula>X153*100&lt;C153</formula>
    </cfRule>
    <cfRule type="cellIs" dxfId="2293" priority="5410" operator="equal">
      <formula>0</formula>
    </cfRule>
  </conditionalFormatting>
  <conditionalFormatting sqref="X154">
    <cfRule type="expression" dxfId="2292" priority="5407">
      <formula>X154*100&lt;C154</formula>
    </cfRule>
    <cfRule type="cellIs" dxfId="2291" priority="5408" operator="equal">
      <formula>0</formula>
    </cfRule>
  </conditionalFormatting>
  <conditionalFormatting sqref="X155">
    <cfRule type="expression" dxfId="2290" priority="5405">
      <formula>X155*100&lt;C155</formula>
    </cfRule>
    <cfRule type="cellIs" dxfId="2289" priority="5406" operator="equal">
      <formula>0</formula>
    </cfRule>
  </conditionalFormatting>
  <conditionalFormatting sqref="X156">
    <cfRule type="expression" dxfId="2288" priority="5403">
      <formula>X156*100&lt;C156</formula>
    </cfRule>
    <cfRule type="cellIs" dxfId="2287" priority="5404" operator="equal">
      <formula>0</formula>
    </cfRule>
  </conditionalFormatting>
  <conditionalFormatting sqref="X157">
    <cfRule type="expression" dxfId="2286" priority="5401">
      <formula>X157*100&lt;C157</formula>
    </cfRule>
    <cfRule type="cellIs" dxfId="2285" priority="5402" operator="equal">
      <formula>0</formula>
    </cfRule>
  </conditionalFormatting>
  <conditionalFormatting sqref="X158">
    <cfRule type="expression" dxfId="2284" priority="5399">
      <formula>X158*100&lt;C158</formula>
    </cfRule>
    <cfRule type="cellIs" dxfId="2283" priority="5400" operator="equal">
      <formula>0</formula>
    </cfRule>
  </conditionalFormatting>
  <conditionalFormatting sqref="X159">
    <cfRule type="expression" dxfId="2282" priority="5397">
      <formula>X159*100&lt;C159</formula>
    </cfRule>
    <cfRule type="cellIs" dxfId="2281" priority="5398" operator="equal">
      <formula>0</formula>
    </cfRule>
  </conditionalFormatting>
  <conditionalFormatting sqref="X160">
    <cfRule type="expression" dxfId="2280" priority="5395">
      <formula>X160*100&lt;C160</formula>
    </cfRule>
    <cfRule type="cellIs" dxfId="2279" priority="5396" operator="equal">
      <formula>0</formula>
    </cfRule>
  </conditionalFormatting>
  <conditionalFormatting sqref="X161">
    <cfRule type="expression" dxfId="2278" priority="5393">
      <formula>X161*100&lt;C161</formula>
    </cfRule>
    <cfRule type="cellIs" dxfId="2277" priority="5394" operator="equal">
      <formula>0</formula>
    </cfRule>
  </conditionalFormatting>
  <conditionalFormatting sqref="X162">
    <cfRule type="expression" dxfId="2276" priority="5391">
      <formula>X162*100&lt;C162</formula>
    </cfRule>
    <cfRule type="cellIs" dxfId="2275" priority="5392" operator="equal">
      <formula>0</formula>
    </cfRule>
  </conditionalFormatting>
  <conditionalFormatting sqref="X163">
    <cfRule type="expression" dxfId="2274" priority="5389">
      <formula>X163*100&lt;C163</formula>
    </cfRule>
    <cfRule type="cellIs" dxfId="2273" priority="5390" operator="equal">
      <formula>0</formula>
    </cfRule>
  </conditionalFormatting>
  <conditionalFormatting sqref="X164">
    <cfRule type="expression" dxfId="2272" priority="5387">
      <formula>X164*100&lt;C164</formula>
    </cfRule>
    <cfRule type="cellIs" dxfId="2271" priority="5388" operator="equal">
      <formula>0</formula>
    </cfRule>
  </conditionalFormatting>
  <conditionalFormatting sqref="X165">
    <cfRule type="expression" dxfId="2270" priority="5385">
      <formula>X165*100&lt;C165</formula>
    </cfRule>
    <cfRule type="cellIs" dxfId="2269" priority="5386" operator="equal">
      <formula>0</formula>
    </cfRule>
  </conditionalFormatting>
  <conditionalFormatting sqref="X166">
    <cfRule type="expression" dxfId="2268" priority="5383">
      <formula>X166*100&lt;C166</formula>
    </cfRule>
    <cfRule type="cellIs" dxfId="2267" priority="5384" operator="equal">
      <formula>0</formula>
    </cfRule>
  </conditionalFormatting>
  <conditionalFormatting sqref="X167">
    <cfRule type="expression" dxfId="2266" priority="5381">
      <formula>X167*100&lt;C167</formula>
    </cfRule>
    <cfRule type="cellIs" dxfId="2265" priority="5382" operator="equal">
      <formula>0</formula>
    </cfRule>
  </conditionalFormatting>
  <conditionalFormatting sqref="X168">
    <cfRule type="expression" dxfId="2264" priority="5379">
      <formula>X168*100&lt;C168</formula>
    </cfRule>
    <cfRule type="cellIs" dxfId="2263" priority="5380" operator="equal">
      <formula>0</formula>
    </cfRule>
  </conditionalFormatting>
  <conditionalFormatting sqref="X169">
    <cfRule type="expression" dxfId="2262" priority="5377">
      <formula>X169*100&lt;C169</formula>
    </cfRule>
    <cfRule type="cellIs" dxfId="2261" priority="5378" operator="equal">
      <formula>0</formula>
    </cfRule>
  </conditionalFormatting>
  <conditionalFormatting sqref="X2">
    <cfRule type="expression" dxfId="2260" priority="5370">
      <formula>X2*100&gt;C2</formula>
    </cfRule>
    <cfRule type="cellIs" dxfId="2259" priority="5371" operator="equal">
      <formula>0</formula>
    </cfRule>
  </conditionalFormatting>
  <conditionalFormatting sqref="X3">
    <cfRule type="expression" dxfId="2258" priority="5368">
      <formula>X3*100&gt;C3</formula>
    </cfRule>
    <cfRule type="cellIs" dxfId="2257" priority="5369" operator="equal">
      <formula>0</formula>
    </cfRule>
  </conditionalFormatting>
  <conditionalFormatting sqref="X4">
    <cfRule type="expression" dxfId="2256" priority="5361">
      <formula>X4*100&gt;C4</formula>
    </cfRule>
    <cfRule type="cellIs" dxfId="2255" priority="5362" operator="equal">
      <formula>0</formula>
    </cfRule>
  </conditionalFormatting>
  <conditionalFormatting sqref="X5">
    <cfRule type="expression" dxfId="2254" priority="5359">
      <formula>X5*100&gt;C5</formula>
    </cfRule>
    <cfRule type="cellIs" dxfId="2253" priority="5360" operator="equal">
      <formula>0</formula>
    </cfRule>
  </conditionalFormatting>
  <conditionalFormatting sqref="X6">
    <cfRule type="expression" dxfId="2252" priority="5352">
      <formula>X6*100&gt;C6</formula>
    </cfRule>
    <cfRule type="cellIs" dxfId="2251" priority="5353" operator="equal">
      <formula>0</formula>
    </cfRule>
  </conditionalFormatting>
  <conditionalFormatting sqref="X7">
    <cfRule type="expression" dxfId="2250" priority="5350">
      <formula>X7*100&gt;C7</formula>
    </cfRule>
    <cfRule type="cellIs" dxfId="2249" priority="5351" operator="equal">
      <formula>0</formula>
    </cfRule>
  </conditionalFormatting>
  <conditionalFormatting sqref="X8">
    <cfRule type="expression" dxfId="2248" priority="5343">
      <formula>X8*100&gt;C8</formula>
    </cfRule>
    <cfRule type="cellIs" dxfId="2247" priority="5344" operator="equal">
      <formula>0</formula>
    </cfRule>
  </conditionalFormatting>
  <conditionalFormatting sqref="X9">
    <cfRule type="expression" dxfId="2246" priority="5341">
      <formula>X9*100&gt;C9</formula>
    </cfRule>
    <cfRule type="cellIs" dxfId="2245" priority="5342" operator="equal">
      <formula>0</formula>
    </cfRule>
  </conditionalFormatting>
  <conditionalFormatting sqref="Y63">
    <cfRule type="cellIs" dxfId="2244" priority="5111" operator="equal">
      <formula>0</formula>
    </cfRule>
  </conditionalFormatting>
  <conditionalFormatting sqref="Y61">
    <cfRule type="cellIs" dxfId="2243" priority="5108" operator="equal">
      <formula>0</formula>
    </cfRule>
  </conditionalFormatting>
  <conditionalFormatting sqref="Q1">
    <cfRule type="cellIs" dxfId="2242" priority="4995" operator="equal">
      <formula>"BONOS"</formula>
    </cfRule>
  </conditionalFormatting>
  <conditionalFormatting sqref="Z26">
    <cfRule type="cellIs" dxfId="2241" priority="4987" operator="equal">
      <formula>0</formula>
    </cfRule>
  </conditionalFormatting>
  <conditionalFormatting sqref="Z26">
    <cfRule type="cellIs" dxfId="2240" priority="4986" operator="greaterThan">
      <formula>0</formula>
    </cfRule>
  </conditionalFormatting>
  <conditionalFormatting sqref="B26">
    <cfRule type="expression" dxfId="2239" priority="4513">
      <formula>IF($V26&lt;&gt;0,AND(MID($A26,5,1)=" "))</formula>
    </cfRule>
    <cfRule type="expression" dxfId="2238" priority="4514">
      <formula>IF($V26&lt;&gt;0,AND(MID($A26,5,1)="C"))</formula>
    </cfRule>
    <cfRule type="expression" dxfId="2237" priority="4515">
      <formula>IF($V26&lt;&gt;0,AND(MID($A26,5,1)="D"))</formula>
    </cfRule>
  </conditionalFormatting>
  <conditionalFormatting sqref="E26">
    <cfRule type="expression" dxfId="2236" priority="4498">
      <formula>IF($V26&lt;&gt;0,AND(MID($A26,5,1)=" "))</formula>
    </cfRule>
    <cfRule type="expression" dxfId="2235" priority="4499">
      <formula>IF($V26&lt;&gt;0,AND(MID($A26,5,1)="C"))</formula>
    </cfRule>
    <cfRule type="expression" dxfId="2234" priority="4500">
      <formula>IF($V26&lt;&gt;0,AND(MID($A26,5,1)="D"))</formula>
    </cfRule>
  </conditionalFormatting>
  <conditionalFormatting sqref="B28">
    <cfRule type="expression" dxfId="2233" priority="4495">
      <formula>IF($V28&lt;&gt;0,AND(MID($A28,5,1)=" "))</formula>
    </cfRule>
    <cfRule type="expression" dxfId="2232" priority="4496">
      <formula>IF($V28&lt;&gt;0,AND(MID($A28,5,1)="C"))</formula>
    </cfRule>
    <cfRule type="expression" dxfId="2231" priority="4497">
      <formula>IF($V28&lt;&gt;0,AND(MID($A28,5,1)="D"))</formula>
    </cfRule>
  </conditionalFormatting>
  <conditionalFormatting sqref="E28">
    <cfRule type="expression" dxfId="2230" priority="4480">
      <formula>IF($V28&lt;&gt;0,AND(MID($A28,5,1)=" "))</formula>
    </cfRule>
    <cfRule type="expression" dxfId="2229" priority="4481">
      <formula>IF($V28&lt;&gt;0,AND(MID($A28,5,1)="C"))</formula>
    </cfRule>
    <cfRule type="expression" dxfId="2228" priority="4482">
      <formula>IF($V28&lt;&gt;0,AND(MID($A28,5,1)="D"))</formula>
    </cfRule>
  </conditionalFormatting>
  <conditionalFormatting sqref="B29">
    <cfRule type="expression" dxfId="2227" priority="4477">
      <formula>IF($V29&lt;&gt;0,AND(MID($A29,5,1)=" "))</formula>
    </cfRule>
    <cfRule type="expression" dxfId="2226" priority="4478">
      <formula>IF($V29&lt;&gt;0,AND(MID($A29,5,1)="C"))</formula>
    </cfRule>
    <cfRule type="expression" dxfId="2225" priority="4479">
      <formula>IF($V29&lt;&gt;0,AND(MID($A29,5,1)="D"))</formula>
    </cfRule>
  </conditionalFormatting>
  <conditionalFormatting sqref="E29">
    <cfRule type="expression" dxfId="2224" priority="4462">
      <formula>IF($V29&lt;&gt;0,AND(MID($A29,5,1)=" "))</formula>
    </cfRule>
    <cfRule type="expression" dxfId="2223" priority="4463">
      <formula>IF($V29&lt;&gt;0,AND(MID($A29,5,1)="C"))</formula>
    </cfRule>
    <cfRule type="expression" dxfId="2222" priority="4464">
      <formula>IF($V29&lt;&gt;0,AND(MID($A29,5,1)="D"))</formula>
    </cfRule>
  </conditionalFormatting>
  <conditionalFormatting sqref="B27">
    <cfRule type="expression" dxfId="2221" priority="4459">
      <formula>IF($V27&lt;&gt;0,AND(MID($A27,5,1)=" "))</formula>
    </cfRule>
    <cfRule type="expression" dxfId="2220" priority="4460">
      <formula>IF($V27&lt;&gt;0,AND(MID($A27,5,1)="C"))</formula>
    </cfRule>
    <cfRule type="expression" dxfId="2219" priority="4461">
      <formula>IF($V27&lt;&gt;0,AND(MID($A27,5,1)="D"))</formula>
    </cfRule>
  </conditionalFormatting>
  <conditionalFormatting sqref="E27">
    <cfRule type="expression" dxfId="2218" priority="4444">
      <formula>IF($V27&lt;&gt;0,AND(MID($A27,5,1)=" "))</formula>
    </cfRule>
    <cfRule type="expression" dxfId="2217" priority="4445">
      <formula>IF($V27&lt;&gt;0,AND(MID($A27,5,1)="C"))</formula>
    </cfRule>
    <cfRule type="expression" dxfId="2216" priority="4446">
      <formula>IF($V27&lt;&gt;0,AND(MID($A27,5,1)="D"))</formula>
    </cfRule>
  </conditionalFormatting>
  <conditionalFormatting sqref="C26">
    <cfRule type="cellIs" dxfId="2215" priority="4411" operator="lessThan">
      <formula>D26</formula>
    </cfRule>
    <cfRule type="expression" dxfId="2214" priority="4415">
      <formula>IF($V26&lt;&gt;0,AND(MID($A26,5,1)=" "))</formula>
    </cfRule>
    <cfRule type="expression" dxfId="2213" priority="4416">
      <formula>IF($V26&lt;&gt;0,AND(MID($A26,5,1)="C"))</formula>
    </cfRule>
    <cfRule type="expression" dxfId="2212" priority="4417">
      <formula>IF($V26&lt;&gt;0,AND(MID($A26,5,1)="D"))</formula>
    </cfRule>
  </conditionalFormatting>
  <conditionalFormatting sqref="D26">
    <cfRule type="cellIs" dxfId="2211" priority="4410" operator="lessThan">
      <formula>C26</formula>
    </cfRule>
    <cfRule type="expression" dxfId="2210" priority="4412">
      <formula>IF($V26&lt;&gt;0,AND(MID($A26,5,1)=" "))</formula>
    </cfRule>
    <cfRule type="expression" dxfId="2209" priority="4413">
      <formula>IF($V26&lt;&gt;0,AND(MID($A26,5,1)="C"))</formula>
    </cfRule>
    <cfRule type="expression" dxfId="2208" priority="4414">
      <formula>IF($V26&lt;&gt;0,AND(MID($A26,5,1)="D"))</formula>
    </cfRule>
  </conditionalFormatting>
  <conditionalFormatting sqref="C27">
    <cfRule type="cellIs" dxfId="2207" priority="4403" operator="lessThan">
      <formula>D27</formula>
    </cfRule>
    <cfRule type="expression" dxfId="2206" priority="4407">
      <formula>IF($V27&lt;&gt;0,AND(MID($A27,5,1)=" "))</formula>
    </cfRule>
    <cfRule type="expression" dxfId="2205" priority="4408">
      <formula>IF($V27&lt;&gt;0,AND(MID($A27,5,1)="C"))</formula>
    </cfRule>
    <cfRule type="expression" dxfId="2204" priority="4409">
      <formula>IF($V27&lt;&gt;0,AND(MID($A27,5,1)="D"))</formula>
    </cfRule>
  </conditionalFormatting>
  <conditionalFormatting sqref="D27">
    <cfRule type="cellIs" dxfId="2203" priority="4402" operator="lessThan">
      <formula>C27</formula>
    </cfRule>
    <cfRule type="expression" dxfId="2202" priority="4404">
      <formula>IF($V27&lt;&gt;0,AND(MID($A27,5,1)=" "))</formula>
    </cfRule>
    <cfRule type="expression" dxfId="2201" priority="4405">
      <formula>IF($V27&lt;&gt;0,AND(MID($A27,5,1)="C"))</formula>
    </cfRule>
    <cfRule type="expression" dxfId="2200" priority="4406">
      <formula>IF($V27&lt;&gt;0,AND(MID($A27,5,1)="D"))</formula>
    </cfRule>
  </conditionalFormatting>
  <conditionalFormatting sqref="C28">
    <cfRule type="cellIs" dxfId="2199" priority="4395" operator="lessThan">
      <formula>D28</formula>
    </cfRule>
    <cfRule type="expression" dxfId="2198" priority="4399">
      <formula>IF($V28&lt;&gt;0,AND(MID($A28,5,1)=" "))</formula>
    </cfRule>
    <cfRule type="expression" dxfId="2197" priority="4400">
      <formula>IF($V28&lt;&gt;0,AND(MID($A28,5,1)="C"))</formula>
    </cfRule>
    <cfRule type="expression" dxfId="2196" priority="4401">
      <formula>IF($V28&lt;&gt;0,AND(MID($A28,5,1)="D"))</formula>
    </cfRule>
  </conditionalFormatting>
  <conditionalFormatting sqref="D28">
    <cfRule type="cellIs" dxfId="2195" priority="4394" operator="lessThan">
      <formula>C28</formula>
    </cfRule>
    <cfRule type="expression" dxfId="2194" priority="4396">
      <formula>IF($V28&lt;&gt;0,AND(MID($A28,5,1)=" "))</formula>
    </cfRule>
    <cfRule type="expression" dxfId="2193" priority="4397">
      <formula>IF($V28&lt;&gt;0,AND(MID($A28,5,1)="C"))</formula>
    </cfRule>
    <cfRule type="expression" dxfId="2192" priority="4398">
      <formula>IF($V28&lt;&gt;0,AND(MID($A28,5,1)="D"))</formula>
    </cfRule>
  </conditionalFormatting>
  <conditionalFormatting sqref="C29">
    <cfRule type="cellIs" dxfId="2191" priority="4387" operator="lessThan">
      <formula>D29</formula>
    </cfRule>
    <cfRule type="expression" dxfId="2190" priority="4391">
      <formula>IF($V29&lt;&gt;0,AND(MID($A29,5,1)=" "))</formula>
    </cfRule>
    <cfRule type="expression" dxfId="2189" priority="4392">
      <formula>IF($V29&lt;&gt;0,AND(MID($A29,5,1)="C"))</formula>
    </cfRule>
    <cfRule type="expression" dxfId="2188" priority="4393">
      <formula>IF($V29&lt;&gt;0,AND(MID($A29,5,1)="D"))</formula>
    </cfRule>
  </conditionalFormatting>
  <conditionalFormatting sqref="D29">
    <cfRule type="cellIs" dxfId="2187" priority="4386" operator="lessThan">
      <formula>C29</formula>
    </cfRule>
    <cfRule type="expression" dxfId="2186" priority="4388">
      <formula>IF($V29&lt;&gt;0,AND(MID($A29,5,1)=" "))</formula>
    </cfRule>
    <cfRule type="expression" dxfId="2185" priority="4389">
      <formula>IF($V29&lt;&gt;0,AND(MID($A29,5,1)="C"))</formula>
    </cfRule>
    <cfRule type="expression" dxfId="2184" priority="4390">
      <formula>IF($V29&lt;&gt;0,AND(MID($A29,5,1)="D"))</formula>
    </cfRule>
  </conditionalFormatting>
  <conditionalFormatting sqref="A15">
    <cfRule type="expression" dxfId="2183" priority="4309">
      <formula>IF($Y17&gt;$Y14,AND(MID($A15,5,1)=" "))</formula>
    </cfRule>
    <cfRule type="expression" dxfId="2182" priority="4310">
      <formula>IF($Y17&gt;$Y14,AND(MID($A15,5,1)="C"))</formula>
    </cfRule>
    <cfRule type="expression" dxfId="2181" priority="4311">
      <formula>IF($Y17&gt;$Y14,AND(MID($A15,5,1)="D"))</formula>
    </cfRule>
  </conditionalFormatting>
  <conditionalFormatting sqref="A16">
    <cfRule type="expression" dxfId="2180" priority="4312">
      <formula>IF($Y17&gt;$Y14,AND(MID($A16,5,1)=" "))</formula>
    </cfRule>
    <cfRule type="expression" dxfId="2179" priority="4313">
      <formula>IF($Y17&gt;$Y14,AND(MID($A16,5,1)="C"))</formula>
    </cfRule>
    <cfRule type="expression" dxfId="2178" priority="4314">
      <formula>IF($Y17&gt;$Y14,AND(MID($A16,5,1)="D"))</formula>
    </cfRule>
  </conditionalFormatting>
  <conditionalFormatting sqref="A17">
    <cfRule type="expression" dxfId="2177" priority="4306">
      <formula>IF($Y17&gt;$Y14,AND(MID($A17,5,1)=" "))</formula>
    </cfRule>
    <cfRule type="expression" dxfId="2176" priority="4307">
      <formula>IF($Y17&gt;$Y14,AND(MID($A17,5,1)="C"))</formula>
    </cfRule>
    <cfRule type="expression" dxfId="2175" priority="4308">
      <formula>IF($Y17&gt;$Y14,AND(MID($A17,5,1)="D"))</formula>
    </cfRule>
  </conditionalFormatting>
  <conditionalFormatting sqref="A14">
    <cfRule type="expression" dxfId="2174" priority="4303">
      <formula>IF($Y17&gt;$Y14,AND(MID($A14,5,1)=" "))</formula>
    </cfRule>
    <cfRule type="expression" dxfId="2173" priority="4304">
      <formula>IF($Y17&gt;$Y14,AND(MID($A14,5,1)="C"))</formula>
    </cfRule>
    <cfRule type="expression" dxfId="2172" priority="4305">
      <formula>IF($Y17&gt;$Y14,AND(MID($A14,5,1)="D"))</formula>
    </cfRule>
  </conditionalFormatting>
  <conditionalFormatting sqref="B12">
    <cfRule type="expression" dxfId="2171" priority="4297">
      <formula>IF($Y13&gt;$Y10,AND(MID($A12,5,1)=" "))</formula>
    </cfRule>
    <cfRule type="expression" dxfId="2170" priority="4298">
      <formula>IF($Y13&gt;$Y10,AND(MID($A12,5,1)="C"))</formula>
    </cfRule>
    <cfRule type="expression" dxfId="2169" priority="4299">
      <formula>IF($Y13&gt;$Y10,AND(MID($A12,5,1)="D"))</formula>
    </cfRule>
  </conditionalFormatting>
  <conditionalFormatting sqref="C12">
    <cfRule type="expression" dxfId="2168" priority="4300">
      <formula>IF($Y13&gt;$Y10,AND(MID($A12,5,1)=" "))</formula>
    </cfRule>
    <cfRule type="expression" dxfId="2167" priority="4301">
      <formula>IF($Y13&gt;$Y10,AND(MID($A12,5,1)="C"))</formula>
    </cfRule>
    <cfRule type="expression" dxfId="2166" priority="4302">
      <formula>IF($Y13&gt;$Y10,AND(MID($A12,5,1)="D"))</formula>
    </cfRule>
  </conditionalFormatting>
  <conditionalFormatting sqref="Y70 Y72">
    <cfRule type="cellIs" dxfId="2165" priority="4086" operator="lessThanOrEqual">
      <formula>0</formula>
    </cfRule>
  </conditionalFormatting>
  <conditionalFormatting sqref="Y71">
    <cfRule type="cellIs" dxfId="2164" priority="4085" operator="equal">
      <formula>0</formula>
    </cfRule>
  </conditionalFormatting>
  <conditionalFormatting sqref="Y73">
    <cfRule type="cellIs" dxfId="2163" priority="4084" operator="equal">
      <formula>0</formula>
    </cfRule>
  </conditionalFormatting>
  <conditionalFormatting sqref="Y69">
    <cfRule type="cellIs" dxfId="2162" priority="4083" operator="equal">
      <formula>0</formula>
    </cfRule>
  </conditionalFormatting>
  <conditionalFormatting sqref="Y76 Y78">
    <cfRule type="cellIs" dxfId="2161" priority="4080" operator="lessThanOrEqual">
      <formula>0</formula>
    </cfRule>
  </conditionalFormatting>
  <conditionalFormatting sqref="Y77">
    <cfRule type="cellIs" dxfId="2160" priority="4079" operator="equal">
      <formula>0</formula>
    </cfRule>
  </conditionalFormatting>
  <conditionalFormatting sqref="Y79">
    <cfRule type="cellIs" dxfId="2159" priority="4078" operator="equal">
      <formula>0</formula>
    </cfRule>
  </conditionalFormatting>
  <conditionalFormatting sqref="Y75">
    <cfRule type="cellIs" dxfId="2158" priority="4077" operator="equal">
      <formula>0</formula>
    </cfRule>
  </conditionalFormatting>
  <conditionalFormatting sqref="Y82 Y84">
    <cfRule type="cellIs" dxfId="2157" priority="4074" operator="lessThanOrEqual">
      <formula>0</formula>
    </cfRule>
  </conditionalFormatting>
  <conditionalFormatting sqref="Y83">
    <cfRule type="cellIs" dxfId="2156" priority="4073" operator="equal">
      <formula>0</formula>
    </cfRule>
  </conditionalFormatting>
  <conditionalFormatting sqref="Y85">
    <cfRule type="cellIs" dxfId="2155" priority="4072" operator="equal">
      <formula>0</formula>
    </cfRule>
  </conditionalFormatting>
  <conditionalFormatting sqref="Y81">
    <cfRule type="cellIs" dxfId="2154" priority="4071" operator="equal">
      <formula>0</formula>
    </cfRule>
  </conditionalFormatting>
  <conditionalFormatting sqref="Y88 Y90">
    <cfRule type="cellIs" dxfId="2153" priority="4068" operator="lessThanOrEqual">
      <formula>0</formula>
    </cfRule>
  </conditionalFormatting>
  <conditionalFormatting sqref="Y89">
    <cfRule type="cellIs" dxfId="2152" priority="4067" operator="equal">
      <formula>0</formula>
    </cfRule>
  </conditionalFormatting>
  <conditionalFormatting sqref="Y91">
    <cfRule type="cellIs" dxfId="2151" priority="4066" operator="equal">
      <formula>0</formula>
    </cfRule>
  </conditionalFormatting>
  <conditionalFormatting sqref="Y87">
    <cfRule type="cellIs" dxfId="2150" priority="4065" operator="equal">
      <formula>0</formula>
    </cfRule>
  </conditionalFormatting>
  <conditionalFormatting sqref="Y94 Y96">
    <cfRule type="cellIs" dxfId="2149" priority="4062" operator="lessThanOrEqual">
      <formula>0</formula>
    </cfRule>
  </conditionalFormatting>
  <conditionalFormatting sqref="Y95">
    <cfRule type="cellIs" dxfId="2148" priority="4061" operator="equal">
      <formula>0</formula>
    </cfRule>
  </conditionalFormatting>
  <conditionalFormatting sqref="Y97">
    <cfRule type="cellIs" dxfId="2147" priority="4060" operator="equal">
      <formula>0</formula>
    </cfRule>
  </conditionalFormatting>
  <conditionalFormatting sqref="Y93">
    <cfRule type="cellIs" dxfId="2146" priority="4059" operator="equal">
      <formula>0</formula>
    </cfRule>
  </conditionalFormatting>
  <conditionalFormatting sqref="Y100 Y102">
    <cfRule type="cellIs" dxfId="2145" priority="4056" operator="lessThanOrEqual">
      <formula>0</formula>
    </cfRule>
  </conditionalFormatting>
  <conditionalFormatting sqref="Y101">
    <cfRule type="cellIs" dxfId="2144" priority="4055" operator="equal">
      <formula>0</formula>
    </cfRule>
  </conditionalFormatting>
  <conditionalFormatting sqref="Y103">
    <cfRule type="cellIs" dxfId="2143" priority="4054" operator="equal">
      <formula>0</formula>
    </cfRule>
  </conditionalFormatting>
  <conditionalFormatting sqref="Y99">
    <cfRule type="cellIs" dxfId="2142" priority="4053" operator="equal">
      <formula>0</formula>
    </cfRule>
  </conditionalFormatting>
  <conditionalFormatting sqref="Y106 Y108">
    <cfRule type="cellIs" dxfId="2141" priority="4050" operator="lessThanOrEqual">
      <formula>0</formula>
    </cfRule>
  </conditionalFormatting>
  <conditionalFormatting sqref="Y107">
    <cfRule type="cellIs" dxfId="2140" priority="4049" operator="equal">
      <formula>0</formula>
    </cfRule>
  </conditionalFormatting>
  <conditionalFormatting sqref="Y109">
    <cfRule type="cellIs" dxfId="2139" priority="4048" operator="equal">
      <formula>0</formula>
    </cfRule>
  </conditionalFormatting>
  <conditionalFormatting sqref="Y105">
    <cfRule type="cellIs" dxfId="2138" priority="4047" operator="equal">
      <formula>0</formula>
    </cfRule>
  </conditionalFormatting>
  <conditionalFormatting sqref="Y112 Y114">
    <cfRule type="cellIs" dxfId="2137" priority="4044" operator="lessThanOrEqual">
      <formula>0</formula>
    </cfRule>
  </conditionalFormatting>
  <conditionalFormatting sqref="Y113">
    <cfRule type="cellIs" dxfId="2136" priority="4043" operator="equal">
      <formula>0</formula>
    </cfRule>
  </conditionalFormatting>
  <conditionalFormatting sqref="Y115">
    <cfRule type="cellIs" dxfId="2135" priority="4042" operator="equal">
      <formula>0</formula>
    </cfRule>
  </conditionalFormatting>
  <conditionalFormatting sqref="Y111">
    <cfRule type="cellIs" dxfId="2134" priority="4041" operator="equal">
      <formula>0</formula>
    </cfRule>
  </conditionalFormatting>
  <conditionalFormatting sqref="Y118 Y120">
    <cfRule type="cellIs" dxfId="2133" priority="4038" operator="lessThanOrEqual">
      <formula>0</formula>
    </cfRule>
  </conditionalFormatting>
  <conditionalFormatting sqref="Y119">
    <cfRule type="cellIs" dxfId="2132" priority="4037" operator="equal">
      <formula>0</formula>
    </cfRule>
  </conditionalFormatting>
  <conditionalFormatting sqref="Y121">
    <cfRule type="cellIs" dxfId="2131" priority="4036" operator="equal">
      <formula>0</formula>
    </cfRule>
  </conditionalFormatting>
  <conditionalFormatting sqref="Y117">
    <cfRule type="cellIs" dxfId="2130" priority="4035" operator="equal">
      <formula>0</formula>
    </cfRule>
  </conditionalFormatting>
  <conditionalFormatting sqref="Y124 Y126">
    <cfRule type="cellIs" dxfId="2129" priority="4032" operator="lessThanOrEqual">
      <formula>0</formula>
    </cfRule>
  </conditionalFormatting>
  <conditionalFormatting sqref="Y125">
    <cfRule type="cellIs" dxfId="2128" priority="4031" operator="equal">
      <formula>0</formula>
    </cfRule>
  </conditionalFormatting>
  <conditionalFormatting sqref="Y127">
    <cfRule type="cellIs" dxfId="2127" priority="4030" operator="equal">
      <formula>0</formula>
    </cfRule>
  </conditionalFormatting>
  <conditionalFormatting sqref="Y123">
    <cfRule type="cellIs" dxfId="2126" priority="4029" operator="equal">
      <formula>0</formula>
    </cfRule>
  </conditionalFormatting>
  <conditionalFormatting sqref="Y130 Y132">
    <cfRule type="cellIs" dxfId="2125" priority="4026" operator="lessThanOrEqual">
      <formula>0</formula>
    </cfRule>
  </conditionalFormatting>
  <conditionalFormatting sqref="Y131">
    <cfRule type="cellIs" dxfId="2124" priority="4025" operator="equal">
      <formula>0</formula>
    </cfRule>
  </conditionalFormatting>
  <conditionalFormatting sqref="Y133">
    <cfRule type="cellIs" dxfId="2123" priority="4024" operator="equal">
      <formula>0</formula>
    </cfRule>
  </conditionalFormatting>
  <conditionalFormatting sqref="Y129">
    <cfRule type="cellIs" dxfId="2122" priority="4023" operator="equal">
      <formula>0</formula>
    </cfRule>
  </conditionalFormatting>
  <conditionalFormatting sqref="Y136 Y138">
    <cfRule type="cellIs" dxfId="2121" priority="4020" operator="lessThanOrEqual">
      <formula>0</formula>
    </cfRule>
  </conditionalFormatting>
  <conditionalFormatting sqref="Y137">
    <cfRule type="cellIs" dxfId="2120" priority="4019" operator="equal">
      <formula>0</formula>
    </cfRule>
  </conditionalFormatting>
  <conditionalFormatting sqref="Y139">
    <cfRule type="cellIs" dxfId="2119" priority="4018" operator="equal">
      <formula>0</formula>
    </cfRule>
  </conditionalFormatting>
  <conditionalFormatting sqref="Y135">
    <cfRule type="cellIs" dxfId="2118" priority="4017" operator="equal">
      <formula>0</formula>
    </cfRule>
  </conditionalFormatting>
  <conditionalFormatting sqref="Y142 Y144">
    <cfRule type="cellIs" dxfId="2117" priority="4014" operator="lessThanOrEqual">
      <formula>0</formula>
    </cfRule>
  </conditionalFormatting>
  <conditionalFormatting sqref="Y143">
    <cfRule type="cellIs" dxfId="2116" priority="4013" operator="equal">
      <formula>0</formula>
    </cfRule>
  </conditionalFormatting>
  <conditionalFormatting sqref="Y145">
    <cfRule type="cellIs" dxfId="2115" priority="4012" operator="equal">
      <formula>0</formula>
    </cfRule>
  </conditionalFormatting>
  <conditionalFormatting sqref="Y141">
    <cfRule type="cellIs" dxfId="2114" priority="4011" operator="equal">
      <formula>0</formula>
    </cfRule>
  </conditionalFormatting>
  <conditionalFormatting sqref="Y148 Y150">
    <cfRule type="cellIs" dxfId="2113" priority="4008" operator="lessThanOrEqual">
      <formula>0</formula>
    </cfRule>
  </conditionalFormatting>
  <conditionalFormatting sqref="Y149">
    <cfRule type="cellIs" dxfId="2112" priority="4007" operator="equal">
      <formula>0</formula>
    </cfRule>
  </conditionalFormatting>
  <conditionalFormatting sqref="Y151">
    <cfRule type="cellIs" dxfId="2111" priority="4006" operator="equal">
      <formula>0</formula>
    </cfRule>
  </conditionalFormatting>
  <conditionalFormatting sqref="Y147">
    <cfRule type="cellIs" dxfId="2110" priority="4005" operator="equal">
      <formula>0</formula>
    </cfRule>
  </conditionalFormatting>
  <conditionalFormatting sqref="Y154 Y156">
    <cfRule type="cellIs" dxfId="2109" priority="4002" operator="lessThanOrEqual">
      <formula>0</formula>
    </cfRule>
  </conditionalFormatting>
  <conditionalFormatting sqref="Y155">
    <cfRule type="cellIs" dxfId="2108" priority="4001" operator="equal">
      <formula>0</formula>
    </cfRule>
  </conditionalFormatting>
  <conditionalFormatting sqref="Y157">
    <cfRule type="cellIs" dxfId="2107" priority="4000" operator="equal">
      <formula>0</formula>
    </cfRule>
  </conditionalFormatting>
  <conditionalFormatting sqref="Y153">
    <cfRule type="cellIs" dxfId="2106" priority="3999" operator="equal">
      <formula>0</formula>
    </cfRule>
  </conditionalFormatting>
  <conditionalFormatting sqref="Y160 Y162">
    <cfRule type="cellIs" dxfId="2105" priority="3996" operator="lessThanOrEqual">
      <formula>0</formula>
    </cfRule>
  </conditionalFormatting>
  <conditionalFormatting sqref="Y161">
    <cfRule type="cellIs" dxfId="2104" priority="3995" operator="equal">
      <formula>0</formula>
    </cfRule>
  </conditionalFormatting>
  <conditionalFormatting sqref="Y163">
    <cfRule type="cellIs" dxfId="2103" priority="3994" operator="equal">
      <formula>0</formula>
    </cfRule>
  </conditionalFormatting>
  <conditionalFormatting sqref="Y159">
    <cfRule type="cellIs" dxfId="2102" priority="3993" operator="equal">
      <formula>0</formula>
    </cfRule>
  </conditionalFormatting>
  <conditionalFormatting sqref="Y166 Y168 Y172 Y178 Y184 Y190 Y196 Y174 Y180 Y186 Y192 Y198">
    <cfRule type="cellIs" dxfId="2101" priority="3990" operator="lessThanOrEqual">
      <formula>0</formula>
    </cfRule>
  </conditionalFormatting>
  <conditionalFormatting sqref="Y167 Y173 Y179 Y185 Y191 Y197">
    <cfRule type="cellIs" dxfId="2100" priority="3989" operator="equal">
      <formula>0</formula>
    </cfRule>
  </conditionalFormatting>
  <conditionalFormatting sqref="Y169 Y175 Y181 Y187 Y193 Y199">
    <cfRule type="cellIs" dxfId="2099" priority="3988" operator="equal">
      <formula>0</formula>
    </cfRule>
  </conditionalFormatting>
  <conditionalFormatting sqref="Y165 Y171 Y177 Y183 Y189 Y195">
    <cfRule type="cellIs" dxfId="2098" priority="3987" operator="equal">
      <formula>0</formula>
    </cfRule>
  </conditionalFormatting>
  <conditionalFormatting sqref="D54">
    <cfRule type="expression" dxfId="2097" priority="3981">
      <formula>E54&gt;B54</formula>
    </cfRule>
  </conditionalFormatting>
  <conditionalFormatting sqref="C54">
    <cfRule type="expression" dxfId="2096" priority="3980">
      <formula>B54&gt;E54</formula>
    </cfRule>
  </conditionalFormatting>
  <conditionalFormatting sqref="B54">
    <cfRule type="cellIs" dxfId="2095" priority="3979" operator="greaterThan">
      <formula>E54</formula>
    </cfRule>
  </conditionalFormatting>
  <conditionalFormatting sqref="E54">
    <cfRule type="cellIs" dxfId="2094" priority="3978" operator="greaterThan">
      <formula>B54</formula>
    </cfRule>
  </conditionalFormatting>
  <conditionalFormatting sqref="AA2">
    <cfRule type="expression" dxfId="2093" priority="3943">
      <formula>IF($Y5&gt;$Y2,AND(MID($A2,5,1)=" "))</formula>
    </cfRule>
    <cfRule type="expression" dxfId="2092" priority="3944">
      <formula>IF($Y5&gt;$Y2,AND(MID($A2,5,1)="C"))</formula>
    </cfRule>
    <cfRule type="expression" dxfId="2091" priority="3945">
      <formula>IF($Y5&gt;$Y2,AND(MID($A2,5,1)="D"))</formula>
    </cfRule>
  </conditionalFormatting>
  <conditionalFormatting sqref="AA4">
    <cfRule type="expression" dxfId="2090" priority="3898">
      <formula>IF($Y5&gt;$Y2,AND(MID($A4,5,1)=" "))</formula>
    </cfRule>
    <cfRule type="expression" dxfId="2089" priority="3899">
      <formula>IF($Y5&gt;$Y2,AND(MID($A4,5,1)="C"))</formula>
    </cfRule>
    <cfRule type="expression" dxfId="2088" priority="3900">
      <formula>IF($Y5&gt;$Y2,AND(MID($A4,5,1)="D"))</formula>
    </cfRule>
  </conditionalFormatting>
  <conditionalFormatting sqref="AA6">
    <cfRule type="expression" dxfId="2087" priority="3892">
      <formula>IF($Y9&gt;$Y6,AND(MID($A6,5,1)=" "))</formula>
    </cfRule>
    <cfRule type="expression" dxfId="2086" priority="3893">
      <formula>IF($Y9&gt;$Y6,AND(MID($A6,5,1)="C"))</formula>
    </cfRule>
    <cfRule type="expression" dxfId="2085" priority="3894">
      <formula>IF($Y9&gt;$Y6,AND(MID($A6,5,1)="D"))</formula>
    </cfRule>
  </conditionalFormatting>
  <conditionalFormatting sqref="AA8">
    <cfRule type="expression" dxfId="2084" priority="3889">
      <formula>IF($Y9&gt;$Y6,AND(MID($A8,5,1)=" "))</formula>
    </cfRule>
    <cfRule type="expression" dxfId="2083" priority="3890">
      <formula>IF($Y9&gt;$Y6,AND(MID($A8,5,1)="C"))</formula>
    </cfRule>
    <cfRule type="expression" dxfId="2082" priority="3891">
      <formula>IF($Y9&gt;$Y6,AND(MID($A8,5,1)="D"))</formula>
    </cfRule>
  </conditionalFormatting>
  <conditionalFormatting sqref="AA10">
    <cfRule type="expression" dxfId="2081" priority="3886">
      <formula>IF($Y13&gt;$Y10,AND(MID($A10,5,1)=" "))</formula>
    </cfRule>
    <cfRule type="expression" dxfId="2080" priority="3887">
      <formula>IF($Y13&gt;$Y10,AND(MID($A10,5,1)="C"))</formula>
    </cfRule>
    <cfRule type="expression" dxfId="2079" priority="3888">
      <formula>IF($Y13&gt;$Y10,AND(MID($A10,5,1)="D"))</formula>
    </cfRule>
  </conditionalFormatting>
  <conditionalFormatting sqref="AA12">
    <cfRule type="expression" dxfId="2078" priority="3883">
      <formula>IF($Y13&gt;$Y10,AND(MID($A12,5,1)=" "))</formula>
    </cfRule>
    <cfRule type="expression" dxfId="2077" priority="3884">
      <formula>IF($Y13&gt;$Y10,AND(MID($A12,5,1)="C"))</formula>
    </cfRule>
    <cfRule type="expression" dxfId="2076" priority="3885">
      <formula>IF($Y13&gt;$Y10,AND(MID($A12,5,1)="D"))</formula>
    </cfRule>
  </conditionalFormatting>
  <conditionalFormatting sqref="AA14">
    <cfRule type="expression" dxfId="2075" priority="3880">
      <formula>IF($Y17&gt;$Y14,AND(MID($A14,5,1)=" "))</formula>
    </cfRule>
    <cfRule type="expression" dxfId="2074" priority="3881">
      <formula>IF($Y17&gt;$Y14,AND(MID($A14,5,1)="C"))</formula>
    </cfRule>
    <cfRule type="expression" dxfId="2073" priority="3882">
      <formula>IF($Y17&gt;$Y14,AND(MID($A14,5,1)="D"))</formula>
    </cfRule>
  </conditionalFormatting>
  <conditionalFormatting sqref="AA16">
    <cfRule type="expression" dxfId="2072" priority="3877">
      <formula>IF($Y17&gt;$Y14,AND(MID($A16,5,1)=" "))</formula>
    </cfRule>
    <cfRule type="expression" dxfId="2071" priority="3878">
      <formula>IF($Y17&gt;$Y14,AND(MID($A16,5,1)="C"))</formula>
    </cfRule>
    <cfRule type="expression" dxfId="2070" priority="3879">
      <formula>IF($Y17&gt;$Y14,AND(MID($A16,5,1)="D"))</formula>
    </cfRule>
  </conditionalFormatting>
  <conditionalFormatting sqref="AA18 AA22">
    <cfRule type="expression" dxfId="2069" priority="3874">
      <formula>IF($Y21&gt;$Y18,AND(MID($A18,5,1)=" "))</formula>
    </cfRule>
    <cfRule type="expression" dxfId="2068" priority="3875">
      <formula>IF($Y21&gt;$Y18,AND(MID($A18,5,1)="C"))</formula>
    </cfRule>
    <cfRule type="expression" dxfId="2067" priority="3876">
      <formula>IF($Y21&gt;$Y18,AND(MID($A18,5,1)="D"))</formula>
    </cfRule>
  </conditionalFormatting>
  <conditionalFormatting sqref="AA20 AA24">
    <cfRule type="expression" dxfId="2066" priority="3871">
      <formula>IF($Y21&gt;$Y18,AND(MID($A20,5,1)=" "))</formula>
    </cfRule>
    <cfRule type="expression" dxfId="2065" priority="3872">
      <formula>IF($Y21&gt;$Y18,AND(MID($A20,5,1)="C"))</formula>
    </cfRule>
    <cfRule type="expression" dxfId="2064" priority="3873">
      <formula>IF($Y21&gt;$Y18,AND(MID($A20,5,1)="D"))</formula>
    </cfRule>
  </conditionalFormatting>
  <conditionalFormatting sqref="Y21 Y25">
    <cfRule type="expression" dxfId="2063" priority="3853">
      <formula>IF($Y22&gt;$Y19,AND(MID($A21,5,1)=" "))</formula>
    </cfRule>
    <cfRule type="expression" dxfId="2062" priority="3854">
      <formula>IF($Y22&gt;$Y19,AND(MID($A21,5,1)="C"))</formula>
    </cfRule>
    <cfRule type="expression" dxfId="2061" priority="3855">
      <formula>IF($Y22&gt;$Y19,AND(MID($A21,5,1)="D"))</formula>
    </cfRule>
  </conditionalFormatting>
  <conditionalFormatting sqref="Y13">
    <cfRule type="cellIs" dxfId="2060" priority="3334" operator="equal">
      <formula>0</formula>
    </cfRule>
    <cfRule type="expression" dxfId="2059" priority="3847">
      <formula>IF($Y13&gt;$Y10,AND(MID($A13,5,1)=" "))</formula>
    </cfRule>
    <cfRule type="expression" dxfId="2058" priority="3848">
      <formula>IF($Y13&gt;$Y10,AND(MID($A13,5,1)="C"))</formula>
    </cfRule>
    <cfRule type="expression" dxfId="2057" priority="3849">
      <formula>IF($Y13&gt;$Y10,AND(MID($A13,5,1)="D"))</formula>
    </cfRule>
  </conditionalFormatting>
  <conditionalFormatting sqref="Y9">
    <cfRule type="cellIs" dxfId="2056" priority="3335" operator="equal">
      <formula>0</formula>
    </cfRule>
    <cfRule type="expression" dxfId="2055" priority="3844">
      <formula>IF($Y9&gt;$Y6,AND(MID($A9,5,1)=" "))</formula>
    </cfRule>
    <cfRule type="expression" dxfId="2054" priority="3845">
      <formula>IF($Y9&gt;$Y6,AND(MID($A9,5,1)="C"))</formula>
    </cfRule>
    <cfRule type="expression" dxfId="2053" priority="3846">
      <formula>IF($Y9&gt;$Y6,AND(MID($A9,5,1)="D"))</formula>
    </cfRule>
  </conditionalFormatting>
  <conditionalFormatting sqref="Y5">
    <cfRule type="cellIs" dxfId="2052" priority="3336" operator="equal">
      <formula>0</formula>
    </cfRule>
    <cfRule type="expression" dxfId="2051" priority="3841">
      <formula>IF($Y5&gt;$Y2,AND(MID($A5,5,1)=" "))</formula>
    </cfRule>
    <cfRule type="expression" dxfId="2050" priority="3842">
      <formula>IF($Y5&gt;$Y2,AND(MID($A5,5,1)="C"))</formula>
    </cfRule>
    <cfRule type="expression" dxfId="2049" priority="3843">
      <formula>IF($Y5&gt;$Y2,AND(MID($A5,5,1)="D"))</formula>
    </cfRule>
  </conditionalFormatting>
  <conditionalFormatting sqref="B18">
    <cfRule type="expression" dxfId="2048" priority="3427">
      <formula>IF($Y21&gt;$Y18,AND(MID($A18,5,1)=" "))</formula>
    </cfRule>
    <cfRule type="expression" dxfId="2047" priority="3428">
      <formula>IF($Y21&gt;$Y18,AND(MID($A18,5,1)="C"))</formula>
    </cfRule>
    <cfRule type="expression" dxfId="2046" priority="3429">
      <formula>IF($Y21&gt;$Y18,AND(MID($A18,5,1)="D"))</formula>
    </cfRule>
  </conditionalFormatting>
  <conditionalFormatting sqref="E19">
    <cfRule type="expression" dxfId="2045" priority="3430">
      <formula>IF($Y21&gt;$Y18,AND(MID($A19,5,1)=" "))</formula>
    </cfRule>
    <cfRule type="expression" dxfId="2044" priority="3431">
      <formula>IF($Y21&gt;$Y18,AND(MID($A19,5,1)="C"))</formula>
    </cfRule>
    <cfRule type="expression" dxfId="2043" priority="3432">
      <formula>IF($Y21&gt;$Y18,AND(MID($A19,5,1)="D"))</formula>
    </cfRule>
  </conditionalFormatting>
  <conditionalFormatting sqref="B20">
    <cfRule type="expression" dxfId="2042" priority="3433">
      <formula>IF($Y21&gt;$Y18,AND(MID($A20,5,1)=" "))</formula>
    </cfRule>
    <cfRule type="expression" dxfId="2041" priority="3434">
      <formula>IF($Y21&gt;$Y18,AND(MID($A20,5,1)="C"))</formula>
    </cfRule>
    <cfRule type="expression" dxfId="2040" priority="3435">
      <formula>IF($Y21&gt;$Y18,AND(MID($A20,5,1)="D"))</formula>
    </cfRule>
  </conditionalFormatting>
  <conditionalFormatting sqref="E21">
    <cfRule type="expression" dxfId="2039" priority="3436">
      <formula>IF($Y21&gt;$Y18,AND(MID($A21,5,1)=" "))</formula>
    </cfRule>
    <cfRule type="expression" dxfId="2038" priority="3437">
      <formula>IF($Y21&gt;$Y18,AND(MID($A21,5,1)="C"))</formula>
    </cfRule>
    <cfRule type="expression" dxfId="2037" priority="3438">
      <formula>IF($Y21&gt;$Y18,AND(MID($A21,5,1)="D"))</formula>
    </cfRule>
  </conditionalFormatting>
  <conditionalFormatting sqref="C18">
    <cfRule type="expression" dxfId="2036" priority="3439">
      <formula>IF($Y21&gt;$Y18,AND(MID($A18,5,1)=" "))</formula>
    </cfRule>
    <cfRule type="expression" dxfId="2035" priority="3440">
      <formula>IF($Y21&gt;$Y18,AND(MID($A18,5,1)="C"))</formula>
    </cfRule>
    <cfRule type="expression" dxfId="2034" priority="3441">
      <formula>IF($Y21&gt;$Y18,AND(MID($A18,5,1)="D"))</formula>
    </cfRule>
  </conditionalFormatting>
  <conditionalFormatting sqref="D19">
    <cfRule type="expression" dxfId="2033" priority="3442">
      <formula>IF($Y21&gt;$Y18,AND(MID($A19,5,1)=" "))</formula>
    </cfRule>
    <cfRule type="expression" dxfId="2032" priority="3443">
      <formula>IF($Y21&gt;$Y18,AND(MID($A19,5,1)="C"))</formula>
    </cfRule>
    <cfRule type="expression" dxfId="2031" priority="3444">
      <formula>IF($Y21&gt;$Y18,AND(MID($A19,5,1)="D"))</formula>
    </cfRule>
  </conditionalFormatting>
  <conditionalFormatting sqref="D21">
    <cfRule type="expression" dxfId="2030" priority="3445">
      <formula>IF($Y21&gt;$Y18,AND(MID($A21,5,1)=" "))</formula>
    </cfRule>
    <cfRule type="expression" dxfId="2029" priority="3446">
      <formula>IF($Y21&gt;$Y18,AND(MID($A21,5,1)="C"))</formula>
    </cfRule>
    <cfRule type="expression" dxfId="2028" priority="3447">
      <formula>IF($Y21&gt;$Y18,AND(MID($A21,5,1)="D"))</formula>
    </cfRule>
  </conditionalFormatting>
  <conditionalFormatting sqref="C20">
    <cfRule type="expression" dxfId="2027" priority="3448">
      <formula>IF($Y21&gt;$Y18,AND(MID($A20,5,1)=" "))</formula>
    </cfRule>
    <cfRule type="expression" dxfId="2026" priority="3449">
      <formula>IF($Y21&gt;$Y18,AND(MID($A20,5,1)="C"))</formula>
    </cfRule>
    <cfRule type="expression" dxfId="2025" priority="3450">
      <formula>IF($Y21&gt;$Y18,AND(MID($A20,5,1)="D"))</formula>
    </cfRule>
  </conditionalFormatting>
  <conditionalFormatting sqref="A19">
    <cfRule type="expression" dxfId="2024" priority="3421">
      <formula>IF($Y21&gt;$Y18,AND(MID($A19,5,1)=" "))</formula>
    </cfRule>
    <cfRule type="expression" dxfId="2023" priority="3422">
      <formula>IF($Y21&gt;$Y18,AND(MID($A19,5,1)="C"))</formula>
    </cfRule>
    <cfRule type="expression" dxfId="2022" priority="3423">
      <formula>IF($Y21&gt;$Y18,AND(MID($A19,5,1)="D"))</formula>
    </cfRule>
  </conditionalFormatting>
  <conditionalFormatting sqref="A20">
    <cfRule type="expression" dxfId="2021" priority="3424">
      <formula>IF($Y21&gt;$Y18,AND(MID($A20,5,1)=" "))</formula>
    </cfRule>
    <cfRule type="expression" dxfId="2020" priority="3425">
      <formula>IF($Y21&gt;$Y18,AND(MID($A20,5,1)="C"))</formula>
    </cfRule>
    <cfRule type="expression" dxfId="2019" priority="3426">
      <formula>IF($Y21&gt;$Y18,AND(MID($A20,5,1)="D"))</formula>
    </cfRule>
  </conditionalFormatting>
  <conditionalFormatting sqref="A21">
    <cfRule type="expression" dxfId="2018" priority="3418">
      <formula>IF($Y21&gt;$Y18,AND(MID($A21,5,1)=" "))</formula>
    </cfRule>
    <cfRule type="expression" dxfId="2017" priority="3419">
      <formula>IF($Y21&gt;$Y18,AND(MID($A21,5,1)="C"))</formula>
    </cfRule>
    <cfRule type="expression" dxfId="2016" priority="3420">
      <formula>IF($Y21&gt;$Y18,AND(MID($A21,5,1)="D"))</formula>
    </cfRule>
  </conditionalFormatting>
  <conditionalFormatting sqref="A18">
    <cfRule type="expression" dxfId="2015" priority="3415">
      <formula>IF($Y21&gt;$Y18,AND(MID($A18,5,1)=" "))</formula>
    </cfRule>
    <cfRule type="expression" dxfId="2014" priority="3416">
      <formula>IF($Y21&gt;$Y18,AND(MID($A18,5,1)="C"))</formula>
    </cfRule>
    <cfRule type="expression" dxfId="2013" priority="3417">
      <formula>IF($Y21&gt;$Y18,AND(MID($A18,5,1)="D"))</formula>
    </cfRule>
  </conditionalFormatting>
  <conditionalFormatting sqref="A11">
    <cfRule type="expression" dxfId="2012" priority="3409">
      <formula>IF($Y13&gt;$Y10,AND(MID($A11,5,1)=" "))</formula>
    </cfRule>
    <cfRule type="expression" dxfId="2011" priority="3410">
      <formula>IF($Y13&gt;$Y10,AND(MID($A11,5,1)="C"))</formula>
    </cfRule>
    <cfRule type="expression" dxfId="2010" priority="3411">
      <formula>IF($Y13&gt;$Y10,AND(MID($A11,5,1)="D"))</formula>
    </cfRule>
  </conditionalFormatting>
  <conditionalFormatting sqref="A12">
    <cfRule type="expression" dxfId="2009" priority="3412">
      <formula>IF($Y13&gt;$Y10,AND(MID($A12,5,1)=" "))</formula>
    </cfRule>
    <cfRule type="expression" dxfId="2008" priority="3413">
      <formula>IF($Y13&gt;$Y10,AND(MID($A12,5,1)="C"))</formula>
    </cfRule>
    <cfRule type="expression" dxfId="2007" priority="3414">
      <formula>IF($Y13&gt;$Y10,AND(MID($A12,5,1)="D"))</formula>
    </cfRule>
  </conditionalFormatting>
  <conditionalFormatting sqref="A13">
    <cfRule type="expression" dxfId="2006" priority="3406">
      <formula>IF($Y13&gt;$Y10,AND(MID($A13,5,1)=" "))</formula>
    </cfRule>
    <cfRule type="expression" dxfId="2005" priority="3407">
      <formula>IF($Y13&gt;$Y10,AND(MID($A13,5,1)="C"))</formula>
    </cfRule>
    <cfRule type="expression" dxfId="2004" priority="3408">
      <formula>IF($Y13&gt;$Y10,AND(MID($A13,5,1)="D"))</formula>
    </cfRule>
  </conditionalFormatting>
  <conditionalFormatting sqref="A10">
    <cfRule type="expression" dxfId="2003" priority="3403">
      <formula>IF($Y13&gt;$Y10,AND(MID($A10,5,1)=" "))</formula>
    </cfRule>
    <cfRule type="expression" dxfId="2002" priority="3404">
      <formula>IF($Y13&gt;$Y10,AND(MID($A10,5,1)="C"))</formula>
    </cfRule>
    <cfRule type="expression" dxfId="2001" priority="3405">
      <formula>IF($Y13&gt;$Y10,AND(MID($A10,5,1)="D"))</formula>
    </cfRule>
  </conditionalFormatting>
  <conditionalFormatting sqref="A7">
    <cfRule type="expression" dxfId="2000" priority="3397">
      <formula>IF($Y9&gt;$Y6,AND(MID($A7,5,1)=" "))</formula>
    </cfRule>
    <cfRule type="expression" dxfId="1999" priority="3398">
      <formula>IF($Y9&gt;$Y6,AND(MID($A7,5,1)="C"))</formula>
    </cfRule>
    <cfRule type="expression" dxfId="1998" priority="3399">
      <formula>IF($Y9&gt;$Y6,AND(MID($A7,5,1)="D"))</formula>
    </cfRule>
  </conditionalFormatting>
  <conditionalFormatting sqref="A8">
    <cfRule type="expression" dxfId="1997" priority="3400">
      <formula>IF($Y9&gt;$Y6,AND(MID($A8,5,1)=" "))</formula>
    </cfRule>
    <cfRule type="expression" dxfId="1996" priority="3401">
      <formula>IF($Y9&gt;$Y6,AND(MID($A8,5,1)="C"))</formula>
    </cfRule>
    <cfRule type="expression" dxfId="1995" priority="3402">
      <formula>IF($Y9&gt;$Y6,AND(MID($A8,5,1)="D"))</formula>
    </cfRule>
  </conditionalFormatting>
  <conditionalFormatting sqref="A9">
    <cfRule type="expression" dxfId="1994" priority="3394">
      <formula>IF($Y9&gt;$Y6,AND(MID($A9,5,1)=" "))</formula>
    </cfRule>
    <cfRule type="expression" dxfId="1993" priority="3395">
      <formula>IF($Y9&gt;$Y6,AND(MID($A9,5,1)="C"))</formula>
    </cfRule>
    <cfRule type="expression" dxfId="1992" priority="3396">
      <formula>IF($Y9&gt;$Y6,AND(MID($A9,5,1)="D"))</formula>
    </cfRule>
  </conditionalFormatting>
  <conditionalFormatting sqref="A6">
    <cfRule type="expression" dxfId="1991" priority="3391">
      <formula>IF($Y9&gt;$Y6,AND(MID($A6,5,1)=" "))</formula>
    </cfRule>
    <cfRule type="expression" dxfId="1990" priority="3392">
      <formula>IF($Y9&gt;$Y6,AND(MID($A6,5,1)="C"))</formula>
    </cfRule>
    <cfRule type="expression" dxfId="1989" priority="3393">
      <formula>IF($Y9&gt;$Y6,AND(MID($A6,5,1)="D"))</formula>
    </cfRule>
  </conditionalFormatting>
  <conditionalFormatting sqref="A3">
    <cfRule type="expression" dxfId="1988" priority="3385">
      <formula>IF($Y5&gt;$Y2,AND(MID($A3,5,1)=" "))</formula>
    </cfRule>
    <cfRule type="expression" dxfId="1987" priority="3386">
      <formula>IF($Y5&gt;$Y2,AND(MID($A3,5,1)="C"))</formula>
    </cfRule>
    <cfRule type="expression" dxfId="1986" priority="3387">
      <formula>IF($Y5&gt;$Y2,AND(MID($A3,5,1)="D"))</formula>
    </cfRule>
  </conditionalFormatting>
  <conditionalFormatting sqref="A4">
    <cfRule type="expression" dxfId="1985" priority="3388">
      <formula>IF($Y5&gt;$Y2,AND(MID($A4,5,1)=" "))</formula>
    </cfRule>
    <cfRule type="expression" dxfId="1984" priority="3389">
      <formula>IF($Y5&gt;$Y2,AND(MID($A4,5,1)="C"))</formula>
    </cfRule>
    <cfRule type="expression" dxfId="1983" priority="3390">
      <formula>IF($Y5&gt;$Y2,AND(MID($A4,5,1)="D"))</formula>
    </cfRule>
  </conditionalFormatting>
  <conditionalFormatting sqref="A5">
    <cfRule type="expression" dxfId="1982" priority="3382">
      <formula>IF($Y5&gt;$Y2,AND(MID($A5,5,1)=" "))</formula>
    </cfRule>
    <cfRule type="expression" dxfId="1981" priority="3383">
      <formula>IF($Y5&gt;$Y2,AND(MID($A5,5,1)="C"))</formula>
    </cfRule>
    <cfRule type="expression" dxfId="1980" priority="3384">
      <formula>IF($Y5&gt;$Y2,AND(MID($A5,5,1)="D"))</formula>
    </cfRule>
  </conditionalFormatting>
  <conditionalFormatting sqref="A2">
    <cfRule type="expression" dxfId="1979" priority="3379">
      <formula>IF($Y5&gt;$Y2,AND(MID($A2,5,1)=" "))</formula>
    </cfRule>
    <cfRule type="expression" dxfId="1978" priority="3380">
      <formula>IF($Y5&gt;$Y2,AND(MID($A2,5,1)="C"))</formula>
    </cfRule>
    <cfRule type="expression" dxfId="1977" priority="3381">
      <formula>IF($Y5&gt;$Y2,AND(MID($A2,5,1)="D"))</formula>
    </cfRule>
  </conditionalFormatting>
  <conditionalFormatting sqref="B22">
    <cfRule type="expression" dxfId="1976" priority="3352">
      <formula>IF($Y25&gt;$Y22,AND(MID($A22,5,1)=" "))</formula>
    </cfRule>
    <cfRule type="expression" dxfId="1975" priority="3353">
      <formula>IF($Y25&gt;$Y22,AND(MID($A22,5,1)="C"))</formula>
    </cfRule>
    <cfRule type="expression" dxfId="1974" priority="3354">
      <formula>IF($Y25&gt;$Y22,AND(MID($A22,5,1)="D"))</formula>
    </cfRule>
  </conditionalFormatting>
  <conditionalFormatting sqref="E23">
    <cfRule type="expression" dxfId="1973" priority="3355">
      <formula>IF($Y25&gt;$Y22,AND(MID($A23,5,1)=" "))</formula>
    </cfRule>
    <cfRule type="expression" dxfId="1972" priority="3356">
      <formula>IF($Y25&gt;$Y22,AND(MID($A23,5,1)="C"))</formula>
    </cfRule>
    <cfRule type="expression" dxfId="1971" priority="3357">
      <formula>IF($Y25&gt;$Y22,AND(MID($A23,5,1)="D"))</formula>
    </cfRule>
  </conditionalFormatting>
  <conditionalFormatting sqref="B24">
    <cfRule type="expression" dxfId="1970" priority="3358">
      <formula>IF($Y25&gt;$Y22,AND(MID($A24,5,1)=" "))</formula>
    </cfRule>
    <cfRule type="expression" dxfId="1969" priority="3359">
      <formula>IF($Y25&gt;$Y22,AND(MID($A24,5,1)="C"))</formula>
    </cfRule>
    <cfRule type="expression" dxfId="1968" priority="3360">
      <formula>IF($Y25&gt;$Y22,AND(MID($A24,5,1)="D"))</formula>
    </cfRule>
  </conditionalFormatting>
  <conditionalFormatting sqref="E25">
    <cfRule type="expression" dxfId="1967" priority="3361">
      <formula>IF($Y25&gt;$Y22,AND(MID($A25,5,1)=" "))</formula>
    </cfRule>
    <cfRule type="expression" dxfId="1966" priority="3362">
      <formula>IF($Y25&gt;$Y22,AND(MID($A25,5,1)="C"))</formula>
    </cfRule>
    <cfRule type="expression" dxfId="1965" priority="3363">
      <formula>IF($Y25&gt;$Y22,AND(MID($A25,5,1)="D"))</formula>
    </cfRule>
  </conditionalFormatting>
  <conditionalFormatting sqref="C22">
    <cfRule type="expression" dxfId="1964" priority="3364">
      <formula>IF($Y25&gt;$Y22,AND(MID($A22,5,1)=" "))</formula>
    </cfRule>
    <cfRule type="expression" dxfId="1963" priority="3365">
      <formula>IF($Y25&gt;$Y22,AND(MID($A22,5,1)="C"))</formula>
    </cfRule>
    <cfRule type="expression" dxfId="1962" priority="3366">
      <formula>IF($Y25&gt;$Y22,AND(MID($A22,5,1)="D"))</formula>
    </cfRule>
  </conditionalFormatting>
  <conditionalFormatting sqref="D23">
    <cfRule type="expression" dxfId="1961" priority="3367">
      <formula>IF($Y25&gt;$Y22,AND(MID($A23,5,1)=" "))</formula>
    </cfRule>
    <cfRule type="expression" dxfId="1960" priority="3368">
      <formula>IF($Y25&gt;$Y22,AND(MID($A23,5,1)="C"))</formula>
    </cfRule>
    <cfRule type="expression" dxfId="1959" priority="3369">
      <formula>IF($Y25&gt;$Y22,AND(MID($A23,5,1)="D"))</formula>
    </cfRule>
  </conditionalFormatting>
  <conditionalFormatting sqref="D25">
    <cfRule type="expression" dxfId="1958" priority="3370">
      <formula>IF($Y25&gt;$Y22,AND(MID($A25,5,1)=" "))</formula>
    </cfRule>
    <cfRule type="expression" dxfId="1957" priority="3371">
      <formula>IF($Y25&gt;$Y22,AND(MID($A25,5,1)="C"))</formula>
    </cfRule>
    <cfRule type="expression" dxfId="1956" priority="3372">
      <formula>IF($Y25&gt;$Y22,AND(MID($A25,5,1)="D"))</formula>
    </cfRule>
  </conditionalFormatting>
  <conditionalFormatting sqref="C24">
    <cfRule type="expression" dxfId="1955" priority="3373">
      <formula>IF($Y25&gt;$Y22,AND(MID($A24,5,1)=" "))</formula>
    </cfRule>
    <cfRule type="expression" dxfId="1954" priority="3374">
      <formula>IF($Y25&gt;$Y22,AND(MID($A24,5,1)="C"))</formula>
    </cfRule>
    <cfRule type="expression" dxfId="1953" priority="3375">
      <formula>IF($Y25&gt;$Y22,AND(MID($A24,5,1)="D"))</formula>
    </cfRule>
  </conditionalFormatting>
  <conditionalFormatting sqref="A23">
    <cfRule type="expression" dxfId="1952" priority="3346">
      <formula>IF($Y25&gt;$Y22,AND(MID($A23,5,1)=" "))</formula>
    </cfRule>
    <cfRule type="expression" dxfId="1951" priority="3347">
      <formula>IF($Y25&gt;$Y22,AND(MID($A23,5,1)="C"))</formula>
    </cfRule>
    <cfRule type="expression" dxfId="1950" priority="3348">
      <formula>IF($Y25&gt;$Y22,AND(MID($A23,5,1)="D"))</formula>
    </cfRule>
  </conditionalFormatting>
  <conditionalFormatting sqref="A24">
    <cfRule type="expression" dxfId="1949" priority="3349">
      <formula>IF($Y25&gt;$Y22,AND(MID($A24,5,1)=" "))</formula>
    </cfRule>
    <cfRule type="expression" dxfId="1948" priority="3350">
      <formula>IF($Y25&gt;$Y22,AND(MID($A24,5,1)="C"))</formula>
    </cfRule>
    <cfRule type="expression" dxfId="1947" priority="3351">
      <formula>IF($Y25&gt;$Y22,AND(MID($A24,5,1)="D"))</formula>
    </cfRule>
  </conditionalFormatting>
  <conditionalFormatting sqref="A25">
    <cfRule type="expression" dxfId="1946" priority="3343">
      <formula>IF($Y25&gt;$Y22,AND(MID($A25,5,1)=" "))</formula>
    </cfRule>
    <cfRule type="expression" dxfId="1945" priority="3344">
      <formula>IF($Y25&gt;$Y22,AND(MID($A25,5,1)="C"))</formula>
    </cfRule>
    <cfRule type="expression" dxfId="1944" priority="3345">
      <formula>IF($Y25&gt;$Y22,AND(MID($A25,5,1)="D"))</formula>
    </cfRule>
  </conditionalFormatting>
  <conditionalFormatting sqref="A22">
    <cfRule type="expression" dxfId="1943" priority="3340">
      <formula>IF($Y25&gt;$Y22,AND(MID($A22,5,1)=" "))</formula>
    </cfRule>
    <cfRule type="expression" dxfId="1942" priority="3341">
      <formula>IF($Y25&gt;$Y22,AND(MID($A22,5,1)="C"))</formula>
    </cfRule>
    <cfRule type="expression" dxfId="1941" priority="3342">
      <formula>IF($Y25&gt;$Y22,AND(MID($A22,5,1)="D"))</formula>
    </cfRule>
  </conditionalFormatting>
  <conditionalFormatting sqref="Y17">
    <cfRule type="cellIs" dxfId="1940" priority="3333" operator="equal">
      <formula>0</formula>
    </cfRule>
    <cfRule type="expression" dxfId="1939" priority="3337">
      <formula>IF($Y17&gt;$Y14,AND(MID($A17,5,1)=" "))</formula>
    </cfRule>
    <cfRule type="expression" dxfId="1938" priority="3338">
      <formula>IF($Y17&gt;$Y14,AND(MID($A17,5,1)="C"))</formula>
    </cfRule>
    <cfRule type="expression" dxfId="1937" priority="3339">
      <formula>IF($Y17&gt;$Y14,AND(MID($A17,5,1)="D"))</formula>
    </cfRule>
  </conditionalFormatting>
  <conditionalFormatting sqref="Y21">
    <cfRule type="cellIs" dxfId="1936" priority="3332" operator="equal">
      <formula>0</formula>
    </cfRule>
  </conditionalFormatting>
  <conditionalFormatting sqref="Y25">
    <cfRule type="cellIs" dxfId="1935" priority="3331" operator="equal">
      <formula>0</formula>
    </cfRule>
  </conditionalFormatting>
  <conditionalFormatting sqref="D61">
    <cfRule type="expression" dxfId="1934" priority="3330">
      <formula>E61&gt;B61</formula>
    </cfRule>
  </conditionalFormatting>
  <conditionalFormatting sqref="C61">
    <cfRule type="expression" dxfId="1933" priority="3329">
      <formula>B61&gt;E61</formula>
    </cfRule>
  </conditionalFormatting>
  <conditionalFormatting sqref="D60">
    <cfRule type="expression" dxfId="1932" priority="3328">
      <formula>E60&gt;B60</formula>
    </cfRule>
  </conditionalFormatting>
  <conditionalFormatting sqref="C60">
    <cfRule type="expression" dxfId="1931" priority="3327">
      <formula>B60&gt;E60</formula>
    </cfRule>
  </conditionalFormatting>
  <conditionalFormatting sqref="B61">
    <cfRule type="cellIs" dxfId="1930" priority="3326" operator="greaterThan">
      <formula>E61</formula>
    </cfRule>
  </conditionalFormatting>
  <conditionalFormatting sqref="B60">
    <cfRule type="cellIs" dxfId="1929" priority="3325" operator="greaterThan">
      <formula>E60</formula>
    </cfRule>
  </conditionalFormatting>
  <conditionalFormatting sqref="E61">
    <cfRule type="cellIs" dxfId="1928" priority="3324" operator="greaterThan">
      <formula>B61</formula>
    </cfRule>
  </conditionalFormatting>
  <conditionalFormatting sqref="E60">
    <cfRule type="cellIs" dxfId="1927" priority="3323" operator="greaterThan">
      <formula>B60</formula>
    </cfRule>
  </conditionalFormatting>
  <conditionalFormatting sqref="Z40:Z44 Z47:Z49">
    <cfRule type="cellIs" dxfId="1926" priority="3322" operator="equal">
      <formula>0</formula>
    </cfRule>
  </conditionalFormatting>
  <conditionalFormatting sqref="Y40:Y44 Y47:Y49">
    <cfRule type="cellIs" dxfId="1925" priority="3321" operator="equal">
      <formula>0</formula>
    </cfRule>
  </conditionalFormatting>
  <conditionalFormatting sqref="Y45:Z45">
    <cfRule type="cellIs" dxfId="1924" priority="3320" operator="equal">
      <formula>0</formula>
    </cfRule>
  </conditionalFormatting>
  <conditionalFormatting sqref="Y46:Z46">
    <cfRule type="cellIs" dxfId="1923" priority="3319" operator="equal">
      <formula>0</formula>
    </cfRule>
  </conditionalFormatting>
  <conditionalFormatting sqref="Z50:Z54 Z57:Z59">
    <cfRule type="cellIs" dxfId="1922" priority="3318" operator="equal">
      <formula>0</formula>
    </cfRule>
  </conditionalFormatting>
  <conditionalFormatting sqref="Y50:Y54 Y57:Y59">
    <cfRule type="cellIs" dxfId="1921" priority="3317" operator="equal">
      <formula>0</formula>
    </cfRule>
  </conditionalFormatting>
  <conditionalFormatting sqref="Y55:Z55">
    <cfRule type="cellIs" dxfId="1920" priority="3316" operator="equal">
      <formula>0</formula>
    </cfRule>
  </conditionalFormatting>
  <conditionalFormatting sqref="Y56:Z56">
    <cfRule type="cellIs" dxfId="1919" priority="3315" operator="equal">
      <formula>0</formula>
    </cfRule>
  </conditionalFormatting>
  <conditionalFormatting sqref="X10">
    <cfRule type="expression" dxfId="1918" priority="3216">
      <formula>X10*100&gt;C10</formula>
    </cfRule>
    <cfRule type="cellIs" dxfId="1917" priority="3217" operator="equal">
      <formula>0</formula>
    </cfRule>
  </conditionalFormatting>
  <conditionalFormatting sqref="X11">
    <cfRule type="expression" dxfId="1916" priority="3214">
      <formula>X11*100&gt;C11</formula>
    </cfRule>
    <cfRule type="cellIs" dxfId="1915" priority="3215" operator="equal">
      <formula>0</formula>
    </cfRule>
  </conditionalFormatting>
  <conditionalFormatting sqref="X12">
    <cfRule type="expression" dxfId="1914" priority="3212">
      <formula>X12*100&gt;C12</formula>
    </cfRule>
    <cfRule type="cellIs" dxfId="1913" priority="3213" operator="equal">
      <formula>0</formula>
    </cfRule>
  </conditionalFormatting>
  <conditionalFormatting sqref="X13">
    <cfRule type="expression" dxfId="1912" priority="3210">
      <formula>X13*100&gt;C13</formula>
    </cfRule>
    <cfRule type="cellIs" dxfId="1911" priority="3211" operator="equal">
      <formula>0</formula>
    </cfRule>
  </conditionalFormatting>
  <conditionalFormatting sqref="X14">
    <cfRule type="expression" dxfId="1910" priority="3208">
      <formula>X14*100&gt;C14</formula>
    </cfRule>
    <cfRule type="cellIs" dxfId="1909" priority="3209" operator="equal">
      <formula>0</formula>
    </cfRule>
  </conditionalFormatting>
  <conditionalFormatting sqref="X15">
    <cfRule type="expression" dxfId="1908" priority="3206">
      <formula>X15*100&gt;C15</formula>
    </cfRule>
    <cfRule type="cellIs" dxfId="1907" priority="3207" operator="equal">
      <formula>0</formula>
    </cfRule>
  </conditionalFormatting>
  <conditionalFormatting sqref="X16">
    <cfRule type="expression" dxfId="1906" priority="3204">
      <formula>X16*100&gt;C16</formula>
    </cfRule>
    <cfRule type="cellIs" dxfId="1905" priority="3205" operator="equal">
      <formula>0</formula>
    </cfRule>
  </conditionalFormatting>
  <conditionalFormatting sqref="X17">
    <cfRule type="expression" dxfId="1904" priority="3202">
      <formula>X17*100&gt;C17</formula>
    </cfRule>
    <cfRule type="cellIs" dxfId="1903" priority="3203" operator="equal">
      <formula>0</formula>
    </cfRule>
  </conditionalFormatting>
  <conditionalFormatting sqref="X18">
    <cfRule type="expression" dxfId="1902" priority="3200">
      <formula>X18*100&gt;C18</formula>
    </cfRule>
    <cfRule type="cellIs" dxfId="1901" priority="3201" operator="equal">
      <formula>0</formula>
    </cfRule>
  </conditionalFormatting>
  <conditionalFormatting sqref="X19">
    <cfRule type="expression" dxfId="1900" priority="3198">
      <formula>X19*100&gt;C19</formula>
    </cfRule>
    <cfRule type="cellIs" dxfId="1899" priority="3199" operator="equal">
      <formula>0</formula>
    </cfRule>
  </conditionalFormatting>
  <conditionalFormatting sqref="X20">
    <cfRule type="expression" dxfId="1898" priority="3196">
      <formula>X20*100&gt;C20</formula>
    </cfRule>
    <cfRule type="cellIs" dxfId="1897" priority="3197" operator="equal">
      <formula>0</formula>
    </cfRule>
  </conditionalFormatting>
  <conditionalFormatting sqref="X21">
    <cfRule type="expression" dxfId="1896" priority="3194">
      <formula>X21*100&gt;C21</formula>
    </cfRule>
    <cfRule type="cellIs" dxfId="1895" priority="3195" operator="equal">
      <formula>0</formula>
    </cfRule>
  </conditionalFormatting>
  <conditionalFormatting sqref="X22">
    <cfRule type="expression" dxfId="1894" priority="3192">
      <formula>X22*100&gt;C22</formula>
    </cfRule>
    <cfRule type="cellIs" dxfId="1893" priority="3193" operator="equal">
      <formula>0</formula>
    </cfRule>
  </conditionalFormatting>
  <conditionalFormatting sqref="X23">
    <cfRule type="expression" dxfId="1892" priority="3190">
      <formula>X23*100&gt;C23</formula>
    </cfRule>
    <cfRule type="cellIs" dxfId="1891" priority="3191" operator="equal">
      <formula>0</formula>
    </cfRule>
  </conditionalFormatting>
  <conditionalFormatting sqref="X24">
    <cfRule type="expression" dxfId="1890" priority="3188">
      <formula>X24*100&gt;C24</formula>
    </cfRule>
    <cfRule type="cellIs" dxfId="1889" priority="3189" operator="equal">
      <formula>0</formula>
    </cfRule>
  </conditionalFormatting>
  <conditionalFormatting sqref="X25">
    <cfRule type="expression" dxfId="1888" priority="3186">
      <formula>X25*100&gt;C25</formula>
    </cfRule>
    <cfRule type="cellIs" dxfId="1887" priority="3187" operator="equal">
      <formula>0</formula>
    </cfRule>
  </conditionalFormatting>
  <conditionalFormatting sqref="X30">
    <cfRule type="expression" dxfId="1886" priority="3037">
      <formula>C30*100&gt;=X30</formula>
    </cfRule>
    <cfRule type="cellIs" dxfId="1885" priority="3038" operator="equal">
      <formula>0</formula>
    </cfRule>
  </conditionalFormatting>
  <conditionalFormatting sqref="X31">
    <cfRule type="expression" dxfId="1884" priority="3035">
      <formula>C31*100&gt;=X31</formula>
    </cfRule>
    <cfRule type="cellIs" dxfId="1883" priority="3036" operator="equal">
      <formula>0</formula>
    </cfRule>
  </conditionalFormatting>
  <conditionalFormatting sqref="X32">
    <cfRule type="expression" dxfId="1882" priority="3033">
      <formula>C32*100&gt;=X32</formula>
    </cfRule>
    <cfRule type="cellIs" dxfId="1881" priority="3034" operator="equal">
      <formula>0</formula>
    </cfRule>
  </conditionalFormatting>
  <conditionalFormatting sqref="X33">
    <cfRule type="expression" dxfId="1880" priority="3031">
      <formula>C33*100&gt;=X33</formula>
    </cfRule>
    <cfRule type="cellIs" dxfId="1879" priority="3032" operator="equal">
      <formula>0</formula>
    </cfRule>
  </conditionalFormatting>
  <conditionalFormatting sqref="X34">
    <cfRule type="expression" dxfId="1878" priority="3029">
      <formula>C34*100&gt;=X34</formula>
    </cfRule>
    <cfRule type="cellIs" dxfId="1877" priority="3030" operator="equal">
      <formula>0</formula>
    </cfRule>
  </conditionalFormatting>
  <conditionalFormatting sqref="X35">
    <cfRule type="expression" dxfId="1876" priority="3027">
      <formula>C35*100&gt;=X35</formula>
    </cfRule>
    <cfRule type="cellIs" dxfId="1875" priority="3028" operator="equal">
      <formula>0</formula>
    </cfRule>
  </conditionalFormatting>
  <conditionalFormatting sqref="X36">
    <cfRule type="expression" dxfId="1874" priority="3025">
      <formula>C36*100&gt;=X36</formula>
    </cfRule>
    <cfRule type="cellIs" dxfId="1873" priority="3026" operator="equal">
      <formula>0</formula>
    </cfRule>
  </conditionalFormatting>
  <conditionalFormatting sqref="X37">
    <cfRule type="expression" dxfId="1872" priority="3023">
      <formula>C37*100&gt;=X37</formula>
    </cfRule>
    <cfRule type="cellIs" dxfId="1871" priority="3024" operator="equal">
      <formula>0</formula>
    </cfRule>
  </conditionalFormatting>
  <conditionalFormatting sqref="X38">
    <cfRule type="expression" dxfId="1870" priority="3021">
      <formula>C38*100&gt;=X38</formula>
    </cfRule>
    <cfRule type="cellIs" dxfId="1869" priority="3022" operator="equal">
      <formula>0</formula>
    </cfRule>
  </conditionalFormatting>
  <conditionalFormatting sqref="X39">
    <cfRule type="expression" dxfId="1868" priority="3019">
      <formula>C39*100&gt;=X39</formula>
    </cfRule>
    <cfRule type="cellIs" dxfId="1867" priority="3020" operator="equal">
      <formula>0</formula>
    </cfRule>
  </conditionalFormatting>
  <conditionalFormatting sqref="X40">
    <cfRule type="expression" dxfId="1866" priority="3017">
      <formula>C40*100&gt;=X40</formula>
    </cfRule>
    <cfRule type="cellIs" dxfId="1865" priority="3018" operator="equal">
      <formula>0</formula>
    </cfRule>
  </conditionalFormatting>
  <conditionalFormatting sqref="X41">
    <cfRule type="expression" dxfId="1864" priority="3015">
      <formula>C41*100&gt;=X41</formula>
    </cfRule>
    <cfRule type="cellIs" dxfId="1863" priority="3016" operator="equal">
      <formula>0</formula>
    </cfRule>
  </conditionalFormatting>
  <conditionalFormatting sqref="X42">
    <cfRule type="expression" dxfId="1862" priority="3013">
      <formula>C42*100&gt;=X42</formula>
    </cfRule>
    <cfRule type="cellIs" dxfId="1861" priority="3014" operator="equal">
      <formula>0</formula>
    </cfRule>
  </conditionalFormatting>
  <conditionalFormatting sqref="X43">
    <cfRule type="expression" dxfId="1860" priority="3011">
      <formula>C43*100&gt;=X43</formula>
    </cfRule>
    <cfRule type="cellIs" dxfId="1859" priority="3012" operator="equal">
      <formula>0</formula>
    </cfRule>
  </conditionalFormatting>
  <conditionalFormatting sqref="X44">
    <cfRule type="expression" dxfId="1858" priority="3009">
      <formula>C44*100&gt;=X44</formula>
    </cfRule>
    <cfRule type="cellIs" dxfId="1857" priority="3010" operator="equal">
      <formula>0</formula>
    </cfRule>
  </conditionalFormatting>
  <conditionalFormatting sqref="X45">
    <cfRule type="expression" dxfId="1856" priority="3007">
      <formula>C45*100&gt;=X45</formula>
    </cfRule>
    <cfRule type="cellIs" dxfId="1855" priority="3008" operator="equal">
      <formula>0</formula>
    </cfRule>
  </conditionalFormatting>
  <conditionalFormatting sqref="X46">
    <cfRule type="expression" dxfId="1854" priority="3005">
      <formula>C46*100&gt;=X46</formula>
    </cfRule>
    <cfRule type="cellIs" dxfId="1853" priority="3006" operator="equal">
      <formula>0</formula>
    </cfRule>
  </conditionalFormatting>
  <conditionalFormatting sqref="X47">
    <cfRule type="expression" dxfId="1852" priority="3003">
      <formula>C47*100&gt;=X47</formula>
    </cfRule>
    <cfRule type="cellIs" dxfId="1851" priority="3004" operator="equal">
      <formula>0</formula>
    </cfRule>
  </conditionalFormatting>
  <conditionalFormatting sqref="X48">
    <cfRule type="expression" dxfId="1850" priority="3001">
      <formula>C48*100&gt;=X48</formula>
    </cfRule>
    <cfRule type="cellIs" dxfId="1849" priority="3002" operator="equal">
      <formula>0</formula>
    </cfRule>
  </conditionalFormatting>
  <conditionalFormatting sqref="X49">
    <cfRule type="expression" dxfId="1848" priority="2999">
      <formula>C49*100&gt;=X49</formula>
    </cfRule>
    <cfRule type="cellIs" dxfId="1847" priority="3000" operator="equal">
      <formula>0</formula>
    </cfRule>
  </conditionalFormatting>
  <conditionalFormatting sqref="X50">
    <cfRule type="expression" dxfId="1846" priority="2997">
      <formula>C50*100&gt;=X50</formula>
    </cfRule>
    <cfRule type="cellIs" dxfId="1845" priority="2998" operator="equal">
      <formula>0</formula>
    </cfRule>
  </conditionalFormatting>
  <conditionalFormatting sqref="X51">
    <cfRule type="expression" dxfId="1844" priority="2995">
      <formula>C51*100&gt;=X51</formula>
    </cfRule>
    <cfRule type="cellIs" dxfId="1843" priority="2996" operator="equal">
      <formula>0</formula>
    </cfRule>
  </conditionalFormatting>
  <conditionalFormatting sqref="X52">
    <cfRule type="expression" dxfId="1842" priority="2993">
      <formula>C52*100&gt;=X52</formula>
    </cfRule>
    <cfRule type="cellIs" dxfId="1841" priority="2994" operator="equal">
      <formula>0</formula>
    </cfRule>
  </conditionalFormatting>
  <conditionalFormatting sqref="X53">
    <cfRule type="expression" dxfId="1840" priority="2991">
      <formula>C53*100&gt;=X53</formula>
    </cfRule>
    <cfRule type="cellIs" dxfId="1839" priority="2992" operator="equal">
      <formula>0</formula>
    </cfRule>
  </conditionalFormatting>
  <conditionalFormatting sqref="X54">
    <cfRule type="expression" dxfId="1838" priority="2989">
      <formula>C54*100&gt;=X54</formula>
    </cfRule>
    <cfRule type="cellIs" dxfId="1837" priority="2990" operator="equal">
      <formula>0</formula>
    </cfRule>
  </conditionalFormatting>
  <conditionalFormatting sqref="X55">
    <cfRule type="expression" dxfId="1836" priority="2987">
      <formula>C55*100&gt;=X55</formula>
    </cfRule>
    <cfRule type="cellIs" dxfId="1835" priority="2988" operator="equal">
      <formula>0</formula>
    </cfRule>
  </conditionalFormatting>
  <conditionalFormatting sqref="X56">
    <cfRule type="expression" dxfId="1834" priority="2985">
      <formula>C56*100&gt;=X56</formula>
    </cfRule>
    <cfRule type="cellIs" dxfId="1833" priority="2986" operator="equal">
      <formula>0</formula>
    </cfRule>
  </conditionalFormatting>
  <conditionalFormatting sqref="X57">
    <cfRule type="expression" dxfId="1832" priority="2983">
      <formula>C57*100&gt;=X57</formula>
    </cfRule>
    <cfRule type="cellIs" dxfId="1831" priority="2984" operator="equal">
      <formula>0</formula>
    </cfRule>
  </conditionalFormatting>
  <conditionalFormatting sqref="X58">
    <cfRule type="expression" dxfId="1830" priority="2981">
      <formula>C58*100&gt;=X58</formula>
    </cfRule>
    <cfRule type="cellIs" dxfId="1829" priority="2982" operator="equal">
      <formula>0</formula>
    </cfRule>
  </conditionalFormatting>
  <conditionalFormatting sqref="X59">
    <cfRule type="expression" dxfId="1828" priority="2979">
      <formula>C59*100&gt;=X59</formula>
    </cfRule>
    <cfRule type="cellIs" dxfId="1827" priority="2980" operator="equal">
      <formula>0</formula>
    </cfRule>
  </conditionalFormatting>
  <conditionalFormatting sqref="A27 A29">
    <cfRule type="expression" dxfId="1826" priority="1885">
      <formula>D27&lt;F27</formula>
    </cfRule>
    <cfRule type="expression" dxfId="1825" priority="1886">
      <formula>C27&gt;F27</formula>
    </cfRule>
  </conditionalFormatting>
  <conditionalFormatting sqref="A26">
    <cfRule type="expression" dxfId="1824" priority="1883">
      <formula>D26&lt;F26</formula>
    </cfRule>
    <cfRule type="expression" dxfId="1823" priority="1884">
      <formula>C26&gt;F26</formula>
    </cfRule>
  </conditionalFormatting>
  <conditionalFormatting sqref="A169">
    <cfRule type="expression" dxfId="1822" priority="1689">
      <formula>D169&lt;F169</formula>
    </cfRule>
    <cfRule type="expression" dxfId="1821" priority="1690">
      <formula>C169&gt;F169</formula>
    </cfRule>
  </conditionalFormatting>
  <conditionalFormatting sqref="A168">
    <cfRule type="expression" dxfId="1820" priority="1687">
      <formula>D168&lt;F168</formula>
    </cfRule>
    <cfRule type="expression" dxfId="1819" priority="1688">
      <formula>C168&gt;F168</formula>
    </cfRule>
  </conditionalFormatting>
  <conditionalFormatting sqref="A167">
    <cfRule type="expression" dxfId="1818" priority="1685">
      <formula>D167&lt;F167</formula>
    </cfRule>
    <cfRule type="expression" dxfId="1817" priority="1686">
      <formula>C167&gt;F167</formula>
    </cfRule>
  </conditionalFormatting>
  <conditionalFormatting sqref="A166">
    <cfRule type="expression" dxfId="1816" priority="1683">
      <formula>D166&lt;F166</formula>
    </cfRule>
    <cfRule type="expression" dxfId="1815" priority="1684">
      <formula>C166&gt;F166</formula>
    </cfRule>
  </conditionalFormatting>
  <conditionalFormatting sqref="A165">
    <cfRule type="expression" dxfId="1814" priority="1681">
      <formula>D165&lt;F165</formula>
    </cfRule>
    <cfRule type="expression" dxfId="1813" priority="1682">
      <formula>C165&gt;F165</formula>
    </cfRule>
  </conditionalFormatting>
  <conditionalFormatting sqref="A164">
    <cfRule type="expression" dxfId="1812" priority="1679">
      <formula>D164&lt;F164</formula>
    </cfRule>
    <cfRule type="expression" dxfId="1811" priority="1680">
      <formula>C164&gt;F164</formula>
    </cfRule>
  </conditionalFormatting>
  <conditionalFormatting sqref="A175">
    <cfRule type="expression" dxfId="1810" priority="1677">
      <formula>D175&lt;F175</formula>
    </cfRule>
    <cfRule type="expression" dxfId="1809" priority="1678">
      <formula>C175&gt;F175</formula>
    </cfRule>
  </conditionalFormatting>
  <conditionalFormatting sqref="A174">
    <cfRule type="expression" dxfId="1808" priority="1675">
      <formula>D174&lt;F174</formula>
    </cfRule>
    <cfRule type="expression" dxfId="1807" priority="1676">
      <formula>C174&gt;F174</formula>
    </cfRule>
  </conditionalFormatting>
  <conditionalFormatting sqref="A173">
    <cfRule type="expression" dxfId="1806" priority="1673">
      <formula>D173&lt;F173</formula>
    </cfRule>
    <cfRule type="expression" dxfId="1805" priority="1674">
      <formula>C173&gt;F173</formula>
    </cfRule>
  </conditionalFormatting>
  <conditionalFormatting sqref="A172">
    <cfRule type="expression" dxfId="1804" priority="1671">
      <formula>D172&lt;F172</formula>
    </cfRule>
    <cfRule type="expression" dxfId="1803" priority="1672">
      <formula>C172&gt;F172</formula>
    </cfRule>
  </conditionalFormatting>
  <conditionalFormatting sqref="A171">
    <cfRule type="expression" dxfId="1802" priority="1669">
      <formula>D171&lt;F171</formula>
    </cfRule>
    <cfRule type="expression" dxfId="1801" priority="1670">
      <formula>C171&gt;F171</formula>
    </cfRule>
  </conditionalFormatting>
  <conditionalFormatting sqref="A170">
    <cfRule type="expression" dxfId="1800" priority="1667">
      <formula>D170&lt;F170</formula>
    </cfRule>
    <cfRule type="expression" dxfId="1799" priority="1668">
      <formula>C170&gt;F170</formula>
    </cfRule>
  </conditionalFormatting>
  <conditionalFormatting sqref="A181">
    <cfRule type="expression" dxfId="1798" priority="1665">
      <formula>D181&lt;F181</formula>
    </cfRule>
    <cfRule type="expression" dxfId="1797" priority="1666">
      <formula>C181&gt;F181</formula>
    </cfRule>
  </conditionalFormatting>
  <conditionalFormatting sqref="A180">
    <cfRule type="expression" dxfId="1796" priority="1663">
      <formula>D180&lt;F180</formula>
    </cfRule>
    <cfRule type="expression" dxfId="1795" priority="1664">
      <formula>C180&gt;F180</formula>
    </cfRule>
  </conditionalFormatting>
  <conditionalFormatting sqref="A179">
    <cfRule type="expression" dxfId="1794" priority="1661">
      <formula>D179&lt;F179</formula>
    </cfRule>
    <cfRule type="expression" dxfId="1793" priority="1662">
      <formula>C179&gt;F179</formula>
    </cfRule>
  </conditionalFormatting>
  <conditionalFormatting sqref="A178">
    <cfRule type="expression" dxfId="1792" priority="1659">
      <formula>D178&lt;F178</formula>
    </cfRule>
    <cfRule type="expression" dxfId="1791" priority="1660">
      <formula>C178&gt;F178</formula>
    </cfRule>
  </conditionalFormatting>
  <conditionalFormatting sqref="A177">
    <cfRule type="expression" dxfId="1790" priority="1657">
      <formula>D177&lt;F177</formula>
    </cfRule>
    <cfRule type="expression" dxfId="1789" priority="1658">
      <formula>C177&gt;F177</formula>
    </cfRule>
  </conditionalFormatting>
  <conditionalFormatting sqref="A176">
    <cfRule type="expression" dxfId="1788" priority="1655">
      <formula>D176&lt;F176</formula>
    </cfRule>
    <cfRule type="expression" dxfId="1787" priority="1656">
      <formula>C176&gt;F176</formula>
    </cfRule>
  </conditionalFormatting>
  <conditionalFormatting sqref="A187">
    <cfRule type="expression" dxfId="1786" priority="1653">
      <formula>D187&lt;F187</formula>
    </cfRule>
    <cfRule type="expression" dxfId="1785" priority="1654">
      <formula>C187&gt;F187</formula>
    </cfRule>
  </conditionalFormatting>
  <conditionalFormatting sqref="A186">
    <cfRule type="expression" dxfId="1784" priority="1651">
      <formula>D186&lt;F186</formula>
    </cfRule>
    <cfRule type="expression" dxfId="1783" priority="1652">
      <formula>C186&gt;F186</formula>
    </cfRule>
  </conditionalFormatting>
  <conditionalFormatting sqref="A185">
    <cfRule type="expression" dxfId="1782" priority="1649">
      <formula>D185&lt;F185</formula>
    </cfRule>
    <cfRule type="expression" dxfId="1781" priority="1650">
      <formula>C185&gt;F185</formula>
    </cfRule>
  </conditionalFormatting>
  <conditionalFormatting sqref="A184">
    <cfRule type="expression" dxfId="1780" priority="1647">
      <formula>D184&lt;F184</formula>
    </cfRule>
    <cfRule type="expression" dxfId="1779" priority="1648">
      <formula>C184&gt;F184</formula>
    </cfRule>
  </conditionalFormatting>
  <conditionalFormatting sqref="A183">
    <cfRule type="expression" dxfId="1778" priority="1645">
      <formula>D183&lt;F183</formula>
    </cfRule>
    <cfRule type="expression" dxfId="1777" priority="1646">
      <formula>C183&gt;F183</formula>
    </cfRule>
  </conditionalFormatting>
  <conditionalFormatting sqref="A182">
    <cfRule type="expression" dxfId="1776" priority="1643">
      <formula>D182&lt;F182</formula>
    </cfRule>
    <cfRule type="expression" dxfId="1775" priority="1644">
      <formula>C182&gt;F182</formula>
    </cfRule>
  </conditionalFormatting>
  <conditionalFormatting sqref="A193">
    <cfRule type="expression" dxfId="1774" priority="1641">
      <formula>D193&lt;F193</formula>
    </cfRule>
    <cfRule type="expression" dxfId="1773" priority="1642">
      <formula>C193&gt;F193</formula>
    </cfRule>
  </conditionalFormatting>
  <conditionalFormatting sqref="A192">
    <cfRule type="expression" dxfId="1772" priority="1639">
      <formula>D192&lt;F192</formula>
    </cfRule>
    <cfRule type="expression" dxfId="1771" priority="1640">
      <formula>C192&gt;F192</formula>
    </cfRule>
  </conditionalFormatting>
  <conditionalFormatting sqref="A191">
    <cfRule type="expression" dxfId="1770" priority="1637">
      <formula>D191&lt;F191</formula>
    </cfRule>
    <cfRule type="expression" dxfId="1769" priority="1638">
      <formula>C191&gt;F191</formula>
    </cfRule>
  </conditionalFormatting>
  <conditionalFormatting sqref="A190">
    <cfRule type="expression" dxfId="1768" priority="1635">
      <formula>D190&lt;F190</formula>
    </cfRule>
    <cfRule type="expression" dxfId="1767" priority="1636">
      <formula>C190&gt;F190</formula>
    </cfRule>
  </conditionalFormatting>
  <conditionalFormatting sqref="A189">
    <cfRule type="expression" dxfId="1766" priority="1633">
      <formula>D189&lt;F189</formula>
    </cfRule>
    <cfRule type="expression" dxfId="1765" priority="1634">
      <formula>C189&gt;F189</formula>
    </cfRule>
  </conditionalFormatting>
  <conditionalFormatting sqref="A188">
    <cfRule type="expression" dxfId="1764" priority="1631">
      <formula>D188&lt;F188</formula>
    </cfRule>
    <cfRule type="expression" dxfId="1763" priority="1632">
      <formula>C188&gt;F188</formula>
    </cfRule>
  </conditionalFormatting>
  <conditionalFormatting sqref="A199">
    <cfRule type="expression" dxfId="1762" priority="1629">
      <formula>D199&lt;F199</formula>
    </cfRule>
    <cfRule type="expression" dxfId="1761" priority="1630">
      <formula>C199&gt;F199</formula>
    </cfRule>
  </conditionalFormatting>
  <conditionalFormatting sqref="A198">
    <cfRule type="expression" dxfId="1760" priority="1627">
      <formula>D198&lt;F198</formula>
    </cfRule>
    <cfRule type="expression" dxfId="1759" priority="1628">
      <formula>C198&gt;F198</formula>
    </cfRule>
  </conditionalFormatting>
  <conditionalFormatting sqref="A197">
    <cfRule type="expression" dxfId="1758" priority="1625">
      <formula>D197&lt;F197</formula>
    </cfRule>
    <cfRule type="expression" dxfId="1757" priority="1626">
      <formula>C197&gt;F197</formula>
    </cfRule>
  </conditionalFormatting>
  <conditionalFormatting sqref="A196">
    <cfRule type="expression" dxfId="1756" priority="1623">
      <formula>D196&lt;F196</formula>
    </cfRule>
    <cfRule type="expression" dxfId="1755" priority="1624">
      <formula>C196&gt;F196</formula>
    </cfRule>
  </conditionalFormatting>
  <conditionalFormatting sqref="A195">
    <cfRule type="expression" dxfId="1754" priority="1621">
      <formula>D195&lt;F195</formula>
    </cfRule>
    <cfRule type="expression" dxfId="1753" priority="1622">
      <formula>C195&gt;F195</formula>
    </cfRule>
  </conditionalFormatting>
  <conditionalFormatting sqref="A194">
    <cfRule type="expression" dxfId="1752" priority="1619">
      <formula>D194&lt;F194</formula>
    </cfRule>
    <cfRule type="expression" dxfId="1751" priority="1620">
      <formula>C194&gt;F194</formula>
    </cfRule>
  </conditionalFormatting>
  <conditionalFormatting sqref="G30:G39">
    <cfRule type="cellIs" dxfId="1750" priority="1614" operator="lessThan">
      <formula>0</formula>
    </cfRule>
    <cfRule type="cellIs" dxfId="1749" priority="1615" operator="greaterThan">
      <formula>0</formula>
    </cfRule>
  </conditionalFormatting>
  <conditionalFormatting sqref="V2:V57">
    <cfRule type="cellIs" dxfId="1748" priority="1466" operator="lessThan">
      <formula>0</formula>
    </cfRule>
    <cfRule type="cellIs" dxfId="1747" priority="1467" operator="equal">
      <formula>0</formula>
    </cfRule>
  </conditionalFormatting>
  <conditionalFormatting sqref="W33">
    <cfRule type="cellIs" dxfId="1746" priority="1416" operator="equal">
      <formula>"STOP"</formula>
    </cfRule>
    <cfRule type="expression" dxfId="1745" priority="1417">
      <formula>X33&gt;F33*100</formula>
    </cfRule>
    <cfRule type="cellIs" dxfId="1744" priority="1419" operator="equal">
      <formula>0</formula>
    </cfRule>
  </conditionalFormatting>
  <conditionalFormatting sqref="W33">
    <cfRule type="cellIs" dxfId="1743" priority="1418" operator="equal">
      <formula>"TRAILING"</formula>
    </cfRule>
  </conditionalFormatting>
  <conditionalFormatting sqref="W32">
    <cfRule type="cellIs" dxfId="1742" priority="1412" operator="equal">
      <formula>"STOP"</formula>
    </cfRule>
    <cfRule type="expression" dxfId="1741" priority="1413">
      <formula>X32&gt;F32*100</formula>
    </cfRule>
    <cfRule type="cellIs" dxfId="1740" priority="1415" operator="equal">
      <formula>0</formula>
    </cfRule>
  </conditionalFormatting>
  <conditionalFormatting sqref="W32">
    <cfRule type="cellIs" dxfId="1739" priority="1414" operator="equal">
      <formula>"TRAILING"</formula>
    </cfRule>
  </conditionalFormatting>
  <conditionalFormatting sqref="W31">
    <cfRule type="cellIs" dxfId="1738" priority="1408" operator="equal">
      <formula>"STOP"</formula>
    </cfRule>
    <cfRule type="expression" dxfId="1737" priority="1409">
      <formula>X31&gt;F31*100</formula>
    </cfRule>
    <cfRule type="cellIs" dxfId="1736" priority="1411" operator="equal">
      <formula>0</formula>
    </cfRule>
  </conditionalFormatting>
  <conditionalFormatting sqref="W31">
    <cfRule type="cellIs" dxfId="1735" priority="1410" operator="equal">
      <formula>"TRAILING"</formula>
    </cfRule>
  </conditionalFormatting>
  <conditionalFormatting sqref="W30">
    <cfRule type="cellIs" dxfId="1734" priority="1404" operator="equal">
      <formula>"STOP"</formula>
    </cfRule>
    <cfRule type="expression" dxfId="1733" priority="1405">
      <formula>X30&gt;F30*100</formula>
    </cfRule>
    <cfRule type="cellIs" dxfId="1732" priority="1407" operator="equal">
      <formula>0</formula>
    </cfRule>
  </conditionalFormatting>
  <conditionalFormatting sqref="W30">
    <cfRule type="cellIs" dxfId="1731" priority="1406" operator="equal">
      <formula>"TRAILING"</formula>
    </cfRule>
  </conditionalFormatting>
  <conditionalFormatting sqref="W35">
    <cfRule type="cellIs" dxfId="1730" priority="1396" operator="equal">
      <formula>"STOP"</formula>
    </cfRule>
    <cfRule type="expression" dxfId="1729" priority="1397">
      <formula>X35&gt;F35*100</formula>
    </cfRule>
    <cfRule type="cellIs" dxfId="1728" priority="1399" operator="equal">
      <formula>0</formula>
    </cfRule>
  </conditionalFormatting>
  <conditionalFormatting sqref="W35">
    <cfRule type="cellIs" dxfId="1727" priority="1398" operator="equal">
      <formula>"TRAILING"</formula>
    </cfRule>
  </conditionalFormatting>
  <conditionalFormatting sqref="W34">
    <cfRule type="cellIs" dxfId="1726" priority="1392" operator="equal">
      <formula>"STOP"</formula>
    </cfRule>
    <cfRule type="expression" dxfId="1725" priority="1393">
      <formula>X34&gt;F34*100</formula>
    </cfRule>
    <cfRule type="cellIs" dxfId="1724" priority="1395" operator="equal">
      <formula>0</formula>
    </cfRule>
  </conditionalFormatting>
  <conditionalFormatting sqref="W34">
    <cfRule type="cellIs" dxfId="1723" priority="1394" operator="equal">
      <formula>"TRAILING"</formula>
    </cfRule>
  </conditionalFormatting>
  <conditionalFormatting sqref="W37">
    <cfRule type="cellIs" dxfId="1722" priority="1388" operator="equal">
      <formula>"STOP"</formula>
    </cfRule>
    <cfRule type="expression" dxfId="1721" priority="1389">
      <formula>X37&gt;F37*100</formula>
    </cfRule>
    <cfRule type="cellIs" dxfId="1720" priority="1391" operator="equal">
      <formula>0</formula>
    </cfRule>
  </conditionalFormatting>
  <conditionalFormatting sqref="W37">
    <cfRule type="cellIs" dxfId="1719" priority="1390" operator="equal">
      <formula>"TRAILING"</formula>
    </cfRule>
  </conditionalFormatting>
  <conditionalFormatting sqref="W36">
    <cfRule type="cellIs" dxfId="1718" priority="1384" operator="equal">
      <formula>"STOP"</formula>
    </cfRule>
    <cfRule type="expression" dxfId="1717" priority="1385">
      <formula>X36&gt;F36*100</formula>
    </cfRule>
    <cfRule type="cellIs" dxfId="1716" priority="1387" operator="equal">
      <formula>0</formula>
    </cfRule>
  </conditionalFormatting>
  <conditionalFormatting sqref="W36">
    <cfRule type="cellIs" dxfId="1715" priority="1386" operator="equal">
      <formula>"TRAILING"</formula>
    </cfRule>
  </conditionalFormatting>
  <conditionalFormatting sqref="W39">
    <cfRule type="cellIs" dxfId="1714" priority="1380" operator="equal">
      <formula>"STOP"</formula>
    </cfRule>
    <cfRule type="expression" dxfId="1713" priority="1381">
      <formula>X39&gt;F39*100</formula>
    </cfRule>
    <cfRule type="cellIs" dxfId="1712" priority="1383" operator="equal">
      <formula>0</formula>
    </cfRule>
  </conditionalFormatting>
  <conditionalFormatting sqref="W39">
    <cfRule type="cellIs" dxfId="1711" priority="1382" operator="equal">
      <formula>"TRAILING"</formula>
    </cfRule>
  </conditionalFormatting>
  <conditionalFormatting sqref="W38">
    <cfRule type="cellIs" dxfId="1710" priority="1376" operator="equal">
      <formula>"STOP"</formula>
    </cfRule>
    <cfRule type="expression" dxfId="1709" priority="1377">
      <formula>X38&gt;F38*100</formula>
    </cfRule>
    <cfRule type="cellIs" dxfId="1708" priority="1379" operator="equal">
      <formula>0</formula>
    </cfRule>
  </conditionalFormatting>
  <conditionalFormatting sqref="W38">
    <cfRule type="cellIs" dxfId="1707" priority="1378" operator="equal">
      <formula>"TRAILING"</formula>
    </cfRule>
  </conditionalFormatting>
  <conditionalFormatting sqref="W43">
    <cfRule type="cellIs" dxfId="1706" priority="1372" operator="equal">
      <formula>"STOP"</formula>
    </cfRule>
    <cfRule type="expression" dxfId="1705" priority="1373">
      <formula>X43&gt;F43*100</formula>
    </cfRule>
    <cfRule type="cellIs" dxfId="1704" priority="1375" operator="equal">
      <formula>0</formula>
    </cfRule>
  </conditionalFormatting>
  <conditionalFormatting sqref="W43">
    <cfRule type="cellIs" dxfId="1703" priority="1374" operator="equal">
      <formula>"TRAILING"</formula>
    </cfRule>
  </conditionalFormatting>
  <conditionalFormatting sqref="W42">
    <cfRule type="cellIs" dxfId="1702" priority="1368" operator="equal">
      <formula>"STOP"</formula>
    </cfRule>
    <cfRule type="expression" dxfId="1701" priority="1369">
      <formula>X42&gt;F42*100</formula>
    </cfRule>
    <cfRule type="cellIs" dxfId="1700" priority="1371" operator="equal">
      <formula>0</formula>
    </cfRule>
  </conditionalFormatting>
  <conditionalFormatting sqref="W42">
    <cfRule type="cellIs" dxfId="1699" priority="1370" operator="equal">
      <formula>"TRAILING"</formula>
    </cfRule>
  </conditionalFormatting>
  <conditionalFormatting sqref="W41">
    <cfRule type="cellIs" dxfId="1698" priority="1364" operator="equal">
      <formula>"STOP"</formula>
    </cfRule>
    <cfRule type="expression" dxfId="1697" priority="1365">
      <formula>X41&gt;F41*100</formula>
    </cfRule>
    <cfRule type="cellIs" dxfId="1696" priority="1367" operator="equal">
      <formula>0</formula>
    </cfRule>
  </conditionalFormatting>
  <conditionalFormatting sqref="W41">
    <cfRule type="cellIs" dxfId="1695" priority="1366" operator="equal">
      <formula>"TRAILING"</formula>
    </cfRule>
  </conditionalFormatting>
  <conditionalFormatting sqref="W40">
    <cfRule type="cellIs" dxfId="1694" priority="1360" operator="equal">
      <formula>"STOP"</formula>
    </cfRule>
    <cfRule type="expression" dxfId="1693" priority="1361">
      <formula>X40&gt;F40*100</formula>
    </cfRule>
    <cfRule type="cellIs" dxfId="1692" priority="1363" operator="equal">
      <formula>0</formula>
    </cfRule>
  </conditionalFormatting>
  <conditionalFormatting sqref="W40">
    <cfRule type="cellIs" dxfId="1691" priority="1362" operator="equal">
      <formula>"TRAILING"</formula>
    </cfRule>
  </conditionalFormatting>
  <conditionalFormatting sqref="W45">
    <cfRule type="cellIs" dxfId="1690" priority="1356" operator="equal">
      <formula>"STOP"</formula>
    </cfRule>
    <cfRule type="expression" dxfId="1689" priority="1357">
      <formula>X45&gt;F45*100</formula>
    </cfRule>
    <cfRule type="cellIs" dxfId="1688" priority="1359" operator="equal">
      <formula>0</formula>
    </cfRule>
  </conditionalFormatting>
  <conditionalFormatting sqref="W45">
    <cfRule type="cellIs" dxfId="1687" priority="1358" operator="equal">
      <formula>"TRAILING"</formula>
    </cfRule>
  </conditionalFormatting>
  <conditionalFormatting sqref="W44">
    <cfRule type="cellIs" dxfId="1686" priority="1352" operator="equal">
      <formula>"STOP"</formula>
    </cfRule>
    <cfRule type="expression" dxfId="1685" priority="1353">
      <formula>X44&gt;F44*100</formula>
    </cfRule>
    <cfRule type="cellIs" dxfId="1684" priority="1355" operator="equal">
      <formula>0</formula>
    </cfRule>
  </conditionalFormatting>
  <conditionalFormatting sqref="W44">
    <cfRule type="cellIs" dxfId="1683" priority="1354" operator="equal">
      <formula>"TRAILING"</formula>
    </cfRule>
  </conditionalFormatting>
  <conditionalFormatting sqref="W47">
    <cfRule type="cellIs" dxfId="1682" priority="1348" operator="equal">
      <formula>"STOP"</formula>
    </cfRule>
    <cfRule type="expression" dxfId="1681" priority="1349">
      <formula>X47&gt;F47*100</formula>
    </cfRule>
    <cfRule type="cellIs" dxfId="1680" priority="1351" operator="equal">
      <formula>0</formula>
    </cfRule>
  </conditionalFormatting>
  <conditionalFormatting sqref="W47">
    <cfRule type="cellIs" dxfId="1679" priority="1350" operator="equal">
      <formula>"TRAILING"</formula>
    </cfRule>
  </conditionalFormatting>
  <conditionalFormatting sqref="W46">
    <cfRule type="cellIs" dxfId="1678" priority="1344" operator="equal">
      <formula>"STOP"</formula>
    </cfRule>
    <cfRule type="expression" dxfId="1677" priority="1345">
      <formula>X46&gt;F46*100</formula>
    </cfRule>
    <cfRule type="cellIs" dxfId="1676" priority="1347" operator="equal">
      <formula>0</formula>
    </cfRule>
  </conditionalFormatting>
  <conditionalFormatting sqref="W46">
    <cfRule type="cellIs" dxfId="1675" priority="1346" operator="equal">
      <formula>"TRAILING"</formula>
    </cfRule>
  </conditionalFormatting>
  <conditionalFormatting sqref="W49">
    <cfRule type="cellIs" dxfId="1674" priority="1340" operator="equal">
      <formula>"STOP"</formula>
    </cfRule>
    <cfRule type="expression" dxfId="1673" priority="1341">
      <formula>X49&gt;F49*100</formula>
    </cfRule>
    <cfRule type="cellIs" dxfId="1672" priority="1343" operator="equal">
      <formula>0</formula>
    </cfRule>
  </conditionalFormatting>
  <conditionalFormatting sqref="W49">
    <cfRule type="cellIs" dxfId="1671" priority="1342" operator="equal">
      <formula>"TRAILING"</formula>
    </cfRule>
  </conditionalFormatting>
  <conditionalFormatting sqref="W48">
    <cfRule type="cellIs" dxfId="1670" priority="1336" operator="equal">
      <formula>"STOP"</formula>
    </cfRule>
    <cfRule type="expression" dxfId="1669" priority="1337">
      <formula>X48&gt;F48*100</formula>
    </cfRule>
    <cfRule type="cellIs" dxfId="1668" priority="1339" operator="equal">
      <formula>0</formula>
    </cfRule>
  </conditionalFormatting>
  <conditionalFormatting sqref="W48">
    <cfRule type="cellIs" dxfId="1667" priority="1338" operator="equal">
      <formula>"TRAILING"</formula>
    </cfRule>
  </conditionalFormatting>
  <conditionalFormatting sqref="W53">
    <cfRule type="cellIs" dxfId="1666" priority="1332" operator="equal">
      <formula>"STOP"</formula>
    </cfRule>
    <cfRule type="expression" dxfId="1665" priority="1333">
      <formula>X53&gt;F53*100</formula>
    </cfRule>
    <cfRule type="cellIs" dxfId="1664" priority="1335" operator="equal">
      <formula>0</formula>
    </cfRule>
  </conditionalFormatting>
  <conditionalFormatting sqref="W53">
    <cfRule type="cellIs" dxfId="1663" priority="1334" operator="equal">
      <formula>"TRAILING"</formula>
    </cfRule>
  </conditionalFormatting>
  <conditionalFormatting sqref="W52">
    <cfRule type="cellIs" dxfId="1662" priority="1328" operator="equal">
      <formula>"STOP"</formula>
    </cfRule>
    <cfRule type="expression" dxfId="1661" priority="1329">
      <formula>X52&gt;F52*100</formula>
    </cfRule>
    <cfRule type="cellIs" dxfId="1660" priority="1331" operator="equal">
      <formula>0</formula>
    </cfRule>
  </conditionalFormatting>
  <conditionalFormatting sqref="W52">
    <cfRule type="cellIs" dxfId="1659" priority="1330" operator="equal">
      <formula>"TRAILING"</formula>
    </cfRule>
  </conditionalFormatting>
  <conditionalFormatting sqref="W51">
    <cfRule type="cellIs" dxfId="1658" priority="1324" operator="equal">
      <formula>"STOP"</formula>
    </cfRule>
    <cfRule type="expression" dxfId="1657" priority="1325">
      <formula>X51&gt;F51*100</formula>
    </cfRule>
    <cfRule type="cellIs" dxfId="1656" priority="1327" operator="equal">
      <formula>0</formula>
    </cfRule>
  </conditionalFormatting>
  <conditionalFormatting sqref="W51">
    <cfRule type="cellIs" dxfId="1655" priority="1326" operator="equal">
      <formula>"TRAILING"</formula>
    </cfRule>
  </conditionalFormatting>
  <conditionalFormatting sqref="W50">
    <cfRule type="cellIs" dxfId="1654" priority="1320" operator="equal">
      <formula>"STOP"</formula>
    </cfRule>
    <cfRule type="expression" dxfId="1653" priority="1321">
      <formula>X50&gt;F50*100</formula>
    </cfRule>
    <cfRule type="cellIs" dxfId="1652" priority="1323" operator="equal">
      <formula>0</formula>
    </cfRule>
  </conditionalFormatting>
  <conditionalFormatting sqref="W50">
    <cfRule type="cellIs" dxfId="1651" priority="1322" operator="equal">
      <formula>"TRAILING"</formula>
    </cfRule>
  </conditionalFormatting>
  <conditionalFormatting sqref="W55">
    <cfRule type="cellIs" dxfId="1650" priority="1316" operator="equal">
      <formula>"STOP"</formula>
    </cfRule>
    <cfRule type="expression" dxfId="1649" priority="1317">
      <formula>X55&gt;F55*100</formula>
    </cfRule>
    <cfRule type="cellIs" dxfId="1648" priority="1319" operator="equal">
      <formula>0</formula>
    </cfRule>
  </conditionalFormatting>
  <conditionalFormatting sqref="W55">
    <cfRule type="cellIs" dxfId="1647" priority="1318" operator="equal">
      <formula>"TRAILING"</formula>
    </cfRule>
  </conditionalFormatting>
  <conditionalFormatting sqref="W54">
    <cfRule type="cellIs" dxfId="1646" priority="1312" operator="equal">
      <formula>"STOP"</formula>
    </cfRule>
    <cfRule type="expression" dxfId="1645" priority="1313">
      <formula>X54&gt;F54*100</formula>
    </cfRule>
    <cfRule type="cellIs" dxfId="1644" priority="1315" operator="equal">
      <formula>0</formula>
    </cfRule>
  </conditionalFormatting>
  <conditionalFormatting sqref="W54">
    <cfRule type="cellIs" dxfId="1643" priority="1314" operator="equal">
      <formula>"TRAILING"</formula>
    </cfRule>
  </conditionalFormatting>
  <conditionalFormatting sqref="W57">
    <cfRule type="cellIs" dxfId="1642" priority="1308" operator="equal">
      <formula>"STOP"</formula>
    </cfRule>
    <cfRule type="expression" dxfId="1641" priority="1309">
      <formula>X57&gt;F57*100</formula>
    </cfRule>
    <cfRule type="cellIs" dxfId="1640" priority="1311" operator="equal">
      <formula>0</formula>
    </cfRule>
  </conditionalFormatting>
  <conditionalFormatting sqref="W57">
    <cfRule type="cellIs" dxfId="1639" priority="1310" operator="equal">
      <formula>"TRAILING"</formula>
    </cfRule>
  </conditionalFormatting>
  <conditionalFormatting sqref="W56">
    <cfRule type="cellIs" dxfId="1638" priority="1304" operator="equal">
      <formula>"STOP"</formula>
    </cfRule>
    <cfRule type="expression" dxfId="1637" priority="1305">
      <formula>X56&gt;F56*100</formula>
    </cfRule>
    <cfRule type="cellIs" dxfId="1636" priority="1307" operator="equal">
      <formula>0</formula>
    </cfRule>
  </conditionalFormatting>
  <conditionalFormatting sqref="W56">
    <cfRule type="cellIs" dxfId="1635" priority="1306" operator="equal">
      <formula>"TRAILING"</formula>
    </cfRule>
  </conditionalFormatting>
  <conditionalFormatting sqref="W59">
    <cfRule type="cellIs" dxfId="1634" priority="1300" operator="equal">
      <formula>"STOP"</formula>
    </cfRule>
    <cfRule type="expression" dxfId="1633" priority="1301">
      <formula>X59&gt;F59*100</formula>
    </cfRule>
    <cfRule type="cellIs" dxfId="1632" priority="1303" operator="equal">
      <formula>0</formula>
    </cfRule>
  </conditionalFormatting>
  <conditionalFormatting sqref="W59">
    <cfRule type="cellIs" dxfId="1631" priority="1302" operator="equal">
      <formula>"TRAILING"</formula>
    </cfRule>
  </conditionalFormatting>
  <conditionalFormatting sqref="W58">
    <cfRule type="cellIs" dxfId="1630" priority="1296" operator="equal">
      <formula>"STOP"</formula>
    </cfRule>
    <cfRule type="expression" dxfId="1629" priority="1297">
      <formula>X58&gt;F58*100</formula>
    </cfRule>
    <cfRule type="cellIs" dxfId="1628" priority="1299" operator="equal">
      <formula>0</formula>
    </cfRule>
  </conditionalFormatting>
  <conditionalFormatting sqref="W58">
    <cfRule type="cellIs" dxfId="1627" priority="1298" operator="equal">
      <formula>"TRAILING"</formula>
    </cfRule>
  </conditionalFormatting>
  <conditionalFormatting sqref="W29">
    <cfRule type="cellIs" dxfId="1626" priority="1292" operator="equal">
      <formula>"STOP"</formula>
    </cfRule>
    <cfRule type="expression" dxfId="1625" priority="1293">
      <formula>X29&gt;F29*100</formula>
    </cfRule>
    <cfRule type="cellIs" dxfId="1624" priority="1295" operator="equal">
      <formula>0</formula>
    </cfRule>
  </conditionalFormatting>
  <conditionalFormatting sqref="W29">
    <cfRule type="cellIs" dxfId="1623" priority="1294" operator="equal">
      <formula>"TRAILING"</formula>
    </cfRule>
  </conditionalFormatting>
  <conditionalFormatting sqref="W28">
    <cfRule type="cellIs" dxfId="1622" priority="1288" operator="equal">
      <formula>"STOP"</formula>
    </cfRule>
    <cfRule type="expression" dxfId="1621" priority="1289">
      <formula>X28&gt;F28*100</formula>
    </cfRule>
    <cfRule type="cellIs" dxfId="1620" priority="1291" operator="equal">
      <formula>0</formula>
    </cfRule>
  </conditionalFormatting>
  <conditionalFormatting sqref="W28">
    <cfRule type="cellIs" dxfId="1619" priority="1290" operator="equal">
      <formula>"TRAILING"</formula>
    </cfRule>
  </conditionalFormatting>
  <conditionalFormatting sqref="W27">
    <cfRule type="cellIs" dxfId="1618" priority="1284" operator="equal">
      <formula>"STOP"</formula>
    </cfRule>
    <cfRule type="expression" dxfId="1617" priority="1285">
      <formula>X27&gt;F27*100</formula>
    </cfRule>
    <cfRule type="cellIs" dxfId="1616" priority="1287" operator="equal">
      <formula>0</formula>
    </cfRule>
  </conditionalFormatting>
  <conditionalFormatting sqref="W27">
    <cfRule type="cellIs" dxfId="1615" priority="1286" operator="equal">
      <formula>"TRAILING"</formula>
    </cfRule>
  </conditionalFormatting>
  <conditionalFormatting sqref="W26">
    <cfRule type="cellIs" dxfId="1614" priority="1280" operator="equal">
      <formula>"STOP"</formula>
    </cfRule>
    <cfRule type="expression" dxfId="1613" priority="1281">
      <formula>X26&gt;F26*100</formula>
    </cfRule>
    <cfRule type="cellIs" dxfId="1612" priority="1283" operator="equal">
      <formula>0</formula>
    </cfRule>
  </conditionalFormatting>
  <conditionalFormatting sqref="W26">
    <cfRule type="cellIs" dxfId="1611" priority="1282" operator="equal">
      <formula>"TRAILING"</formula>
    </cfRule>
  </conditionalFormatting>
  <conditionalFormatting sqref="W5">
    <cfRule type="cellIs" dxfId="1610" priority="1276" operator="equal">
      <formula>"STOP"</formula>
    </cfRule>
    <cfRule type="expression" dxfId="1609" priority="1277">
      <formula>X5&gt;F5*100</formula>
    </cfRule>
    <cfRule type="cellIs" dxfId="1608" priority="1279" operator="equal">
      <formula>0</formula>
    </cfRule>
  </conditionalFormatting>
  <conditionalFormatting sqref="W5">
    <cfRule type="cellIs" dxfId="1607" priority="1278" operator="equal">
      <formula>"TRAILING"</formula>
    </cfRule>
  </conditionalFormatting>
  <conditionalFormatting sqref="W4">
    <cfRule type="cellIs" dxfId="1606" priority="1272" operator="equal">
      <formula>"STOP"</formula>
    </cfRule>
    <cfRule type="expression" dxfId="1605" priority="1273">
      <formula>X4&gt;F4*100</formula>
    </cfRule>
    <cfRule type="cellIs" dxfId="1604" priority="1275" operator="equal">
      <formula>0</formula>
    </cfRule>
  </conditionalFormatting>
  <conditionalFormatting sqref="W4">
    <cfRule type="cellIs" dxfId="1603" priority="1274" operator="equal">
      <formula>"TRAILING"</formula>
    </cfRule>
  </conditionalFormatting>
  <conditionalFormatting sqref="W3">
    <cfRule type="cellIs" dxfId="1602" priority="1268" operator="equal">
      <formula>"STOP"</formula>
    </cfRule>
    <cfRule type="expression" dxfId="1601" priority="1269">
      <formula>X3&gt;F3*100</formula>
    </cfRule>
    <cfRule type="cellIs" dxfId="1600" priority="1271" operator="equal">
      <formula>0</formula>
    </cfRule>
  </conditionalFormatting>
  <conditionalFormatting sqref="W3">
    <cfRule type="cellIs" dxfId="1599" priority="1270" operator="equal">
      <formula>"TRAILING"</formula>
    </cfRule>
  </conditionalFormatting>
  <conditionalFormatting sqref="W2">
    <cfRule type="cellIs" dxfId="1598" priority="1264" operator="equal">
      <formula>"STOP"</formula>
    </cfRule>
    <cfRule type="expression" dxfId="1597" priority="1265">
      <formula>X2&gt;F2*100</formula>
    </cfRule>
    <cfRule type="cellIs" dxfId="1596" priority="1267" operator="equal">
      <formula>0</formula>
    </cfRule>
  </conditionalFormatting>
  <conditionalFormatting sqref="W2">
    <cfRule type="cellIs" dxfId="1595" priority="1266" operator="equal">
      <formula>"TRAILING"</formula>
    </cfRule>
  </conditionalFormatting>
  <conditionalFormatting sqref="W9">
    <cfRule type="cellIs" dxfId="1594" priority="1260" operator="equal">
      <formula>"STOP"</formula>
    </cfRule>
    <cfRule type="expression" dxfId="1593" priority="1261">
      <formula>X9&gt;F9*100</formula>
    </cfRule>
    <cfRule type="cellIs" dxfId="1592" priority="1263" operator="equal">
      <formula>0</formula>
    </cfRule>
  </conditionalFormatting>
  <conditionalFormatting sqref="W9">
    <cfRule type="cellIs" dxfId="1591" priority="1262" operator="equal">
      <formula>"TRAILING"</formula>
    </cfRule>
  </conditionalFormatting>
  <conditionalFormatting sqref="W8">
    <cfRule type="cellIs" dxfId="1590" priority="1256" operator="equal">
      <formula>"STOP"</formula>
    </cfRule>
    <cfRule type="expression" dxfId="1589" priority="1257">
      <formula>X8&gt;F8*100</formula>
    </cfRule>
    <cfRule type="cellIs" dxfId="1588" priority="1259" operator="equal">
      <formula>0</formula>
    </cfRule>
  </conditionalFormatting>
  <conditionalFormatting sqref="W8">
    <cfRule type="cellIs" dxfId="1587" priority="1258" operator="equal">
      <formula>"TRAILING"</formula>
    </cfRule>
  </conditionalFormatting>
  <conditionalFormatting sqref="W7">
    <cfRule type="cellIs" dxfId="1586" priority="1252" operator="equal">
      <formula>"STOP"</formula>
    </cfRule>
    <cfRule type="expression" dxfId="1585" priority="1253">
      <formula>X7&gt;F7*100</formula>
    </cfRule>
    <cfRule type="cellIs" dxfId="1584" priority="1255" operator="equal">
      <formula>0</formula>
    </cfRule>
  </conditionalFormatting>
  <conditionalFormatting sqref="W7">
    <cfRule type="cellIs" dxfId="1583" priority="1254" operator="equal">
      <formula>"TRAILING"</formula>
    </cfRule>
  </conditionalFormatting>
  <conditionalFormatting sqref="W6">
    <cfRule type="cellIs" dxfId="1582" priority="1248" operator="equal">
      <formula>"STOP"</formula>
    </cfRule>
    <cfRule type="expression" dxfId="1581" priority="1249">
      <formula>X6&gt;F6*100</formula>
    </cfRule>
    <cfRule type="cellIs" dxfId="1580" priority="1251" operator="equal">
      <formula>0</formula>
    </cfRule>
  </conditionalFormatting>
  <conditionalFormatting sqref="W6">
    <cfRule type="cellIs" dxfId="1579" priority="1250" operator="equal">
      <formula>"TRAILING"</formula>
    </cfRule>
  </conditionalFormatting>
  <conditionalFormatting sqref="W13">
    <cfRule type="cellIs" dxfId="1578" priority="1244" operator="equal">
      <formula>"STOP"</formula>
    </cfRule>
    <cfRule type="expression" dxfId="1577" priority="1245">
      <formula>X13&gt;F13*100</formula>
    </cfRule>
    <cfRule type="cellIs" dxfId="1576" priority="1247" operator="equal">
      <formula>0</formula>
    </cfRule>
  </conditionalFormatting>
  <conditionalFormatting sqref="W13">
    <cfRule type="cellIs" dxfId="1575" priority="1246" operator="equal">
      <formula>"TRAILING"</formula>
    </cfRule>
  </conditionalFormatting>
  <conditionalFormatting sqref="W12">
    <cfRule type="cellIs" dxfId="1574" priority="1240" operator="equal">
      <formula>"STOP"</formula>
    </cfRule>
    <cfRule type="expression" dxfId="1573" priority="1241">
      <formula>X12&gt;F12*100</formula>
    </cfRule>
    <cfRule type="cellIs" dxfId="1572" priority="1243" operator="equal">
      <formula>0</formula>
    </cfRule>
  </conditionalFormatting>
  <conditionalFormatting sqref="W12">
    <cfRule type="cellIs" dxfId="1571" priority="1242" operator="equal">
      <formula>"TRAILING"</formula>
    </cfRule>
  </conditionalFormatting>
  <conditionalFormatting sqref="W11">
    <cfRule type="cellIs" dxfId="1570" priority="1236" operator="equal">
      <formula>"STOP"</formula>
    </cfRule>
    <cfRule type="expression" dxfId="1569" priority="1237">
      <formula>X11&gt;F11*100</formula>
    </cfRule>
    <cfRule type="cellIs" dxfId="1568" priority="1239" operator="equal">
      <formula>0</formula>
    </cfRule>
  </conditionalFormatting>
  <conditionalFormatting sqref="W11">
    <cfRule type="cellIs" dxfId="1567" priority="1238" operator="equal">
      <formula>"TRAILING"</formula>
    </cfRule>
  </conditionalFormatting>
  <conditionalFormatting sqref="W10">
    <cfRule type="cellIs" dxfId="1566" priority="1232" operator="equal">
      <formula>"STOP"</formula>
    </cfRule>
    <cfRule type="expression" dxfId="1565" priority="1233">
      <formula>X10&gt;F10*100</formula>
    </cfRule>
    <cfRule type="cellIs" dxfId="1564" priority="1235" operator="equal">
      <formula>0</formula>
    </cfRule>
  </conditionalFormatting>
  <conditionalFormatting sqref="W10">
    <cfRule type="cellIs" dxfId="1563" priority="1234" operator="equal">
      <formula>"TRAILING"</formula>
    </cfRule>
  </conditionalFormatting>
  <conditionalFormatting sqref="W17">
    <cfRule type="cellIs" dxfId="1562" priority="1228" operator="equal">
      <formula>"STOP"</formula>
    </cfRule>
    <cfRule type="expression" dxfId="1561" priority="1229">
      <formula>X17&gt;F17*100</formula>
    </cfRule>
    <cfRule type="cellIs" dxfId="1560" priority="1231" operator="equal">
      <formula>0</formula>
    </cfRule>
  </conditionalFormatting>
  <conditionalFormatting sqref="W17">
    <cfRule type="cellIs" dxfId="1559" priority="1230" operator="equal">
      <formula>"TRAILING"</formula>
    </cfRule>
  </conditionalFormatting>
  <conditionalFormatting sqref="W16">
    <cfRule type="cellIs" dxfId="1558" priority="1224" operator="equal">
      <formula>"STOP"</formula>
    </cfRule>
    <cfRule type="expression" dxfId="1557" priority="1225">
      <formula>X16&gt;F16*100</formula>
    </cfRule>
    <cfRule type="cellIs" dxfId="1556" priority="1227" operator="equal">
      <formula>0</formula>
    </cfRule>
  </conditionalFormatting>
  <conditionalFormatting sqref="W16">
    <cfRule type="cellIs" dxfId="1555" priority="1226" operator="equal">
      <formula>"TRAILING"</formula>
    </cfRule>
  </conditionalFormatting>
  <conditionalFormatting sqref="W15">
    <cfRule type="cellIs" dxfId="1554" priority="1220" operator="equal">
      <formula>"STOP"</formula>
    </cfRule>
    <cfRule type="expression" dxfId="1553" priority="1221">
      <formula>X15&gt;F15*100</formula>
    </cfRule>
    <cfRule type="cellIs" dxfId="1552" priority="1223" operator="equal">
      <formula>0</formula>
    </cfRule>
  </conditionalFormatting>
  <conditionalFormatting sqref="W15">
    <cfRule type="cellIs" dxfId="1551" priority="1222" operator="equal">
      <formula>"TRAILING"</formula>
    </cfRule>
  </conditionalFormatting>
  <conditionalFormatting sqref="W14">
    <cfRule type="cellIs" dxfId="1550" priority="1216" operator="equal">
      <formula>"STOP"</formula>
    </cfRule>
    <cfRule type="expression" dxfId="1549" priority="1217">
      <formula>X14&gt;F14*100</formula>
    </cfRule>
    <cfRule type="cellIs" dxfId="1548" priority="1219" operator="equal">
      <formula>0</formula>
    </cfRule>
  </conditionalFormatting>
  <conditionalFormatting sqref="W14">
    <cfRule type="cellIs" dxfId="1547" priority="1218" operator="equal">
      <formula>"TRAILING"</formula>
    </cfRule>
  </conditionalFormatting>
  <conditionalFormatting sqref="W21">
    <cfRule type="cellIs" dxfId="1546" priority="1212" operator="equal">
      <formula>"STOP"</formula>
    </cfRule>
    <cfRule type="expression" dxfId="1545" priority="1213">
      <formula>X21&gt;F21*100</formula>
    </cfRule>
    <cfRule type="cellIs" dxfId="1544" priority="1215" operator="equal">
      <formula>0</formula>
    </cfRule>
  </conditionalFormatting>
  <conditionalFormatting sqref="W21">
    <cfRule type="cellIs" dxfId="1543" priority="1214" operator="equal">
      <formula>"TRAILING"</formula>
    </cfRule>
  </conditionalFormatting>
  <conditionalFormatting sqref="W20">
    <cfRule type="cellIs" dxfId="1542" priority="1208" operator="equal">
      <formula>"STOP"</formula>
    </cfRule>
    <cfRule type="expression" dxfId="1541" priority="1209">
      <formula>X20&gt;F20*100</formula>
    </cfRule>
    <cfRule type="cellIs" dxfId="1540" priority="1211" operator="equal">
      <formula>0</formula>
    </cfRule>
  </conditionalFormatting>
  <conditionalFormatting sqref="W20">
    <cfRule type="cellIs" dxfId="1539" priority="1210" operator="equal">
      <formula>"TRAILING"</formula>
    </cfRule>
  </conditionalFormatting>
  <conditionalFormatting sqref="W19">
    <cfRule type="cellIs" dxfId="1538" priority="1204" operator="equal">
      <formula>"STOP"</formula>
    </cfRule>
    <cfRule type="expression" dxfId="1537" priority="1205">
      <formula>X19&gt;F19*100</formula>
    </cfRule>
    <cfRule type="cellIs" dxfId="1536" priority="1207" operator="equal">
      <formula>0</formula>
    </cfRule>
  </conditionalFormatting>
  <conditionalFormatting sqref="W19">
    <cfRule type="cellIs" dxfId="1535" priority="1206" operator="equal">
      <formula>"TRAILING"</formula>
    </cfRule>
  </conditionalFormatting>
  <conditionalFormatting sqref="W18">
    <cfRule type="cellIs" dxfId="1534" priority="1200" operator="equal">
      <formula>"STOP"</formula>
    </cfRule>
    <cfRule type="expression" dxfId="1533" priority="1201">
      <formula>X18&gt;F18*100</formula>
    </cfRule>
    <cfRule type="cellIs" dxfId="1532" priority="1203" operator="equal">
      <formula>0</formula>
    </cfRule>
  </conditionalFormatting>
  <conditionalFormatting sqref="W18">
    <cfRule type="cellIs" dxfId="1531" priority="1202" operator="equal">
      <formula>"TRAILING"</formula>
    </cfRule>
  </conditionalFormatting>
  <conditionalFormatting sqref="W25">
    <cfRule type="cellIs" dxfId="1530" priority="1196" operator="equal">
      <formula>"STOP"</formula>
    </cfRule>
    <cfRule type="expression" dxfId="1529" priority="1197">
      <formula>X25&gt;F25*100</formula>
    </cfRule>
    <cfRule type="cellIs" dxfId="1528" priority="1199" operator="equal">
      <formula>0</formula>
    </cfRule>
  </conditionalFormatting>
  <conditionalFormatting sqref="W25">
    <cfRule type="cellIs" dxfId="1527" priority="1198" operator="equal">
      <formula>"TRAILING"</formula>
    </cfRule>
  </conditionalFormatting>
  <conditionalFormatting sqref="W24">
    <cfRule type="cellIs" dxfId="1526" priority="1192" operator="equal">
      <formula>"STOP"</formula>
    </cfRule>
    <cfRule type="expression" dxfId="1525" priority="1193">
      <formula>X24&gt;F24*100</formula>
    </cfRule>
    <cfRule type="cellIs" dxfId="1524" priority="1195" operator="equal">
      <formula>0</formula>
    </cfRule>
  </conditionalFormatting>
  <conditionalFormatting sqref="W24">
    <cfRule type="cellIs" dxfId="1523" priority="1194" operator="equal">
      <formula>"TRAILING"</formula>
    </cfRule>
  </conditionalFormatting>
  <conditionalFormatting sqref="W23">
    <cfRule type="cellIs" dxfId="1522" priority="1188" operator="equal">
      <formula>"STOP"</formula>
    </cfRule>
    <cfRule type="expression" dxfId="1521" priority="1189">
      <formula>X23&gt;F23*100</formula>
    </cfRule>
    <cfRule type="cellIs" dxfId="1520" priority="1191" operator="equal">
      <formula>0</formula>
    </cfRule>
  </conditionalFormatting>
  <conditionalFormatting sqref="W23">
    <cfRule type="cellIs" dxfId="1519" priority="1190" operator="equal">
      <formula>"TRAILING"</formula>
    </cfRule>
  </conditionalFormatting>
  <conditionalFormatting sqref="W22">
    <cfRule type="cellIs" dxfId="1518" priority="1184" operator="equal">
      <formula>"STOP"</formula>
    </cfRule>
    <cfRule type="expression" dxfId="1517" priority="1185">
      <formula>X22&gt;F22*100</formula>
    </cfRule>
    <cfRule type="cellIs" dxfId="1516" priority="1187" operator="equal">
      <formula>0</formula>
    </cfRule>
  </conditionalFormatting>
  <conditionalFormatting sqref="W22">
    <cfRule type="cellIs" dxfId="1515" priority="1186" operator="equal">
      <formula>"TRAILING"</formula>
    </cfRule>
  </conditionalFormatting>
  <conditionalFormatting sqref="AB60:AB199">
    <cfRule type="cellIs" dxfId="1514" priority="1174" operator="lessThan">
      <formula>0</formula>
    </cfRule>
    <cfRule type="cellIs" dxfId="1513" priority="1175" operator="greaterThan">
      <formula>0</formula>
    </cfRule>
  </conditionalFormatting>
  <conditionalFormatting sqref="W1">
    <cfRule type="cellIs" dxfId="1512" priority="1167" operator="equal">
      <formula>"TRAILING"</formula>
    </cfRule>
  </conditionalFormatting>
  <conditionalFormatting sqref="A30">
    <cfRule type="expression" dxfId="1511" priority="1132">
      <formula>V30&lt;&gt;""</formula>
    </cfRule>
    <cfRule type="expression" dxfId="1510" priority="1133">
      <formula>D30&lt;F30</formula>
    </cfRule>
    <cfRule type="expression" dxfId="1509" priority="1134">
      <formula>C30&gt;F30</formula>
    </cfRule>
  </conditionalFormatting>
  <conditionalFormatting sqref="U60:U157">
    <cfRule type="cellIs" dxfId="1508" priority="1074" operator="equal">
      <formula>0</formula>
    </cfRule>
  </conditionalFormatting>
  <conditionalFormatting sqref="U158:U199">
    <cfRule type="cellIs" dxfId="1507" priority="1073" operator="equal">
      <formula>0</formula>
    </cfRule>
  </conditionalFormatting>
  <conditionalFormatting sqref="A60">
    <cfRule type="expression" dxfId="1506" priority="1070">
      <formula>V60&lt;&gt;""</formula>
    </cfRule>
    <cfRule type="expression" dxfId="1505" priority="1071">
      <formula>D60&lt;F60</formula>
    </cfRule>
    <cfRule type="expression" dxfId="1504" priority="1072">
      <formula>C60&gt;=F60</formula>
    </cfRule>
  </conditionalFormatting>
  <conditionalFormatting sqref="A61">
    <cfRule type="expression" dxfId="1503" priority="1067">
      <formula>V61&lt;&gt;""</formula>
    </cfRule>
    <cfRule type="expression" dxfId="1502" priority="1068">
      <formula>D61&lt;F61</formula>
    </cfRule>
    <cfRule type="expression" dxfId="1501" priority="1069">
      <formula>C61&gt;=F61</formula>
    </cfRule>
  </conditionalFormatting>
  <conditionalFormatting sqref="D62">
    <cfRule type="expression" dxfId="1500" priority="1066">
      <formula>E62&gt;B62</formula>
    </cfRule>
  </conditionalFormatting>
  <conditionalFormatting sqref="C62">
    <cfRule type="expression" dxfId="1499" priority="1065">
      <formula>B62&gt;E62</formula>
    </cfRule>
  </conditionalFormatting>
  <conditionalFormatting sqref="B62">
    <cfRule type="cellIs" dxfId="1498" priority="1064" operator="greaterThan">
      <formula>E62</formula>
    </cfRule>
  </conditionalFormatting>
  <conditionalFormatting sqref="E62">
    <cfRule type="cellIs" dxfId="1497" priority="1063" operator="greaterThan">
      <formula>B62</formula>
    </cfRule>
  </conditionalFormatting>
  <conditionalFormatting sqref="D63">
    <cfRule type="expression" dxfId="1496" priority="1062">
      <formula>E63&gt;B63</formula>
    </cfRule>
  </conditionalFormatting>
  <conditionalFormatting sqref="C63">
    <cfRule type="expression" dxfId="1495" priority="1061">
      <formula>B63&gt;E63</formula>
    </cfRule>
  </conditionalFormatting>
  <conditionalFormatting sqref="B63">
    <cfRule type="cellIs" dxfId="1494" priority="1060" operator="greaterThan">
      <formula>E63</formula>
    </cfRule>
  </conditionalFormatting>
  <conditionalFormatting sqref="E63">
    <cfRule type="cellIs" dxfId="1493" priority="1059" operator="greaterThan">
      <formula>B63</formula>
    </cfRule>
  </conditionalFormatting>
  <conditionalFormatting sqref="D64">
    <cfRule type="expression" dxfId="1492" priority="1058">
      <formula>E64&gt;B64</formula>
    </cfRule>
  </conditionalFormatting>
  <conditionalFormatting sqref="C64">
    <cfRule type="expression" dxfId="1491" priority="1057">
      <formula>B64&gt;E64</formula>
    </cfRule>
  </conditionalFormatting>
  <conditionalFormatting sqref="B64">
    <cfRule type="cellIs" dxfId="1490" priority="1056" operator="greaterThan">
      <formula>E64</formula>
    </cfRule>
  </conditionalFormatting>
  <conditionalFormatting sqref="E64">
    <cfRule type="cellIs" dxfId="1489" priority="1055" operator="greaterThan">
      <formula>B64</formula>
    </cfRule>
  </conditionalFormatting>
  <conditionalFormatting sqref="D65">
    <cfRule type="expression" dxfId="1488" priority="1054">
      <formula>E65&gt;B65</formula>
    </cfRule>
  </conditionalFormatting>
  <conditionalFormatting sqref="C65">
    <cfRule type="expression" dxfId="1487" priority="1053">
      <formula>B65&gt;E65</formula>
    </cfRule>
  </conditionalFormatting>
  <conditionalFormatting sqref="B65">
    <cfRule type="cellIs" dxfId="1486" priority="1052" operator="greaterThan">
      <formula>E65</formula>
    </cfRule>
  </conditionalFormatting>
  <conditionalFormatting sqref="E65">
    <cfRule type="cellIs" dxfId="1485" priority="1051" operator="greaterThan">
      <formula>B65</formula>
    </cfRule>
  </conditionalFormatting>
  <conditionalFormatting sqref="D66">
    <cfRule type="expression" dxfId="1484" priority="1050">
      <formula>E66&gt;B66</formula>
    </cfRule>
  </conditionalFormatting>
  <conditionalFormatting sqref="C66">
    <cfRule type="expression" dxfId="1483" priority="1049">
      <formula>B66&gt;E66</formula>
    </cfRule>
  </conditionalFormatting>
  <conditionalFormatting sqref="B66">
    <cfRule type="cellIs" dxfId="1482" priority="1048" operator="greaterThan">
      <formula>E66</formula>
    </cfRule>
  </conditionalFormatting>
  <conditionalFormatting sqref="E66">
    <cfRule type="cellIs" dxfId="1481" priority="1047" operator="greaterThan">
      <formula>B66</formula>
    </cfRule>
  </conditionalFormatting>
  <conditionalFormatting sqref="D67">
    <cfRule type="expression" dxfId="1480" priority="1046">
      <formula>E67&gt;B67</formula>
    </cfRule>
  </conditionalFormatting>
  <conditionalFormatting sqref="C67">
    <cfRule type="expression" dxfId="1479" priority="1045">
      <formula>B67&gt;E67</formula>
    </cfRule>
  </conditionalFormatting>
  <conditionalFormatting sqref="B67">
    <cfRule type="cellIs" dxfId="1478" priority="1044" operator="greaterThan">
      <formula>E67</formula>
    </cfRule>
  </conditionalFormatting>
  <conditionalFormatting sqref="E67">
    <cfRule type="cellIs" dxfId="1477" priority="1043" operator="greaterThan">
      <formula>B67</formula>
    </cfRule>
  </conditionalFormatting>
  <conditionalFormatting sqref="D68">
    <cfRule type="expression" dxfId="1476" priority="1042">
      <formula>E68&gt;B68</formula>
    </cfRule>
  </conditionalFormatting>
  <conditionalFormatting sqref="C68">
    <cfRule type="expression" dxfId="1475" priority="1041">
      <formula>B68&gt;E68</formula>
    </cfRule>
  </conditionalFormatting>
  <conditionalFormatting sqref="B68">
    <cfRule type="cellIs" dxfId="1474" priority="1040" operator="greaterThan">
      <formula>E68</formula>
    </cfRule>
  </conditionalFormatting>
  <conditionalFormatting sqref="E68">
    <cfRule type="cellIs" dxfId="1473" priority="1039" operator="greaterThan">
      <formula>B68</formula>
    </cfRule>
  </conditionalFormatting>
  <conditionalFormatting sqref="D69">
    <cfRule type="expression" dxfId="1472" priority="1038">
      <formula>E69&gt;B69</formula>
    </cfRule>
  </conditionalFormatting>
  <conditionalFormatting sqref="C69">
    <cfRule type="expression" dxfId="1471" priority="1037">
      <formula>B69&gt;E69</formula>
    </cfRule>
  </conditionalFormatting>
  <conditionalFormatting sqref="B69">
    <cfRule type="cellIs" dxfId="1470" priority="1036" operator="greaterThan">
      <formula>E69</formula>
    </cfRule>
  </conditionalFormatting>
  <conditionalFormatting sqref="E69">
    <cfRule type="cellIs" dxfId="1469" priority="1035" operator="greaterThan">
      <formula>B69</formula>
    </cfRule>
  </conditionalFormatting>
  <conditionalFormatting sqref="D70">
    <cfRule type="expression" dxfId="1468" priority="1034">
      <formula>E70&gt;B70</formula>
    </cfRule>
  </conditionalFormatting>
  <conditionalFormatting sqref="C70">
    <cfRule type="expression" dxfId="1467" priority="1033">
      <formula>B70&gt;E70</formula>
    </cfRule>
  </conditionalFormatting>
  <conditionalFormatting sqref="B70">
    <cfRule type="cellIs" dxfId="1466" priority="1032" operator="greaterThan">
      <formula>E70</formula>
    </cfRule>
  </conditionalFormatting>
  <conditionalFormatting sqref="E70">
    <cfRule type="cellIs" dxfId="1465" priority="1031" operator="greaterThan">
      <formula>B70</formula>
    </cfRule>
  </conditionalFormatting>
  <conditionalFormatting sqref="D71">
    <cfRule type="expression" dxfId="1464" priority="1030">
      <formula>E71&gt;B71</formula>
    </cfRule>
  </conditionalFormatting>
  <conditionalFormatting sqref="C71">
    <cfRule type="expression" dxfId="1463" priority="1029">
      <formula>B71&gt;E71</formula>
    </cfRule>
  </conditionalFormatting>
  <conditionalFormatting sqref="B71">
    <cfRule type="cellIs" dxfId="1462" priority="1028" operator="greaterThan">
      <formula>E71</formula>
    </cfRule>
  </conditionalFormatting>
  <conditionalFormatting sqref="E71">
    <cfRule type="cellIs" dxfId="1461" priority="1027" operator="greaterThan">
      <formula>B71</formula>
    </cfRule>
  </conditionalFormatting>
  <conditionalFormatting sqref="D72">
    <cfRule type="expression" dxfId="1460" priority="1026">
      <formula>E72&gt;B72</formula>
    </cfRule>
  </conditionalFormatting>
  <conditionalFormatting sqref="C72">
    <cfRule type="expression" dxfId="1459" priority="1025">
      <formula>B72&gt;E72</formula>
    </cfRule>
  </conditionalFormatting>
  <conditionalFormatting sqref="B72">
    <cfRule type="cellIs" dxfId="1458" priority="1024" operator="greaterThan">
      <formula>E72</formula>
    </cfRule>
  </conditionalFormatting>
  <conditionalFormatting sqref="E72">
    <cfRule type="cellIs" dxfId="1457" priority="1023" operator="greaterThan">
      <formula>B72</formula>
    </cfRule>
  </conditionalFormatting>
  <conditionalFormatting sqref="D73">
    <cfRule type="expression" dxfId="1456" priority="1022">
      <formula>E73&gt;B73</formula>
    </cfRule>
  </conditionalFormatting>
  <conditionalFormatting sqref="C73">
    <cfRule type="expression" dxfId="1455" priority="1021">
      <formula>B73&gt;E73</formula>
    </cfRule>
  </conditionalFormatting>
  <conditionalFormatting sqref="B73">
    <cfRule type="cellIs" dxfId="1454" priority="1020" operator="greaterThan">
      <formula>E73</formula>
    </cfRule>
  </conditionalFormatting>
  <conditionalFormatting sqref="E73">
    <cfRule type="cellIs" dxfId="1453" priority="1019" operator="greaterThan">
      <formula>B73</formula>
    </cfRule>
  </conditionalFormatting>
  <conditionalFormatting sqref="D74">
    <cfRule type="expression" dxfId="1452" priority="1018">
      <formula>E74&gt;B74</formula>
    </cfRule>
  </conditionalFormatting>
  <conditionalFormatting sqref="C74">
    <cfRule type="expression" dxfId="1451" priority="1017">
      <formula>B74&gt;E74</formula>
    </cfRule>
  </conditionalFormatting>
  <conditionalFormatting sqref="B74">
    <cfRule type="cellIs" dxfId="1450" priority="1016" operator="greaterThan">
      <formula>E74</formula>
    </cfRule>
  </conditionalFormatting>
  <conditionalFormatting sqref="E74">
    <cfRule type="cellIs" dxfId="1449" priority="1015" operator="greaterThan">
      <formula>B74</formula>
    </cfRule>
  </conditionalFormatting>
  <conditionalFormatting sqref="D75">
    <cfRule type="expression" dxfId="1448" priority="1014">
      <formula>E75&gt;B75</formula>
    </cfRule>
  </conditionalFormatting>
  <conditionalFormatting sqref="C75">
    <cfRule type="expression" dxfId="1447" priority="1013">
      <formula>B75&gt;E75</formula>
    </cfRule>
  </conditionalFormatting>
  <conditionalFormatting sqref="B75">
    <cfRule type="cellIs" dxfId="1446" priority="1012" operator="greaterThan">
      <formula>E75</formula>
    </cfRule>
  </conditionalFormatting>
  <conditionalFormatting sqref="E75">
    <cfRule type="cellIs" dxfId="1445" priority="1011" operator="greaterThan">
      <formula>B75</formula>
    </cfRule>
  </conditionalFormatting>
  <conditionalFormatting sqref="D76">
    <cfRule type="expression" dxfId="1444" priority="1010">
      <formula>E76&gt;B76</formula>
    </cfRule>
  </conditionalFormatting>
  <conditionalFormatting sqref="C76">
    <cfRule type="expression" dxfId="1443" priority="1009">
      <formula>B76&gt;E76</formula>
    </cfRule>
  </conditionalFormatting>
  <conditionalFormatting sqref="B76">
    <cfRule type="cellIs" dxfId="1442" priority="1008" operator="greaterThan">
      <formula>E76</formula>
    </cfRule>
  </conditionalFormatting>
  <conditionalFormatting sqref="E76">
    <cfRule type="cellIs" dxfId="1441" priority="1007" operator="greaterThan">
      <formula>B76</formula>
    </cfRule>
  </conditionalFormatting>
  <conditionalFormatting sqref="D77">
    <cfRule type="expression" dxfId="1440" priority="1006">
      <formula>E77&gt;B77</formula>
    </cfRule>
  </conditionalFormatting>
  <conditionalFormatting sqref="C77">
    <cfRule type="expression" dxfId="1439" priority="1005">
      <formula>B77&gt;E77</formula>
    </cfRule>
  </conditionalFormatting>
  <conditionalFormatting sqref="B77">
    <cfRule type="cellIs" dxfId="1438" priority="1004" operator="greaterThan">
      <formula>E77</formula>
    </cfRule>
  </conditionalFormatting>
  <conditionalFormatting sqref="E77">
    <cfRule type="cellIs" dxfId="1437" priority="1003" operator="greaterThan">
      <formula>B77</formula>
    </cfRule>
  </conditionalFormatting>
  <conditionalFormatting sqref="D78">
    <cfRule type="expression" dxfId="1436" priority="1002">
      <formula>E78&gt;B78</formula>
    </cfRule>
  </conditionalFormatting>
  <conditionalFormatting sqref="C78">
    <cfRule type="expression" dxfId="1435" priority="1001">
      <formula>B78&gt;E78</formula>
    </cfRule>
  </conditionalFormatting>
  <conditionalFormatting sqref="B78">
    <cfRule type="cellIs" dxfId="1434" priority="1000" operator="greaterThan">
      <formula>E78</formula>
    </cfRule>
  </conditionalFormatting>
  <conditionalFormatting sqref="E78">
    <cfRule type="cellIs" dxfId="1433" priority="999" operator="greaterThan">
      <formula>B78</formula>
    </cfRule>
  </conditionalFormatting>
  <conditionalFormatting sqref="D79">
    <cfRule type="expression" dxfId="1432" priority="998">
      <formula>E79&gt;B79</formula>
    </cfRule>
  </conditionalFormatting>
  <conditionalFormatting sqref="C79">
    <cfRule type="expression" dxfId="1431" priority="997">
      <formula>B79&gt;E79</formula>
    </cfRule>
  </conditionalFormatting>
  <conditionalFormatting sqref="B79">
    <cfRule type="cellIs" dxfId="1430" priority="996" operator="greaterThan">
      <formula>E79</formula>
    </cfRule>
  </conditionalFormatting>
  <conditionalFormatting sqref="E79">
    <cfRule type="cellIs" dxfId="1429" priority="995" operator="greaterThan">
      <formula>B79</formula>
    </cfRule>
  </conditionalFormatting>
  <conditionalFormatting sqref="D80">
    <cfRule type="expression" dxfId="1428" priority="994">
      <formula>E80&gt;B80</formula>
    </cfRule>
  </conditionalFormatting>
  <conditionalFormatting sqref="C80">
    <cfRule type="expression" dxfId="1427" priority="993">
      <formula>B80&gt;E80</formula>
    </cfRule>
  </conditionalFormatting>
  <conditionalFormatting sqref="B80">
    <cfRule type="cellIs" dxfId="1426" priority="992" operator="greaterThan">
      <formula>E80</formula>
    </cfRule>
  </conditionalFormatting>
  <conditionalFormatting sqref="E80">
    <cfRule type="cellIs" dxfId="1425" priority="991" operator="greaterThan">
      <formula>B80</formula>
    </cfRule>
  </conditionalFormatting>
  <conditionalFormatting sqref="D81">
    <cfRule type="expression" dxfId="1424" priority="990">
      <formula>E81&gt;B81</formula>
    </cfRule>
  </conditionalFormatting>
  <conditionalFormatting sqref="C81">
    <cfRule type="expression" dxfId="1423" priority="989">
      <formula>B81&gt;E81</formula>
    </cfRule>
  </conditionalFormatting>
  <conditionalFormatting sqref="B81">
    <cfRule type="cellIs" dxfId="1422" priority="988" operator="greaterThan">
      <formula>E81</formula>
    </cfRule>
  </conditionalFormatting>
  <conditionalFormatting sqref="E81">
    <cfRule type="cellIs" dxfId="1421" priority="987" operator="greaterThan">
      <formula>B81</formula>
    </cfRule>
  </conditionalFormatting>
  <conditionalFormatting sqref="D82">
    <cfRule type="expression" dxfId="1420" priority="986">
      <formula>E82&gt;B82</formula>
    </cfRule>
  </conditionalFormatting>
  <conditionalFormatting sqref="C82">
    <cfRule type="expression" dxfId="1419" priority="985">
      <formula>B82&gt;E82</formula>
    </cfRule>
  </conditionalFormatting>
  <conditionalFormatting sqref="B82">
    <cfRule type="cellIs" dxfId="1418" priority="984" operator="greaterThan">
      <formula>E82</formula>
    </cfRule>
  </conditionalFormatting>
  <conditionalFormatting sqref="E82">
    <cfRule type="cellIs" dxfId="1417" priority="983" operator="greaterThan">
      <formula>B82</formula>
    </cfRule>
  </conditionalFormatting>
  <conditionalFormatting sqref="D83">
    <cfRule type="expression" dxfId="1416" priority="982">
      <formula>E83&gt;B83</formula>
    </cfRule>
  </conditionalFormatting>
  <conditionalFormatting sqref="C83">
    <cfRule type="expression" dxfId="1415" priority="981">
      <formula>B83&gt;E83</formula>
    </cfRule>
  </conditionalFormatting>
  <conditionalFormatting sqref="B83">
    <cfRule type="cellIs" dxfId="1414" priority="980" operator="greaterThan">
      <formula>E83</formula>
    </cfRule>
  </conditionalFormatting>
  <conditionalFormatting sqref="E83">
    <cfRule type="cellIs" dxfId="1413" priority="979" operator="greaterThan">
      <formula>B83</formula>
    </cfRule>
  </conditionalFormatting>
  <conditionalFormatting sqref="D84">
    <cfRule type="expression" dxfId="1412" priority="978">
      <formula>E84&gt;B84</formula>
    </cfRule>
  </conditionalFormatting>
  <conditionalFormatting sqref="C84">
    <cfRule type="expression" dxfId="1411" priority="977">
      <formula>B84&gt;E84</formula>
    </cfRule>
  </conditionalFormatting>
  <conditionalFormatting sqref="B84">
    <cfRule type="cellIs" dxfId="1410" priority="976" operator="greaterThan">
      <formula>E84</formula>
    </cfRule>
  </conditionalFormatting>
  <conditionalFormatting sqref="E84">
    <cfRule type="cellIs" dxfId="1409" priority="975" operator="greaterThan">
      <formula>B84</formula>
    </cfRule>
  </conditionalFormatting>
  <conditionalFormatting sqref="D85">
    <cfRule type="expression" dxfId="1408" priority="974">
      <formula>E85&gt;B85</formula>
    </cfRule>
  </conditionalFormatting>
  <conditionalFormatting sqref="C85">
    <cfRule type="expression" dxfId="1407" priority="973">
      <formula>B85&gt;E85</formula>
    </cfRule>
  </conditionalFormatting>
  <conditionalFormatting sqref="B85">
    <cfRule type="cellIs" dxfId="1406" priority="972" operator="greaterThan">
      <formula>E85</formula>
    </cfRule>
  </conditionalFormatting>
  <conditionalFormatting sqref="E85">
    <cfRule type="cellIs" dxfId="1405" priority="971" operator="greaterThan">
      <formula>B85</formula>
    </cfRule>
  </conditionalFormatting>
  <conditionalFormatting sqref="D86">
    <cfRule type="expression" dxfId="1404" priority="970">
      <formula>E86&gt;B86</formula>
    </cfRule>
  </conditionalFormatting>
  <conditionalFormatting sqref="C86">
    <cfRule type="expression" dxfId="1403" priority="969">
      <formula>B86&gt;E86</formula>
    </cfRule>
  </conditionalFormatting>
  <conditionalFormatting sqref="B86">
    <cfRule type="cellIs" dxfId="1402" priority="968" operator="greaterThan">
      <formula>E86</formula>
    </cfRule>
  </conditionalFormatting>
  <conditionalFormatting sqref="E86">
    <cfRule type="cellIs" dxfId="1401" priority="967" operator="greaterThan">
      <formula>B86</formula>
    </cfRule>
  </conditionalFormatting>
  <conditionalFormatting sqref="D87">
    <cfRule type="expression" dxfId="1400" priority="966">
      <formula>E87&gt;B87</formula>
    </cfRule>
  </conditionalFormatting>
  <conditionalFormatting sqref="C87">
    <cfRule type="expression" dxfId="1399" priority="965">
      <formula>B87&gt;E87</formula>
    </cfRule>
  </conditionalFormatting>
  <conditionalFormatting sqref="B87">
    <cfRule type="cellIs" dxfId="1398" priority="964" operator="greaterThan">
      <formula>E87</formula>
    </cfRule>
  </conditionalFormatting>
  <conditionalFormatting sqref="E87">
    <cfRule type="cellIs" dxfId="1397" priority="963" operator="greaterThan">
      <formula>B87</formula>
    </cfRule>
  </conditionalFormatting>
  <conditionalFormatting sqref="D88">
    <cfRule type="expression" dxfId="1396" priority="962">
      <formula>E88&gt;B88</formula>
    </cfRule>
  </conditionalFormatting>
  <conditionalFormatting sqref="C88">
    <cfRule type="expression" dxfId="1395" priority="961">
      <formula>B88&gt;E88</formula>
    </cfRule>
  </conditionalFormatting>
  <conditionalFormatting sqref="B88">
    <cfRule type="cellIs" dxfId="1394" priority="960" operator="greaterThan">
      <formula>E88</formula>
    </cfRule>
  </conditionalFormatting>
  <conditionalFormatting sqref="E88">
    <cfRule type="cellIs" dxfId="1393" priority="959" operator="greaterThan">
      <formula>B88</formula>
    </cfRule>
  </conditionalFormatting>
  <conditionalFormatting sqref="D89">
    <cfRule type="expression" dxfId="1392" priority="958">
      <formula>E89&gt;B89</formula>
    </cfRule>
  </conditionalFormatting>
  <conditionalFormatting sqref="C89">
    <cfRule type="expression" dxfId="1391" priority="957">
      <formula>B89&gt;E89</formula>
    </cfRule>
  </conditionalFormatting>
  <conditionalFormatting sqref="B89">
    <cfRule type="cellIs" dxfId="1390" priority="956" operator="greaterThan">
      <formula>E89</formula>
    </cfRule>
  </conditionalFormatting>
  <conditionalFormatting sqref="E89">
    <cfRule type="cellIs" dxfId="1389" priority="955" operator="greaterThan">
      <formula>B89</formula>
    </cfRule>
  </conditionalFormatting>
  <conditionalFormatting sqref="D90">
    <cfRule type="expression" dxfId="1388" priority="954">
      <formula>E90&gt;B90</formula>
    </cfRule>
  </conditionalFormatting>
  <conditionalFormatting sqref="C90">
    <cfRule type="expression" dxfId="1387" priority="953">
      <formula>B90&gt;E90</formula>
    </cfRule>
  </conditionalFormatting>
  <conditionalFormatting sqref="B90">
    <cfRule type="cellIs" dxfId="1386" priority="952" operator="greaterThan">
      <formula>E90</formula>
    </cfRule>
  </conditionalFormatting>
  <conditionalFormatting sqref="E90">
    <cfRule type="cellIs" dxfId="1385" priority="951" operator="greaterThan">
      <formula>B90</formula>
    </cfRule>
  </conditionalFormatting>
  <conditionalFormatting sqref="D91">
    <cfRule type="expression" dxfId="1384" priority="950">
      <formula>E91&gt;B91</formula>
    </cfRule>
  </conditionalFormatting>
  <conditionalFormatting sqref="C91">
    <cfRule type="expression" dxfId="1383" priority="949">
      <formula>B91&gt;E91</formula>
    </cfRule>
  </conditionalFormatting>
  <conditionalFormatting sqref="B91">
    <cfRule type="cellIs" dxfId="1382" priority="948" operator="greaterThan">
      <formula>E91</formula>
    </cfRule>
  </conditionalFormatting>
  <conditionalFormatting sqref="E91">
    <cfRule type="cellIs" dxfId="1381" priority="947" operator="greaterThan">
      <formula>B91</formula>
    </cfRule>
  </conditionalFormatting>
  <conditionalFormatting sqref="D92">
    <cfRule type="expression" dxfId="1380" priority="946">
      <formula>E92&gt;B92</formula>
    </cfRule>
  </conditionalFormatting>
  <conditionalFormatting sqref="C92">
    <cfRule type="expression" dxfId="1379" priority="945">
      <formula>B92&gt;E92</formula>
    </cfRule>
  </conditionalFormatting>
  <conditionalFormatting sqref="B92">
    <cfRule type="cellIs" dxfId="1378" priority="944" operator="greaterThan">
      <formula>E92</formula>
    </cfRule>
  </conditionalFormatting>
  <conditionalFormatting sqref="E92">
    <cfRule type="cellIs" dxfId="1377" priority="943" operator="greaterThan">
      <formula>B92</formula>
    </cfRule>
  </conditionalFormatting>
  <conditionalFormatting sqref="D93">
    <cfRule type="expression" dxfId="1376" priority="942">
      <formula>E93&gt;B93</formula>
    </cfRule>
  </conditionalFormatting>
  <conditionalFormatting sqref="C93">
    <cfRule type="expression" dxfId="1375" priority="941">
      <formula>B93&gt;E93</formula>
    </cfRule>
  </conditionalFormatting>
  <conditionalFormatting sqref="B93">
    <cfRule type="cellIs" dxfId="1374" priority="940" operator="greaterThan">
      <formula>E93</formula>
    </cfRule>
  </conditionalFormatting>
  <conditionalFormatting sqref="E93">
    <cfRule type="cellIs" dxfId="1373" priority="939" operator="greaterThan">
      <formula>B93</formula>
    </cfRule>
  </conditionalFormatting>
  <conditionalFormatting sqref="D94">
    <cfRule type="expression" dxfId="1372" priority="938">
      <formula>E94&gt;B94</formula>
    </cfRule>
  </conditionalFormatting>
  <conditionalFormatting sqref="C94">
    <cfRule type="expression" dxfId="1371" priority="937">
      <formula>B94&gt;E94</formula>
    </cfRule>
  </conditionalFormatting>
  <conditionalFormatting sqref="B94">
    <cfRule type="cellIs" dxfId="1370" priority="936" operator="greaterThan">
      <formula>E94</formula>
    </cfRule>
  </conditionalFormatting>
  <conditionalFormatting sqref="E94">
    <cfRule type="cellIs" dxfId="1369" priority="935" operator="greaterThan">
      <formula>B94</formula>
    </cfRule>
  </conditionalFormatting>
  <conditionalFormatting sqref="D95">
    <cfRule type="expression" dxfId="1368" priority="934">
      <formula>E95&gt;B95</formula>
    </cfRule>
  </conditionalFormatting>
  <conditionalFormatting sqref="C95">
    <cfRule type="expression" dxfId="1367" priority="933">
      <formula>B95&gt;E95</formula>
    </cfRule>
  </conditionalFormatting>
  <conditionalFormatting sqref="B95">
    <cfRule type="cellIs" dxfId="1366" priority="932" operator="greaterThan">
      <formula>E95</formula>
    </cfRule>
  </conditionalFormatting>
  <conditionalFormatting sqref="E95">
    <cfRule type="cellIs" dxfId="1365" priority="931" operator="greaterThan">
      <formula>B95</formula>
    </cfRule>
  </conditionalFormatting>
  <conditionalFormatting sqref="D96">
    <cfRule type="expression" dxfId="1364" priority="930">
      <formula>E96&gt;B96</formula>
    </cfRule>
  </conditionalFormatting>
  <conditionalFormatting sqref="C96">
    <cfRule type="expression" dxfId="1363" priority="929">
      <formula>B96&gt;E96</formula>
    </cfRule>
  </conditionalFormatting>
  <conditionalFormatting sqref="B96">
    <cfRule type="cellIs" dxfId="1362" priority="928" operator="greaterThan">
      <formula>E96</formula>
    </cfRule>
  </conditionalFormatting>
  <conditionalFormatting sqref="E96">
    <cfRule type="cellIs" dxfId="1361" priority="927" operator="greaterThan">
      <formula>B96</formula>
    </cfRule>
  </conditionalFormatting>
  <conditionalFormatting sqref="D97">
    <cfRule type="expression" dxfId="1360" priority="926">
      <formula>E97&gt;B97</formula>
    </cfRule>
  </conditionalFormatting>
  <conditionalFormatting sqref="C97">
    <cfRule type="expression" dxfId="1359" priority="925">
      <formula>B97&gt;E97</formula>
    </cfRule>
  </conditionalFormatting>
  <conditionalFormatting sqref="B97">
    <cfRule type="cellIs" dxfId="1358" priority="924" operator="greaterThan">
      <formula>E97</formula>
    </cfRule>
  </conditionalFormatting>
  <conditionalFormatting sqref="E97">
    <cfRule type="cellIs" dxfId="1357" priority="923" operator="greaterThan">
      <formula>B97</formula>
    </cfRule>
  </conditionalFormatting>
  <conditionalFormatting sqref="D98">
    <cfRule type="expression" dxfId="1356" priority="922">
      <formula>E98&gt;B98</formula>
    </cfRule>
  </conditionalFormatting>
  <conditionalFormatting sqref="C98">
    <cfRule type="expression" dxfId="1355" priority="921">
      <formula>B98&gt;E98</formula>
    </cfRule>
  </conditionalFormatting>
  <conditionalFormatting sqref="B98">
    <cfRule type="cellIs" dxfId="1354" priority="920" operator="greaterThan">
      <formula>E98</formula>
    </cfRule>
  </conditionalFormatting>
  <conditionalFormatting sqref="E98">
    <cfRule type="cellIs" dxfId="1353" priority="919" operator="greaterThan">
      <formula>B98</formula>
    </cfRule>
  </conditionalFormatting>
  <conditionalFormatting sqref="D99">
    <cfRule type="expression" dxfId="1352" priority="918">
      <formula>E99&gt;B99</formula>
    </cfRule>
  </conditionalFormatting>
  <conditionalFormatting sqref="C99">
    <cfRule type="expression" dxfId="1351" priority="917">
      <formula>B99&gt;E99</formula>
    </cfRule>
  </conditionalFormatting>
  <conditionalFormatting sqref="B99">
    <cfRule type="cellIs" dxfId="1350" priority="916" operator="greaterThan">
      <formula>E99</formula>
    </cfRule>
  </conditionalFormatting>
  <conditionalFormatting sqref="E99">
    <cfRule type="cellIs" dxfId="1349" priority="915" operator="greaterThan">
      <formula>B99</formula>
    </cfRule>
  </conditionalFormatting>
  <conditionalFormatting sqref="D100">
    <cfRule type="expression" dxfId="1348" priority="914">
      <formula>E100&gt;B100</formula>
    </cfRule>
  </conditionalFormatting>
  <conditionalFormatting sqref="C100">
    <cfRule type="expression" dxfId="1347" priority="913">
      <formula>B100&gt;E100</formula>
    </cfRule>
  </conditionalFormatting>
  <conditionalFormatting sqref="B100">
    <cfRule type="cellIs" dxfId="1346" priority="912" operator="greaterThan">
      <formula>E100</formula>
    </cfRule>
  </conditionalFormatting>
  <conditionalFormatting sqref="E100">
    <cfRule type="cellIs" dxfId="1345" priority="911" operator="greaterThan">
      <formula>B100</formula>
    </cfRule>
  </conditionalFormatting>
  <conditionalFormatting sqref="D101">
    <cfRule type="expression" dxfId="1344" priority="910">
      <formula>E101&gt;B101</formula>
    </cfRule>
  </conditionalFormatting>
  <conditionalFormatting sqref="C101">
    <cfRule type="expression" dxfId="1343" priority="909">
      <formula>B101&gt;E101</formula>
    </cfRule>
  </conditionalFormatting>
  <conditionalFormatting sqref="B101">
    <cfRule type="cellIs" dxfId="1342" priority="908" operator="greaterThan">
      <formula>E101</formula>
    </cfRule>
  </conditionalFormatting>
  <conditionalFormatting sqref="E101">
    <cfRule type="cellIs" dxfId="1341" priority="907" operator="greaterThan">
      <formula>B101</formula>
    </cfRule>
  </conditionalFormatting>
  <conditionalFormatting sqref="D102">
    <cfRule type="expression" dxfId="1340" priority="906">
      <formula>E102&gt;B102</formula>
    </cfRule>
  </conditionalFormatting>
  <conditionalFormatting sqref="C102">
    <cfRule type="expression" dxfId="1339" priority="905">
      <formula>B102&gt;E102</formula>
    </cfRule>
  </conditionalFormatting>
  <conditionalFormatting sqref="B102">
    <cfRule type="cellIs" dxfId="1338" priority="904" operator="greaterThan">
      <formula>E102</formula>
    </cfRule>
  </conditionalFormatting>
  <conditionalFormatting sqref="E102">
    <cfRule type="cellIs" dxfId="1337" priority="903" operator="greaterThan">
      <formula>B102</formula>
    </cfRule>
  </conditionalFormatting>
  <conditionalFormatting sqref="D103">
    <cfRule type="expression" dxfId="1336" priority="902">
      <formula>E103&gt;B103</formula>
    </cfRule>
  </conditionalFormatting>
  <conditionalFormatting sqref="C103">
    <cfRule type="expression" dxfId="1335" priority="901">
      <formula>B103&gt;E103</formula>
    </cfRule>
  </conditionalFormatting>
  <conditionalFormatting sqref="B103">
    <cfRule type="cellIs" dxfId="1334" priority="900" operator="greaterThan">
      <formula>E103</formula>
    </cfRule>
  </conditionalFormatting>
  <conditionalFormatting sqref="E103">
    <cfRule type="cellIs" dxfId="1333" priority="899" operator="greaterThan">
      <formula>B103</formula>
    </cfRule>
  </conditionalFormatting>
  <conditionalFormatting sqref="D104">
    <cfRule type="expression" dxfId="1332" priority="898">
      <formula>E104&gt;B104</formula>
    </cfRule>
  </conditionalFormatting>
  <conditionalFormatting sqref="C104">
    <cfRule type="expression" dxfId="1331" priority="897">
      <formula>B104&gt;E104</formula>
    </cfRule>
  </conditionalFormatting>
  <conditionalFormatting sqref="B104">
    <cfRule type="cellIs" dxfId="1330" priority="896" operator="greaterThan">
      <formula>E104</formula>
    </cfRule>
  </conditionalFormatting>
  <conditionalFormatting sqref="E104">
    <cfRule type="cellIs" dxfId="1329" priority="895" operator="greaterThan">
      <formula>B104</formula>
    </cfRule>
  </conditionalFormatting>
  <conditionalFormatting sqref="D105">
    <cfRule type="expression" dxfId="1328" priority="894">
      <formula>E105&gt;B105</formula>
    </cfRule>
  </conditionalFormatting>
  <conditionalFormatting sqref="C105">
    <cfRule type="expression" dxfId="1327" priority="893">
      <formula>B105&gt;E105</formula>
    </cfRule>
  </conditionalFormatting>
  <conditionalFormatting sqref="B105">
    <cfRule type="cellIs" dxfId="1326" priority="892" operator="greaterThan">
      <formula>E105</formula>
    </cfRule>
  </conditionalFormatting>
  <conditionalFormatting sqref="E105">
    <cfRule type="cellIs" dxfId="1325" priority="891" operator="greaterThan">
      <formula>B105</formula>
    </cfRule>
  </conditionalFormatting>
  <conditionalFormatting sqref="D106">
    <cfRule type="expression" dxfId="1324" priority="890">
      <formula>E106&gt;B106</formula>
    </cfRule>
  </conditionalFormatting>
  <conditionalFormatting sqref="C106">
    <cfRule type="expression" dxfId="1323" priority="889">
      <formula>B106&gt;E106</formula>
    </cfRule>
  </conditionalFormatting>
  <conditionalFormatting sqref="B106">
    <cfRule type="cellIs" dxfId="1322" priority="888" operator="greaterThan">
      <formula>E106</formula>
    </cfRule>
  </conditionalFormatting>
  <conditionalFormatting sqref="E106">
    <cfRule type="cellIs" dxfId="1321" priority="887" operator="greaterThan">
      <formula>B106</formula>
    </cfRule>
  </conditionalFormatting>
  <conditionalFormatting sqref="D107">
    <cfRule type="expression" dxfId="1320" priority="886">
      <formula>E107&gt;B107</formula>
    </cfRule>
  </conditionalFormatting>
  <conditionalFormatting sqref="C107">
    <cfRule type="expression" dxfId="1319" priority="885">
      <formula>B107&gt;E107</formula>
    </cfRule>
  </conditionalFormatting>
  <conditionalFormatting sqref="B107">
    <cfRule type="cellIs" dxfId="1318" priority="884" operator="greaterThan">
      <formula>E107</formula>
    </cfRule>
  </conditionalFormatting>
  <conditionalFormatting sqref="E107">
    <cfRule type="cellIs" dxfId="1317" priority="883" operator="greaterThan">
      <formula>B107</formula>
    </cfRule>
  </conditionalFormatting>
  <conditionalFormatting sqref="D108">
    <cfRule type="expression" dxfId="1316" priority="882">
      <formula>E108&gt;B108</formula>
    </cfRule>
  </conditionalFormatting>
  <conditionalFormatting sqref="C108">
    <cfRule type="expression" dxfId="1315" priority="881">
      <formula>B108&gt;E108</formula>
    </cfRule>
  </conditionalFormatting>
  <conditionalFormatting sqref="B108">
    <cfRule type="cellIs" dxfId="1314" priority="880" operator="greaterThan">
      <formula>E108</formula>
    </cfRule>
  </conditionalFormatting>
  <conditionalFormatting sqref="E108">
    <cfRule type="cellIs" dxfId="1313" priority="879" operator="greaterThan">
      <formula>B108</formula>
    </cfRule>
  </conditionalFormatting>
  <conditionalFormatting sqref="D109">
    <cfRule type="expression" dxfId="1312" priority="878">
      <formula>E109&gt;B109</formula>
    </cfRule>
  </conditionalFormatting>
  <conditionalFormatting sqref="C109">
    <cfRule type="expression" dxfId="1311" priority="877">
      <formula>B109&gt;E109</formula>
    </cfRule>
  </conditionalFormatting>
  <conditionalFormatting sqref="B109">
    <cfRule type="cellIs" dxfId="1310" priority="876" operator="greaterThan">
      <formula>E109</formula>
    </cfRule>
  </conditionalFormatting>
  <conditionalFormatting sqref="E109">
    <cfRule type="cellIs" dxfId="1309" priority="875" operator="greaterThan">
      <formula>B109</formula>
    </cfRule>
  </conditionalFormatting>
  <conditionalFormatting sqref="D110">
    <cfRule type="expression" dxfId="1308" priority="874">
      <formula>E110&gt;B110</formula>
    </cfRule>
  </conditionalFormatting>
  <conditionalFormatting sqref="C110">
    <cfRule type="expression" dxfId="1307" priority="873">
      <formula>B110&gt;E110</formula>
    </cfRule>
  </conditionalFormatting>
  <conditionalFormatting sqref="B110">
    <cfRule type="cellIs" dxfId="1306" priority="872" operator="greaterThan">
      <formula>E110</formula>
    </cfRule>
  </conditionalFormatting>
  <conditionalFormatting sqref="E110">
    <cfRule type="cellIs" dxfId="1305" priority="871" operator="greaterThan">
      <formula>B110</formula>
    </cfRule>
  </conditionalFormatting>
  <conditionalFormatting sqref="D111">
    <cfRule type="expression" dxfId="1304" priority="870">
      <formula>E111&gt;B111</formula>
    </cfRule>
  </conditionalFormatting>
  <conditionalFormatting sqref="C111">
    <cfRule type="expression" dxfId="1303" priority="869">
      <formula>B111&gt;E111</formula>
    </cfRule>
  </conditionalFormatting>
  <conditionalFormatting sqref="B111">
    <cfRule type="cellIs" dxfId="1302" priority="868" operator="greaterThan">
      <formula>E111</formula>
    </cfRule>
  </conditionalFormatting>
  <conditionalFormatting sqref="E111">
    <cfRule type="cellIs" dxfId="1301" priority="867" operator="greaterThan">
      <formula>B111</formula>
    </cfRule>
  </conditionalFormatting>
  <conditionalFormatting sqref="D112">
    <cfRule type="expression" dxfId="1300" priority="866">
      <formula>E112&gt;B112</formula>
    </cfRule>
  </conditionalFormatting>
  <conditionalFormatting sqref="C112">
    <cfRule type="expression" dxfId="1299" priority="865">
      <formula>B112&gt;E112</formula>
    </cfRule>
  </conditionalFormatting>
  <conditionalFormatting sqref="B112">
    <cfRule type="cellIs" dxfId="1298" priority="864" operator="greaterThan">
      <formula>E112</formula>
    </cfRule>
  </conditionalFormatting>
  <conditionalFormatting sqref="E112">
    <cfRule type="cellIs" dxfId="1297" priority="863" operator="greaterThan">
      <formula>B112</formula>
    </cfRule>
  </conditionalFormatting>
  <conditionalFormatting sqref="D113">
    <cfRule type="expression" dxfId="1296" priority="862">
      <formula>E113&gt;B113</formula>
    </cfRule>
  </conditionalFormatting>
  <conditionalFormatting sqref="C113">
    <cfRule type="expression" dxfId="1295" priority="861">
      <formula>B113&gt;E113</formula>
    </cfRule>
  </conditionalFormatting>
  <conditionalFormatting sqref="B113">
    <cfRule type="cellIs" dxfId="1294" priority="860" operator="greaterThan">
      <formula>E113</formula>
    </cfRule>
  </conditionalFormatting>
  <conditionalFormatting sqref="E113">
    <cfRule type="cellIs" dxfId="1293" priority="859" operator="greaterThan">
      <formula>B113</formula>
    </cfRule>
  </conditionalFormatting>
  <conditionalFormatting sqref="D114">
    <cfRule type="expression" dxfId="1292" priority="858">
      <formula>E114&gt;B114</formula>
    </cfRule>
  </conditionalFormatting>
  <conditionalFormatting sqref="C114">
    <cfRule type="expression" dxfId="1291" priority="857">
      <formula>B114&gt;E114</formula>
    </cfRule>
  </conditionalFormatting>
  <conditionalFormatting sqref="B114">
    <cfRule type="cellIs" dxfId="1290" priority="856" operator="greaterThan">
      <formula>E114</formula>
    </cfRule>
  </conditionalFormatting>
  <conditionalFormatting sqref="E114">
    <cfRule type="cellIs" dxfId="1289" priority="855" operator="greaterThan">
      <formula>B114</formula>
    </cfRule>
  </conditionalFormatting>
  <conditionalFormatting sqref="D115">
    <cfRule type="expression" dxfId="1288" priority="854">
      <formula>E115&gt;B115</formula>
    </cfRule>
  </conditionalFormatting>
  <conditionalFormatting sqref="C115">
    <cfRule type="expression" dxfId="1287" priority="853">
      <formula>B115&gt;E115</formula>
    </cfRule>
  </conditionalFormatting>
  <conditionalFormatting sqref="B115">
    <cfRule type="cellIs" dxfId="1286" priority="852" operator="greaterThan">
      <formula>E115</formula>
    </cfRule>
  </conditionalFormatting>
  <conditionalFormatting sqref="E115">
    <cfRule type="cellIs" dxfId="1285" priority="851" operator="greaterThan">
      <formula>B115</formula>
    </cfRule>
  </conditionalFormatting>
  <conditionalFormatting sqref="D116">
    <cfRule type="expression" dxfId="1284" priority="850">
      <formula>E116&gt;B116</formula>
    </cfRule>
  </conditionalFormatting>
  <conditionalFormatting sqref="C116">
    <cfRule type="expression" dxfId="1283" priority="849">
      <formula>B116&gt;E116</formula>
    </cfRule>
  </conditionalFormatting>
  <conditionalFormatting sqref="B116">
    <cfRule type="cellIs" dxfId="1282" priority="848" operator="greaterThan">
      <formula>E116</formula>
    </cfRule>
  </conditionalFormatting>
  <conditionalFormatting sqref="E116">
    <cfRule type="cellIs" dxfId="1281" priority="847" operator="greaterThan">
      <formula>B116</formula>
    </cfRule>
  </conditionalFormatting>
  <conditionalFormatting sqref="D117">
    <cfRule type="expression" dxfId="1280" priority="846">
      <formula>E117&gt;B117</formula>
    </cfRule>
  </conditionalFormatting>
  <conditionalFormatting sqref="C117">
    <cfRule type="expression" dxfId="1279" priority="845">
      <formula>B117&gt;E117</formula>
    </cfRule>
  </conditionalFormatting>
  <conditionalFormatting sqref="B117">
    <cfRule type="cellIs" dxfId="1278" priority="844" operator="greaterThan">
      <formula>E117</formula>
    </cfRule>
  </conditionalFormatting>
  <conditionalFormatting sqref="E117">
    <cfRule type="cellIs" dxfId="1277" priority="843" operator="greaterThan">
      <formula>B117</formula>
    </cfRule>
  </conditionalFormatting>
  <conditionalFormatting sqref="D118">
    <cfRule type="expression" dxfId="1276" priority="842">
      <formula>E118&gt;B118</formula>
    </cfRule>
  </conditionalFormatting>
  <conditionalFormatting sqref="C118">
    <cfRule type="expression" dxfId="1275" priority="841">
      <formula>B118&gt;E118</formula>
    </cfRule>
  </conditionalFormatting>
  <conditionalFormatting sqref="B118">
    <cfRule type="cellIs" dxfId="1274" priority="840" operator="greaterThan">
      <formula>E118</formula>
    </cfRule>
  </conditionalFormatting>
  <conditionalFormatting sqref="E118">
    <cfRule type="cellIs" dxfId="1273" priority="839" operator="greaterThan">
      <formula>B118</formula>
    </cfRule>
  </conditionalFormatting>
  <conditionalFormatting sqref="D119">
    <cfRule type="expression" dxfId="1272" priority="838">
      <formula>E119&gt;B119</formula>
    </cfRule>
  </conditionalFormatting>
  <conditionalFormatting sqref="C119">
    <cfRule type="expression" dxfId="1271" priority="837">
      <formula>B119&gt;E119</formula>
    </cfRule>
  </conditionalFormatting>
  <conditionalFormatting sqref="B119">
    <cfRule type="cellIs" dxfId="1270" priority="836" operator="greaterThan">
      <formula>E119</formula>
    </cfRule>
  </conditionalFormatting>
  <conditionalFormatting sqref="E119">
    <cfRule type="cellIs" dxfId="1269" priority="835" operator="greaterThan">
      <formula>B119</formula>
    </cfRule>
  </conditionalFormatting>
  <conditionalFormatting sqref="D120">
    <cfRule type="expression" dxfId="1268" priority="834">
      <formula>E120&gt;B120</formula>
    </cfRule>
  </conditionalFormatting>
  <conditionalFormatting sqref="C120">
    <cfRule type="expression" dxfId="1267" priority="833">
      <formula>B120&gt;E120</formula>
    </cfRule>
  </conditionalFormatting>
  <conditionalFormatting sqref="B120">
    <cfRule type="cellIs" dxfId="1266" priority="832" operator="greaterThan">
      <formula>E120</formula>
    </cfRule>
  </conditionalFormatting>
  <conditionalFormatting sqref="E120">
    <cfRule type="cellIs" dxfId="1265" priority="831" operator="greaterThan">
      <formula>B120</formula>
    </cfRule>
  </conditionalFormatting>
  <conditionalFormatting sqref="D121">
    <cfRule type="expression" dxfId="1264" priority="830">
      <formula>E121&gt;B121</formula>
    </cfRule>
  </conditionalFormatting>
  <conditionalFormatting sqref="C121">
    <cfRule type="expression" dxfId="1263" priority="829">
      <formula>B121&gt;E121</formula>
    </cfRule>
  </conditionalFormatting>
  <conditionalFormatting sqref="B121">
    <cfRule type="cellIs" dxfId="1262" priority="828" operator="greaterThan">
      <formula>E121</formula>
    </cfRule>
  </conditionalFormatting>
  <conditionalFormatting sqref="E121">
    <cfRule type="cellIs" dxfId="1261" priority="827" operator="greaterThan">
      <formula>B121</formula>
    </cfRule>
  </conditionalFormatting>
  <conditionalFormatting sqref="D122">
    <cfRule type="expression" dxfId="1260" priority="826">
      <formula>E122&gt;B122</formula>
    </cfRule>
  </conditionalFormatting>
  <conditionalFormatting sqref="C122">
    <cfRule type="expression" dxfId="1259" priority="825">
      <formula>B122&gt;E122</formula>
    </cfRule>
  </conditionalFormatting>
  <conditionalFormatting sqref="B122">
    <cfRule type="cellIs" dxfId="1258" priority="824" operator="greaterThan">
      <formula>E122</formula>
    </cfRule>
  </conditionalFormatting>
  <conditionalFormatting sqref="E122">
    <cfRule type="cellIs" dxfId="1257" priority="823" operator="greaterThan">
      <formula>B122</formula>
    </cfRule>
  </conditionalFormatting>
  <conditionalFormatting sqref="D123">
    <cfRule type="expression" dxfId="1256" priority="822">
      <formula>E123&gt;B123</formula>
    </cfRule>
  </conditionalFormatting>
  <conditionalFormatting sqref="C123">
    <cfRule type="expression" dxfId="1255" priority="821">
      <formula>B123&gt;E123</formula>
    </cfRule>
  </conditionalFormatting>
  <conditionalFormatting sqref="B123">
    <cfRule type="cellIs" dxfId="1254" priority="820" operator="greaterThan">
      <formula>E123</formula>
    </cfRule>
  </conditionalFormatting>
  <conditionalFormatting sqref="E123">
    <cfRule type="cellIs" dxfId="1253" priority="819" operator="greaterThan">
      <formula>B123</formula>
    </cfRule>
  </conditionalFormatting>
  <conditionalFormatting sqref="D124">
    <cfRule type="expression" dxfId="1252" priority="818">
      <formula>E124&gt;B124</formula>
    </cfRule>
  </conditionalFormatting>
  <conditionalFormatting sqref="C124">
    <cfRule type="expression" dxfId="1251" priority="817">
      <formula>B124&gt;E124</formula>
    </cfRule>
  </conditionalFormatting>
  <conditionalFormatting sqref="B124">
    <cfRule type="cellIs" dxfId="1250" priority="816" operator="greaterThan">
      <formula>E124</formula>
    </cfRule>
  </conditionalFormatting>
  <conditionalFormatting sqref="E124">
    <cfRule type="cellIs" dxfId="1249" priority="815" operator="greaterThan">
      <formula>B124</formula>
    </cfRule>
  </conditionalFormatting>
  <conditionalFormatting sqref="D125">
    <cfRule type="expression" dxfId="1248" priority="814">
      <formula>E125&gt;B125</formula>
    </cfRule>
  </conditionalFormatting>
  <conditionalFormatting sqref="C125">
    <cfRule type="expression" dxfId="1247" priority="813">
      <formula>B125&gt;E125</formula>
    </cfRule>
  </conditionalFormatting>
  <conditionalFormatting sqref="B125">
    <cfRule type="cellIs" dxfId="1246" priority="812" operator="greaterThan">
      <formula>E125</formula>
    </cfRule>
  </conditionalFormatting>
  <conditionalFormatting sqref="E125">
    <cfRule type="cellIs" dxfId="1245" priority="811" operator="greaterThan">
      <formula>B125</formula>
    </cfRule>
  </conditionalFormatting>
  <conditionalFormatting sqref="D126">
    <cfRule type="expression" dxfId="1244" priority="810">
      <formula>E126&gt;B126</formula>
    </cfRule>
  </conditionalFormatting>
  <conditionalFormatting sqref="C126">
    <cfRule type="expression" dxfId="1243" priority="809">
      <formula>B126&gt;E126</formula>
    </cfRule>
  </conditionalFormatting>
  <conditionalFormatting sqref="B126">
    <cfRule type="cellIs" dxfId="1242" priority="808" operator="greaterThan">
      <formula>E126</formula>
    </cfRule>
  </conditionalFormatting>
  <conditionalFormatting sqref="E126">
    <cfRule type="cellIs" dxfId="1241" priority="807" operator="greaterThan">
      <formula>B126</formula>
    </cfRule>
  </conditionalFormatting>
  <conditionalFormatting sqref="D127">
    <cfRule type="expression" dxfId="1240" priority="806">
      <formula>E127&gt;B127</formula>
    </cfRule>
  </conditionalFormatting>
  <conditionalFormatting sqref="C127">
    <cfRule type="expression" dxfId="1239" priority="805">
      <formula>B127&gt;E127</formula>
    </cfRule>
  </conditionalFormatting>
  <conditionalFormatting sqref="B127">
    <cfRule type="cellIs" dxfId="1238" priority="804" operator="greaterThan">
      <formula>E127</formula>
    </cfRule>
  </conditionalFormatting>
  <conditionalFormatting sqref="E127">
    <cfRule type="cellIs" dxfId="1237" priority="803" operator="greaterThan">
      <formula>B127</formula>
    </cfRule>
  </conditionalFormatting>
  <conditionalFormatting sqref="D128">
    <cfRule type="expression" dxfId="1236" priority="802">
      <formula>E128&gt;B128</formula>
    </cfRule>
  </conditionalFormatting>
  <conditionalFormatting sqref="C128">
    <cfRule type="expression" dxfId="1235" priority="801">
      <formula>B128&gt;E128</formula>
    </cfRule>
  </conditionalFormatting>
  <conditionalFormatting sqref="B128">
    <cfRule type="cellIs" dxfId="1234" priority="800" operator="greaterThan">
      <formula>E128</formula>
    </cfRule>
  </conditionalFormatting>
  <conditionalFormatting sqref="E128">
    <cfRule type="cellIs" dxfId="1233" priority="799" operator="greaterThan">
      <formula>B128</formula>
    </cfRule>
  </conditionalFormatting>
  <conditionalFormatting sqref="D129">
    <cfRule type="expression" dxfId="1232" priority="798">
      <formula>E129&gt;B129</formula>
    </cfRule>
  </conditionalFormatting>
  <conditionalFormatting sqref="C129">
    <cfRule type="expression" dxfId="1231" priority="797">
      <formula>B129&gt;E129</formula>
    </cfRule>
  </conditionalFormatting>
  <conditionalFormatting sqref="B129">
    <cfRule type="cellIs" dxfId="1230" priority="796" operator="greaterThan">
      <formula>E129</formula>
    </cfRule>
  </conditionalFormatting>
  <conditionalFormatting sqref="E129">
    <cfRule type="cellIs" dxfId="1229" priority="795" operator="greaterThan">
      <formula>B129</formula>
    </cfRule>
  </conditionalFormatting>
  <conditionalFormatting sqref="D130">
    <cfRule type="expression" dxfId="1228" priority="794">
      <formula>E130&gt;B130</formula>
    </cfRule>
  </conditionalFormatting>
  <conditionalFormatting sqref="C130">
    <cfRule type="expression" dxfId="1227" priority="793">
      <formula>B130&gt;E130</formula>
    </cfRule>
  </conditionalFormatting>
  <conditionalFormatting sqref="B130">
    <cfRule type="cellIs" dxfId="1226" priority="792" operator="greaterThan">
      <formula>E130</formula>
    </cfRule>
  </conditionalFormatting>
  <conditionalFormatting sqref="E130">
    <cfRule type="cellIs" dxfId="1225" priority="791" operator="greaterThan">
      <formula>B130</formula>
    </cfRule>
  </conditionalFormatting>
  <conditionalFormatting sqref="D131">
    <cfRule type="expression" dxfId="1224" priority="790">
      <formula>E131&gt;B131</formula>
    </cfRule>
  </conditionalFormatting>
  <conditionalFormatting sqref="C131">
    <cfRule type="expression" dxfId="1223" priority="789">
      <formula>B131&gt;E131</formula>
    </cfRule>
  </conditionalFormatting>
  <conditionalFormatting sqref="B131">
    <cfRule type="cellIs" dxfId="1222" priority="788" operator="greaterThan">
      <formula>E131</formula>
    </cfRule>
  </conditionalFormatting>
  <conditionalFormatting sqref="E131">
    <cfRule type="cellIs" dxfId="1221" priority="787" operator="greaterThan">
      <formula>B131</formula>
    </cfRule>
  </conditionalFormatting>
  <conditionalFormatting sqref="D132">
    <cfRule type="expression" dxfId="1220" priority="786">
      <formula>E132&gt;B132</formula>
    </cfRule>
  </conditionalFormatting>
  <conditionalFormatting sqref="C132">
    <cfRule type="expression" dxfId="1219" priority="785">
      <formula>B132&gt;E132</formula>
    </cfRule>
  </conditionalFormatting>
  <conditionalFormatting sqref="B132">
    <cfRule type="cellIs" dxfId="1218" priority="784" operator="greaterThan">
      <formula>E132</formula>
    </cfRule>
  </conditionalFormatting>
  <conditionalFormatting sqref="E132">
    <cfRule type="cellIs" dxfId="1217" priority="783" operator="greaterThan">
      <formula>B132</formula>
    </cfRule>
  </conditionalFormatting>
  <conditionalFormatting sqref="D133">
    <cfRule type="expression" dxfId="1216" priority="782">
      <formula>E133&gt;B133</formula>
    </cfRule>
  </conditionalFormatting>
  <conditionalFormatting sqref="C133">
    <cfRule type="expression" dxfId="1215" priority="781">
      <formula>B133&gt;E133</formula>
    </cfRule>
  </conditionalFormatting>
  <conditionalFormatting sqref="B133">
    <cfRule type="cellIs" dxfId="1214" priority="780" operator="greaterThan">
      <formula>E133</formula>
    </cfRule>
  </conditionalFormatting>
  <conditionalFormatting sqref="E133">
    <cfRule type="cellIs" dxfId="1213" priority="779" operator="greaterThan">
      <formula>B133</formula>
    </cfRule>
  </conditionalFormatting>
  <conditionalFormatting sqref="D134">
    <cfRule type="expression" dxfId="1212" priority="778">
      <formula>E134&gt;B134</formula>
    </cfRule>
  </conditionalFormatting>
  <conditionalFormatting sqref="C134">
    <cfRule type="expression" dxfId="1211" priority="777">
      <formula>B134&gt;E134</formula>
    </cfRule>
  </conditionalFormatting>
  <conditionalFormatting sqref="B134">
    <cfRule type="cellIs" dxfId="1210" priority="776" operator="greaterThan">
      <formula>E134</formula>
    </cfRule>
  </conditionalFormatting>
  <conditionalFormatting sqref="E134">
    <cfRule type="cellIs" dxfId="1209" priority="775" operator="greaterThan">
      <formula>B134</formula>
    </cfRule>
  </conditionalFormatting>
  <conditionalFormatting sqref="D135">
    <cfRule type="expression" dxfId="1208" priority="774">
      <formula>E135&gt;B135</formula>
    </cfRule>
  </conditionalFormatting>
  <conditionalFormatting sqref="C135">
    <cfRule type="expression" dxfId="1207" priority="773">
      <formula>B135&gt;E135</formula>
    </cfRule>
  </conditionalFormatting>
  <conditionalFormatting sqref="B135">
    <cfRule type="cellIs" dxfId="1206" priority="772" operator="greaterThan">
      <formula>E135</formula>
    </cfRule>
  </conditionalFormatting>
  <conditionalFormatting sqref="E135">
    <cfRule type="cellIs" dxfId="1205" priority="771" operator="greaterThan">
      <formula>B135</formula>
    </cfRule>
  </conditionalFormatting>
  <conditionalFormatting sqref="D136">
    <cfRule type="expression" dxfId="1204" priority="770">
      <formula>E136&gt;B136</formula>
    </cfRule>
  </conditionalFormatting>
  <conditionalFormatting sqref="C136">
    <cfRule type="expression" dxfId="1203" priority="769">
      <formula>B136&gt;E136</formula>
    </cfRule>
  </conditionalFormatting>
  <conditionalFormatting sqref="B136">
    <cfRule type="cellIs" dxfId="1202" priority="768" operator="greaterThan">
      <formula>E136</formula>
    </cfRule>
  </conditionalFormatting>
  <conditionalFormatting sqref="E136">
    <cfRule type="cellIs" dxfId="1201" priority="767" operator="greaterThan">
      <formula>B136</formula>
    </cfRule>
  </conditionalFormatting>
  <conditionalFormatting sqref="D137">
    <cfRule type="expression" dxfId="1200" priority="766">
      <formula>E137&gt;B137</formula>
    </cfRule>
  </conditionalFormatting>
  <conditionalFormatting sqref="C137">
    <cfRule type="expression" dxfId="1199" priority="765">
      <formula>B137&gt;E137</formula>
    </cfRule>
  </conditionalFormatting>
  <conditionalFormatting sqref="B137">
    <cfRule type="cellIs" dxfId="1198" priority="764" operator="greaterThan">
      <formula>E137</formula>
    </cfRule>
  </conditionalFormatting>
  <conditionalFormatting sqref="E137">
    <cfRule type="cellIs" dxfId="1197" priority="763" operator="greaterThan">
      <formula>B137</formula>
    </cfRule>
  </conditionalFormatting>
  <conditionalFormatting sqref="D138">
    <cfRule type="expression" dxfId="1196" priority="762">
      <formula>E138&gt;B138</formula>
    </cfRule>
  </conditionalFormatting>
  <conditionalFormatting sqref="C138">
    <cfRule type="expression" dxfId="1195" priority="761">
      <formula>B138&gt;E138</formula>
    </cfRule>
  </conditionalFormatting>
  <conditionalFormatting sqref="B138">
    <cfRule type="cellIs" dxfId="1194" priority="760" operator="greaterThan">
      <formula>E138</formula>
    </cfRule>
  </conditionalFormatting>
  <conditionalFormatting sqref="E138">
    <cfRule type="cellIs" dxfId="1193" priority="759" operator="greaterThan">
      <formula>B138</formula>
    </cfRule>
  </conditionalFormatting>
  <conditionalFormatting sqref="D139">
    <cfRule type="expression" dxfId="1192" priority="758">
      <formula>E139&gt;B139</formula>
    </cfRule>
  </conditionalFormatting>
  <conditionalFormatting sqref="C139">
    <cfRule type="expression" dxfId="1191" priority="757">
      <formula>B139&gt;E139</formula>
    </cfRule>
  </conditionalFormatting>
  <conditionalFormatting sqref="B139">
    <cfRule type="cellIs" dxfId="1190" priority="756" operator="greaterThan">
      <formula>E139</formula>
    </cfRule>
  </conditionalFormatting>
  <conditionalFormatting sqref="E139">
    <cfRule type="cellIs" dxfId="1189" priority="755" operator="greaterThan">
      <formula>B139</formula>
    </cfRule>
  </conditionalFormatting>
  <conditionalFormatting sqref="D140">
    <cfRule type="expression" dxfId="1188" priority="754">
      <formula>E140&gt;B140</formula>
    </cfRule>
  </conditionalFormatting>
  <conditionalFormatting sqref="C140">
    <cfRule type="expression" dxfId="1187" priority="753">
      <formula>B140&gt;E140</formula>
    </cfRule>
  </conditionalFormatting>
  <conditionalFormatting sqref="B140">
    <cfRule type="cellIs" dxfId="1186" priority="752" operator="greaterThan">
      <formula>E140</formula>
    </cfRule>
  </conditionalFormatting>
  <conditionalFormatting sqref="E140">
    <cfRule type="cellIs" dxfId="1185" priority="751" operator="greaterThan">
      <formula>B140</formula>
    </cfRule>
  </conditionalFormatting>
  <conditionalFormatting sqref="D141">
    <cfRule type="expression" dxfId="1184" priority="750">
      <formula>E141&gt;B141</formula>
    </cfRule>
  </conditionalFormatting>
  <conditionalFormatting sqref="C141">
    <cfRule type="expression" dxfId="1183" priority="749">
      <formula>B141&gt;E141</formula>
    </cfRule>
  </conditionalFormatting>
  <conditionalFormatting sqref="B141">
    <cfRule type="cellIs" dxfId="1182" priority="748" operator="greaterThan">
      <formula>E141</formula>
    </cfRule>
  </conditionalFormatting>
  <conditionalFormatting sqref="E141">
    <cfRule type="cellIs" dxfId="1181" priority="747" operator="greaterThan">
      <formula>B141</formula>
    </cfRule>
  </conditionalFormatting>
  <conditionalFormatting sqref="D142">
    <cfRule type="expression" dxfId="1180" priority="746">
      <formula>E142&gt;B142</formula>
    </cfRule>
  </conditionalFormatting>
  <conditionalFormatting sqref="C142">
    <cfRule type="expression" dxfId="1179" priority="745">
      <formula>B142&gt;E142</formula>
    </cfRule>
  </conditionalFormatting>
  <conditionalFormatting sqref="B142">
    <cfRule type="cellIs" dxfId="1178" priority="744" operator="greaterThan">
      <formula>E142</formula>
    </cfRule>
  </conditionalFormatting>
  <conditionalFormatting sqref="E142">
    <cfRule type="cellIs" dxfId="1177" priority="743" operator="greaterThan">
      <formula>B142</formula>
    </cfRule>
  </conditionalFormatting>
  <conditionalFormatting sqref="D143">
    <cfRule type="expression" dxfId="1176" priority="742">
      <formula>E143&gt;B143</formula>
    </cfRule>
  </conditionalFormatting>
  <conditionalFormatting sqref="C143">
    <cfRule type="expression" dxfId="1175" priority="741">
      <formula>B143&gt;E143</formula>
    </cfRule>
  </conditionalFormatting>
  <conditionalFormatting sqref="B143">
    <cfRule type="cellIs" dxfId="1174" priority="740" operator="greaterThan">
      <formula>E143</formula>
    </cfRule>
  </conditionalFormatting>
  <conditionalFormatting sqref="E143">
    <cfRule type="cellIs" dxfId="1173" priority="739" operator="greaterThan">
      <formula>B143</formula>
    </cfRule>
  </conditionalFormatting>
  <conditionalFormatting sqref="D144">
    <cfRule type="expression" dxfId="1172" priority="738">
      <formula>E144&gt;B144</formula>
    </cfRule>
  </conditionalFormatting>
  <conditionalFormatting sqref="C144">
    <cfRule type="expression" dxfId="1171" priority="737">
      <formula>B144&gt;E144</formula>
    </cfRule>
  </conditionalFormatting>
  <conditionalFormatting sqref="B144">
    <cfRule type="cellIs" dxfId="1170" priority="736" operator="greaterThan">
      <formula>E144</formula>
    </cfRule>
  </conditionalFormatting>
  <conditionalFormatting sqref="E144">
    <cfRule type="cellIs" dxfId="1169" priority="735" operator="greaterThan">
      <formula>B144</formula>
    </cfRule>
  </conditionalFormatting>
  <conditionalFormatting sqref="D145">
    <cfRule type="expression" dxfId="1168" priority="734">
      <formula>E145&gt;B145</formula>
    </cfRule>
  </conditionalFormatting>
  <conditionalFormatting sqref="C145">
    <cfRule type="expression" dxfId="1167" priority="733">
      <formula>B145&gt;E145</formula>
    </cfRule>
  </conditionalFormatting>
  <conditionalFormatting sqref="B145">
    <cfRule type="cellIs" dxfId="1166" priority="732" operator="greaterThan">
      <formula>E145</formula>
    </cfRule>
  </conditionalFormatting>
  <conditionalFormatting sqref="E145">
    <cfRule type="cellIs" dxfId="1165" priority="731" operator="greaterThan">
      <formula>B145</formula>
    </cfRule>
  </conditionalFormatting>
  <conditionalFormatting sqref="D146">
    <cfRule type="expression" dxfId="1164" priority="730">
      <formula>E146&gt;B146</formula>
    </cfRule>
  </conditionalFormatting>
  <conditionalFormatting sqref="C146">
    <cfRule type="expression" dxfId="1163" priority="729">
      <formula>B146&gt;E146</formula>
    </cfRule>
  </conditionalFormatting>
  <conditionalFormatting sqref="B146">
    <cfRule type="cellIs" dxfId="1162" priority="728" operator="greaterThan">
      <formula>E146</formula>
    </cfRule>
  </conditionalFormatting>
  <conditionalFormatting sqref="E146">
    <cfRule type="cellIs" dxfId="1161" priority="727" operator="greaterThan">
      <formula>B146</formula>
    </cfRule>
  </conditionalFormatting>
  <conditionalFormatting sqref="D147">
    <cfRule type="expression" dxfId="1160" priority="726">
      <formula>E147&gt;B147</formula>
    </cfRule>
  </conditionalFormatting>
  <conditionalFormatting sqref="C147">
    <cfRule type="expression" dxfId="1159" priority="725">
      <formula>B147&gt;E147</formula>
    </cfRule>
  </conditionalFormatting>
  <conditionalFormatting sqref="B147">
    <cfRule type="cellIs" dxfId="1158" priority="724" operator="greaterThan">
      <formula>E147</formula>
    </cfRule>
  </conditionalFormatting>
  <conditionalFormatting sqref="E147">
    <cfRule type="cellIs" dxfId="1157" priority="723" operator="greaterThan">
      <formula>B147</formula>
    </cfRule>
  </conditionalFormatting>
  <conditionalFormatting sqref="D148">
    <cfRule type="expression" dxfId="1156" priority="722">
      <formula>E148&gt;B148</formula>
    </cfRule>
  </conditionalFormatting>
  <conditionalFormatting sqref="C148">
    <cfRule type="expression" dxfId="1155" priority="721">
      <formula>B148&gt;E148</formula>
    </cfRule>
  </conditionalFormatting>
  <conditionalFormatting sqref="B148">
    <cfRule type="cellIs" dxfId="1154" priority="720" operator="greaterThan">
      <formula>E148</formula>
    </cfRule>
  </conditionalFormatting>
  <conditionalFormatting sqref="E148">
    <cfRule type="cellIs" dxfId="1153" priority="719" operator="greaterThan">
      <formula>B148</formula>
    </cfRule>
  </conditionalFormatting>
  <conditionalFormatting sqref="D149">
    <cfRule type="expression" dxfId="1152" priority="718">
      <formula>E149&gt;B149</formula>
    </cfRule>
  </conditionalFormatting>
  <conditionalFormatting sqref="C149">
    <cfRule type="expression" dxfId="1151" priority="717">
      <formula>B149&gt;E149</formula>
    </cfRule>
  </conditionalFormatting>
  <conditionalFormatting sqref="B149">
    <cfRule type="cellIs" dxfId="1150" priority="716" operator="greaterThan">
      <formula>E149</formula>
    </cfRule>
  </conditionalFormatting>
  <conditionalFormatting sqref="E149">
    <cfRule type="cellIs" dxfId="1149" priority="715" operator="greaterThan">
      <formula>B149</formula>
    </cfRule>
  </conditionalFormatting>
  <conditionalFormatting sqref="D150">
    <cfRule type="expression" dxfId="1148" priority="714">
      <formula>E150&gt;B150</formula>
    </cfRule>
  </conditionalFormatting>
  <conditionalFormatting sqref="C150">
    <cfRule type="expression" dxfId="1147" priority="713">
      <formula>B150&gt;E150</formula>
    </cfRule>
  </conditionalFormatting>
  <conditionalFormatting sqref="B150">
    <cfRule type="cellIs" dxfId="1146" priority="712" operator="greaterThan">
      <formula>E150</formula>
    </cfRule>
  </conditionalFormatting>
  <conditionalFormatting sqref="E150">
    <cfRule type="cellIs" dxfId="1145" priority="711" operator="greaterThan">
      <formula>B150</formula>
    </cfRule>
  </conditionalFormatting>
  <conditionalFormatting sqref="D151">
    <cfRule type="expression" dxfId="1144" priority="710">
      <formula>E151&gt;B151</formula>
    </cfRule>
  </conditionalFormatting>
  <conditionalFormatting sqref="C151">
    <cfRule type="expression" dxfId="1143" priority="709">
      <formula>B151&gt;E151</formula>
    </cfRule>
  </conditionalFormatting>
  <conditionalFormatting sqref="B151">
    <cfRule type="cellIs" dxfId="1142" priority="708" operator="greaterThan">
      <formula>E151</formula>
    </cfRule>
  </conditionalFormatting>
  <conditionalFormatting sqref="E151">
    <cfRule type="cellIs" dxfId="1141" priority="707" operator="greaterThan">
      <formula>B151</formula>
    </cfRule>
  </conditionalFormatting>
  <conditionalFormatting sqref="D152">
    <cfRule type="expression" dxfId="1140" priority="706">
      <formula>E152&gt;B152</formula>
    </cfRule>
  </conditionalFormatting>
  <conditionalFormatting sqref="C152">
    <cfRule type="expression" dxfId="1139" priority="705">
      <formula>B152&gt;E152</formula>
    </cfRule>
  </conditionalFormatting>
  <conditionalFormatting sqref="B152">
    <cfRule type="cellIs" dxfId="1138" priority="704" operator="greaterThan">
      <formula>E152</formula>
    </cfRule>
  </conditionalFormatting>
  <conditionalFormatting sqref="E152">
    <cfRule type="cellIs" dxfId="1137" priority="703" operator="greaterThan">
      <formula>B152</formula>
    </cfRule>
  </conditionalFormatting>
  <conditionalFormatting sqref="D153">
    <cfRule type="expression" dxfId="1136" priority="702">
      <formula>E153&gt;B153</formula>
    </cfRule>
  </conditionalFormatting>
  <conditionalFormatting sqref="C153">
    <cfRule type="expression" dxfId="1135" priority="701">
      <formula>B153&gt;E153</formula>
    </cfRule>
  </conditionalFormatting>
  <conditionalFormatting sqref="B153">
    <cfRule type="cellIs" dxfId="1134" priority="700" operator="greaterThan">
      <formula>E153</formula>
    </cfRule>
  </conditionalFormatting>
  <conditionalFormatting sqref="E153">
    <cfRule type="cellIs" dxfId="1133" priority="699" operator="greaterThan">
      <formula>B153</formula>
    </cfRule>
  </conditionalFormatting>
  <conditionalFormatting sqref="D154">
    <cfRule type="expression" dxfId="1132" priority="698">
      <formula>E154&gt;B154</formula>
    </cfRule>
  </conditionalFormatting>
  <conditionalFormatting sqref="C154">
    <cfRule type="expression" dxfId="1131" priority="697">
      <formula>B154&gt;E154</formula>
    </cfRule>
  </conditionalFormatting>
  <conditionalFormatting sqref="B154">
    <cfRule type="cellIs" dxfId="1130" priority="696" operator="greaterThan">
      <formula>E154</formula>
    </cfRule>
  </conditionalFormatting>
  <conditionalFormatting sqref="E154">
    <cfRule type="cellIs" dxfId="1129" priority="695" operator="greaterThan">
      <formula>B154</formula>
    </cfRule>
  </conditionalFormatting>
  <conditionalFormatting sqref="D155">
    <cfRule type="expression" dxfId="1128" priority="694">
      <formula>E155&gt;B155</formula>
    </cfRule>
  </conditionalFormatting>
  <conditionalFormatting sqref="C155">
    <cfRule type="expression" dxfId="1127" priority="693">
      <formula>B155&gt;E155</formula>
    </cfRule>
  </conditionalFormatting>
  <conditionalFormatting sqref="B155">
    <cfRule type="cellIs" dxfId="1126" priority="692" operator="greaterThan">
      <formula>E155</formula>
    </cfRule>
  </conditionalFormatting>
  <conditionalFormatting sqref="E155">
    <cfRule type="cellIs" dxfId="1125" priority="691" operator="greaterThan">
      <formula>B155</formula>
    </cfRule>
  </conditionalFormatting>
  <conditionalFormatting sqref="D156">
    <cfRule type="expression" dxfId="1124" priority="690">
      <formula>E156&gt;B156</formula>
    </cfRule>
  </conditionalFormatting>
  <conditionalFormatting sqref="C156">
    <cfRule type="expression" dxfId="1123" priority="689">
      <formula>B156&gt;E156</formula>
    </cfRule>
  </conditionalFormatting>
  <conditionalFormatting sqref="B156">
    <cfRule type="cellIs" dxfId="1122" priority="688" operator="greaterThan">
      <formula>E156</formula>
    </cfRule>
  </conditionalFormatting>
  <conditionalFormatting sqref="E156">
    <cfRule type="cellIs" dxfId="1121" priority="687" operator="greaterThan">
      <formula>B156</formula>
    </cfRule>
  </conditionalFormatting>
  <conditionalFormatting sqref="D157">
    <cfRule type="expression" dxfId="1120" priority="686">
      <formula>E157&gt;B157</formula>
    </cfRule>
  </conditionalFormatting>
  <conditionalFormatting sqref="C157">
    <cfRule type="expression" dxfId="1119" priority="685">
      <formula>B157&gt;E157</formula>
    </cfRule>
  </conditionalFormatting>
  <conditionalFormatting sqref="B157">
    <cfRule type="cellIs" dxfId="1118" priority="684" operator="greaterThan">
      <formula>E157</formula>
    </cfRule>
  </conditionalFormatting>
  <conditionalFormatting sqref="E157">
    <cfRule type="cellIs" dxfId="1117" priority="683" operator="greaterThan">
      <formula>B157</formula>
    </cfRule>
  </conditionalFormatting>
  <conditionalFormatting sqref="D158">
    <cfRule type="expression" dxfId="1116" priority="682">
      <formula>E158&gt;B158</formula>
    </cfRule>
  </conditionalFormatting>
  <conditionalFormatting sqref="C158">
    <cfRule type="expression" dxfId="1115" priority="681">
      <formula>B158&gt;E158</formula>
    </cfRule>
  </conditionalFormatting>
  <conditionalFormatting sqref="B158">
    <cfRule type="cellIs" dxfId="1114" priority="680" operator="greaterThan">
      <formula>E158</formula>
    </cfRule>
  </conditionalFormatting>
  <conditionalFormatting sqref="E158">
    <cfRule type="cellIs" dxfId="1113" priority="679" operator="greaterThan">
      <formula>B158</formula>
    </cfRule>
  </conditionalFormatting>
  <conditionalFormatting sqref="D159">
    <cfRule type="expression" dxfId="1112" priority="678">
      <formula>E159&gt;B159</formula>
    </cfRule>
  </conditionalFormatting>
  <conditionalFormatting sqref="C159">
    <cfRule type="expression" dxfId="1111" priority="677">
      <formula>B159&gt;E159</formula>
    </cfRule>
  </conditionalFormatting>
  <conditionalFormatting sqref="B159">
    <cfRule type="cellIs" dxfId="1110" priority="676" operator="greaterThan">
      <formula>E159</formula>
    </cfRule>
  </conditionalFormatting>
  <conditionalFormatting sqref="E159">
    <cfRule type="cellIs" dxfId="1109" priority="675" operator="greaterThan">
      <formula>B159</formula>
    </cfRule>
  </conditionalFormatting>
  <conditionalFormatting sqref="D160">
    <cfRule type="expression" dxfId="1108" priority="674">
      <formula>E160&gt;B160</formula>
    </cfRule>
  </conditionalFormatting>
  <conditionalFormatting sqref="C160">
    <cfRule type="expression" dxfId="1107" priority="673">
      <formula>B160&gt;E160</formula>
    </cfRule>
  </conditionalFormatting>
  <conditionalFormatting sqref="B160">
    <cfRule type="cellIs" dxfId="1106" priority="672" operator="greaterThan">
      <formula>E160</formula>
    </cfRule>
  </conditionalFormatting>
  <conditionalFormatting sqref="E160">
    <cfRule type="cellIs" dxfId="1105" priority="671" operator="greaterThan">
      <formula>B160</formula>
    </cfRule>
  </conditionalFormatting>
  <conditionalFormatting sqref="D161">
    <cfRule type="expression" dxfId="1104" priority="670">
      <formula>E161&gt;B161</formula>
    </cfRule>
  </conditionalFormatting>
  <conditionalFormatting sqref="C161">
    <cfRule type="expression" dxfId="1103" priority="669">
      <formula>B161&gt;E161</formula>
    </cfRule>
  </conditionalFormatting>
  <conditionalFormatting sqref="B161">
    <cfRule type="cellIs" dxfId="1102" priority="668" operator="greaterThan">
      <formula>E161</formula>
    </cfRule>
  </conditionalFormatting>
  <conditionalFormatting sqref="E161">
    <cfRule type="cellIs" dxfId="1101" priority="667" operator="greaterThan">
      <formula>B161</formula>
    </cfRule>
  </conditionalFormatting>
  <conditionalFormatting sqref="D162">
    <cfRule type="expression" dxfId="1100" priority="666">
      <formula>E162&gt;B162</formula>
    </cfRule>
  </conditionalFormatting>
  <conditionalFormatting sqref="C162">
    <cfRule type="expression" dxfId="1099" priority="665">
      <formula>B162&gt;E162</formula>
    </cfRule>
  </conditionalFormatting>
  <conditionalFormatting sqref="B162">
    <cfRule type="cellIs" dxfId="1098" priority="664" operator="greaterThan">
      <formula>E162</formula>
    </cfRule>
  </conditionalFormatting>
  <conditionalFormatting sqref="E162">
    <cfRule type="cellIs" dxfId="1097" priority="663" operator="greaterThan">
      <formula>B162</formula>
    </cfRule>
  </conditionalFormatting>
  <conditionalFormatting sqref="D163">
    <cfRule type="expression" dxfId="1096" priority="662">
      <formula>E163&gt;B163</formula>
    </cfRule>
  </conditionalFormatting>
  <conditionalFormatting sqref="C163">
    <cfRule type="expression" dxfId="1095" priority="661">
      <formula>B163&gt;E163</formula>
    </cfRule>
  </conditionalFormatting>
  <conditionalFormatting sqref="B163">
    <cfRule type="cellIs" dxfId="1094" priority="660" operator="greaterThan">
      <formula>E163</formula>
    </cfRule>
  </conditionalFormatting>
  <conditionalFormatting sqref="E163">
    <cfRule type="cellIs" dxfId="1093" priority="659" operator="greaterThan">
      <formula>B163</formula>
    </cfRule>
  </conditionalFormatting>
  <conditionalFormatting sqref="D164 D170 D176 D182 D188 D194">
    <cfRule type="expression" dxfId="1092" priority="658">
      <formula>E164&gt;B164</formula>
    </cfRule>
  </conditionalFormatting>
  <conditionalFormatting sqref="C164 C170 C176 C182 C188 C194">
    <cfRule type="expression" dxfId="1091" priority="657">
      <formula>B164&gt;E164</formula>
    </cfRule>
  </conditionalFormatting>
  <conditionalFormatting sqref="B164 B170 B176 B182 B188 B194">
    <cfRule type="cellIs" dxfId="1090" priority="656" operator="greaterThan">
      <formula>E164</formula>
    </cfRule>
  </conditionalFormatting>
  <conditionalFormatting sqref="E164 E170 E176 E182 E188 E194">
    <cfRule type="cellIs" dxfId="1089" priority="655" operator="greaterThan">
      <formula>B164</formula>
    </cfRule>
  </conditionalFormatting>
  <conditionalFormatting sqref="D165 D171 D177 D183 D189 D195">
    <cfRule type="expression" dxfId="1088" priority="654">
      <formula>E165&gt;B165</formula>
    </cfRule>
  </conditionalFormatting>
  <conditionalFormatting sqref="C165 C171 C177 C183 C189 C195">
    <cfRule type="expression" dxfId="1087" priority="653">
      <formula>B165&gt;E165</formula>
    </cfRule>
  </conditionalFormatting>
  <conditionalFormatting sqref="B165 B171 B177 B183 B189 B195">
    <cfRule type="cellIs" dxfId="1086" priority="652" operator="greaterThan">
      <formula>E165</formula>
    </cfRule>
  </conditionalFormatting>
  <conditionalFormatting sqref="E165 E171 E177 E183 E189 E195">
    <cfRule type="cellIs" dxfId="1085" priority="651" operator="greaterThan">
      <formula>B165</formula>
    </cfRule>
  </conditionalFormatting>
  <conditionalFormatting sqref="D166 D172 D178 D184 D190 D196">
    <cfRule type="expression" dxfId="1084" priority="650">
      <formula>E166&gt;B166</formula>
    </cfRule>
  </conditionalFormatting>
  <conditionalFormatting sqref="C166 C172 C178 C184 C190 C196">
    <cfRule type="expression" dxfId="1083" priority="649">
      <formula>B166&gt;E166</formula>
    </cfRule>
  </conditionalFormatting>
  <conditionalFormatting sqref="B166 B172 B178 B184 B190 B196">
    <cfRule type="cellIs" dxfId="1082" priority="648" operator="greaterThan">
      <formula>E166</formula>
    </cfRule>
  </conditionalFormatting>
  <conditionalFormatting sqref="E166 E172 E178 E184 E190 E196">
    <cfRule type="cellIs" dxfId="1081" priority="647" operator="greaterThan">
      <formula>B166</formula>
    </cfRule>
  </conditionalFormatting>
  <conditionalFormatting sqref="D167 D173 D179 D185 D191 D197">
    <cfRule type="expression" dxfId="1080" priority="646">
      <formula>E167&gt;B167</formula>
    </cfRule>
  </conditionalFormatting>
  <conditionalFormatting sqref="C167 C173 C179 C185 C191 C197">
    <cfRule type="expression" dxfId="1079" priority="645">
      <formula>B167&gt;E167</formula>
    </cfRule>
  </conditionalFormatting>
  <conditionalFormatting sqref="B167 B173 B179 B185 B191 B197">
    <cfRule type="cellIs" dxfId="1078" priority="644" operator="greaterThan">
      <formula>E167</formula>
    </cfRule>
  </conditionalFormatting>
  <conditionalFormatting sqref="E167 E173 E179 E185 E191 E197">
    <cfRule type="cellIs" dxfId="1077" priority="643" operator="greaterThan">
      <formula>B167</formula>
    </cfRule>
  </conditionalFormatting>
  <conditionalFormatting sqref="D168 D174 D180 D186 D192 D198">
    <cfRule type="expression" dxfId="1076" priority="642">
      <formula>E168&gt;B168</formula>
    </cfRule>
  </conditionalFormatting>
  <conditionalFormatting sqref="C168 C174 C180 C186 C192 C198">
    <cfRule type="expression" dxfId="1075" priority="641">
      <formula>B168&gt;E168</formula>
    </cfRule>
  </conditionalFormatting>
  <conditionalFormatting sqref="B168 B174 B180 B186 B192 B198">
    <cfRule type="cellIs" dxfId="1074" priority="640" operator="greaterThan">
      <formula>E168</formula>
    </cfRule>
  </conditionalFormatting>
  <conditionalFormatting sqref="E168 E174 E180 E186 E192 E198">
    <cfRule type="cellIs" dxfId="1073" priority="639" operator="greaterThan">
      <formula>B168</formula>
    </cfRule>
  </conditionalFormatting>
  <conditionalFormatting sqref="D169 D175 D181 D187 D193 D199">
    <cfRule type="expression" dxfId="1072" priority="638">
      <formula>E169&gt;B169</formula>
    </cfRule>
  </conditionalFormatting>
  <conditionalFormatting sqref="C169 C175 C181 C187 C193 C199">
    <cfRule type="expression" dxfId="1071" priority="637">
      <formula>B169&gt;E169</formula>
    </cfRule>
  </conditionalFormatting>
  <conditionalFormatting sqref="B169 B175 B181 B187 B193 B199">
    <cfRule type="cellIs" dxfId="1070" priority="636" operator="greaterThan">
      <formula>E169</formula>
    </cfRule>
  </conditionalFormatting>
  <conditionalFormatting sqref="E169 E175 E181 E187 E193 E199">
    <cfRule type="cellIs" dxfId="1069" priority="635" operator="greaterThan">
      <formula>B169</formula>
    </cfRule>
  </conditionalFormatting>
  <conditionalFormatting sqref="V60:V157">
    <cfRule type="cellIs" dxfId="1068" priority="633" operator="equal">
      <formula>0</formula>
    </cfRule>
  </conditionalFormatting>
  <conditionalFormatting sqref="V158:V199">
    <cfRule type="cellIs" dxfId="1067" priority="632" operator="equal">
      <formula>0</formula>
    </cfRule>
  </conditionalFormatting>
  <conditionalFormatting sqref="S1">
    <cfRule type="cellIs" dxfId="1066" priority="631" operator="equal">
      <formula>"OPCIONES"</formula>
    </cfRule>
  </conditionalFormatting>
  <conditionalFormatting sqref="X1">
    <cfRule type="cellIs" dxfId="1065" priority="628" operator="equal">
      <formula>"STOP"</formula>
    </cfRule>
  </conditionalFormatting>
  <conditionalFormatting sqref="U1">
    <cfRule type="cellIs" dxfId="1064" priority="627" operator="equal">
      <formula>"STOP"</formula>
    </cfRule>
  </conditionalFormatting>
  <conditionalFormatting sqref="U1">
    <cfRule type="cellIs" dxfId="1063" priority="621" operator="greaterThan">
      <formula>0</formula>
    </cfRule>
  </conditionalFormatting>
  <conditionalFormatting sqref="F30">
    <cfRule type="expression" dxfId="1062" priority="608">
      <formula>$G30&gt;0</formula>
    </cfRule>
    <cfRule type="expression" dxfId="1061" priority="618">
      <formula>$G30&lt;0</formula>
    </cfRule>
  </conditionalFormatting>
  <conditionalFormatting sqref="F31">
    <cfRule type="expression" dxfId="1060" priority="606">
      <formula>$G31&gt;0</formula>
    </cfRule>
    <cfRule type="expression" dxfId="1059" priority="607">
      <formula>$G31&lt;0</formula>
    </cfRule>
  </conditionalFormatting>
  <conditionalFormatting sqref="F32">
    <cfRule type="expression" dxfId="1058" priority="604">
      <formula>$G32&gt;0</formula>
    </cfRule>
    <cfRule type="expression" dxfId="1057" priority="605">
      <formula>$G32&lt;0</formula>
    </cfRule>
  </conditionalFormatting>
  <conditionalFormatting sqref="F33">
    <cfRule type="expression" dxfId="1056" priority="602">
      <formula>$G33&gt;0</formula>
    </cfRule>
    <cfRule type="expression" dxfId="1055" priority="603">
      <formula>$G33&lt;0</formula>
    </cfRule>
  </conditionalFormatting>
  <conditionalFormatting sqref="F34">
    <cfRule type="expression" dxfId="1054" priority="600">
      <formula>$G34&gt;0</formula>
    </cfRule>
    <cfRule type="expression" dxfId="1053" priority="601">
      <formula>$G34&lt;0</formula>
    </cfRule>
  </conditionalFormatting>
  <conditionalFormatting sqref="F35">
    <cfRule type="expression" dxfId="1052" priority="598">
      <formula>$G35&gt;0</formula>
    </cfRule>
    <cfRule type="expression" dxfId="1051" priority="599">
      <formula>$G35&lt;0</formula>
    </cfRule>
  </conditionalFormatting>
  <conditionalFormatting sqref="F36">
    <cfRule type="expression" dxfId="1050" priority="596">
      <formula>$G36&gt;0</formula>
    </cfRule>
    <cfRule type="expression" dxfId="1049" priority="597">
      <formula>$G36&lt;0</formula>
    </cfRule>
  </conditionalFormatting>
  <conditionalFormatting sqref="F37">
    <cfRule type="expression" dxfId="1048" priority="594">
      <formula>$G37&gt;0</formula>
    </cfRule>
    <cfRule type="expression" dxfId="1047" priority="595">
      <formula>$G37&lt;0</formula>
    </cfRule>
  </conditionalFormatting>
  <conditionalFormatting sqref="F38">
    <cfRule type="expression" dxfId="1046" priority="592">
      <formula>$G38&gt;0</formula>
    </cfRule>
    <cfRule type="expression" dxfId="1045" priority="593">
      <formula>$G38&lt;0</formula>
    </cfRule>
  </conditionalFormatting>
  <conditionalFormatting sqref="F39">
    <cfRule type="expression" dxfId="1044" priority="590">
      <formula>$G39&gt;0</formula>
    </cfRule>
    <cfRule type="expression" dxfId="1043" priority="591">
      <formula>$G39&lt;0</formula>
    </cfRule>
  </conditionalFormatting>
  <conditionalFormatting sqref="G40:G49">
    <cfRule type="cellIs" dxfId="1042" priority="588" operator="lessThan">
      <formula>0</formula>
    </cfRule>
    <cfRule type="cellIs" dxfId="1041" priority="589" operator="greaterThan">
      <formula>0</formula>
    </cfRule>
  </conditionalFormatting>
  <conditionalFormatting sqref="F40">
    <cfRule type="expression" dxfId="1040" priority="586">
      <formula>$G40&gt;0</formula>
    </cfRule>
    <cfRule type="expression" dxfId="1039" priority="587">
      <formula>$G40&lt;0</formula>
    </cfRule>
  </conditionalFormatting>
  <conditionalFormatting sqref="F41">
    <cfRule type="expression" dxfId="1038" priority="584">
      <formula>$G41&gt;0</formula>
    </cfRule>
    <cfRule type="expression" dxfId="1037" priority="585">
      <formula>$G41&lt;0</formula>
    </cfRule>
  </conditionalFormatting>
  <conditionalFormatting sqref="F42">
    <cfRule type="expression" dxfId="1036" priority="582">
      <formula>$G42&gt;0</formula>
    </cfRule>
    <cfRule type="expression" dxfId="1035" priority="583">
      <formula>$G42&lt;0</formula>
    </cfRule>
  </conditionalFormatting>
  <conditionalFormatting sqref="F43">
    <cfRule type="expression" dxfId="1034" priority="580">
      <formula>$G43&gt;0</formula>
    </cfRule>
    <cfRule type="expression" dxfId="1033" priority="581">
      <formula>$G43&lt;0</formula>
    </cfRule>
  </conditionalFormatting>
  <conditionalFormatting sqref="F44">
    <cfRule type="expression" dxfId="1032" priority="578">
      <formula>$G44&gt;0</formula>
    </cfRule>
    <cfRule type="expression" dxfId="1031" priority="579">
      <formula>$G44&lt;0</formula>
    </cfRule>
  </conditionalFormatting>
  <conditionalFormatting sqref="F45">
    <cfRule type="expression" dxfId="1030" priority="576">
      <formula>$G45&gt;0</formula>
    </cfRule>
    <cfRule type="expression" dxfId="1029" priority="577">
      <formula>$G45&lt;0</formula>
    </cfRule>
  </conditionalFormatting>
  <conditionalFormatting sqref="F46">
    <cfRule type="expression" dxfId="1028" priority="574">
      <formula>$G46&gt;0</formula>
    </cfRule>
    <cfRule type="expression" dxfId="1027" priority="575">
      <formula>$G46&lt;0</formula>
    </cfRule>
  </conditionalFormatting>
  <conditionalFormatting sqref="F47">
    <cfRule type="expression" dxfId="1026" priority="572">
      <formula>$G47&gt;0</formula>
    </cfRule>
    <cfRule type="expression" dxfId="1025" priority="573">
      <formula>$G47&lt;0</formula>
    </cfRule>
  </conditionalFormatting>
  <conditionalFormatting sqref="F48">
    <cfRule type="expression" dxfId="1024" priority="570">
      <formula>$G48&gt;0</formula>
    </cfRule>
    <cfRule type="expression" dxfId="1023" priority="571">
      <formula>$G48&lt;0</formula>
    </cfRule>
  </conditionalFormatting>
  <conditionalFormatting sqref="F49">
    <cfRule type="expression" dxfId="1022" priority="568">
      <formula>$G49&gt;0</formula>
    </cfRule>
    <cfRule type="expression" dxfId="1021" priority="569">
      <formula>$G49&lt;0</formula>
    </cfRule>
  </conditionalFormatting>
  <conditionalFormatting sqref="G50:G59">
    <cfRule type="cellIs" dxfId="1020" priority="566" operator="lessThan">
      <formula>0</formula>
    </cfRule>
    <cfRule type="cellIs" dxfId="1019" priority="567" operator="greaterThan">
      <formula>0</formula>
    </cfRule>
  </conditionalFormatting>
  <conditionalFormatting sqref="F50">
    <cfRule type="expression" dxfId="1018" priority="564">
      <formula>$G50&gt;0</formula>
    </cfRule>
    <cfRule type="expression" dxfId="1017" priority="565">
      <formula>$G50&lt;0</formula>
    </cfRule>
  </conditionalFormatting>
  <conditionalFormatting sqref="F51">
    <cfRule type="expression" dxfId="1016" priority="562">
      <formula>$G51&gt;0</formula>
    </cfRule>
    <cfRule type="expression" dxfId="1015" priority="563">
      <formula>$G51&lt;0</formula>
    </cfRule>
  </conditionalFormatting>
  <conditionalFormatting sqref="F52">
    <cfRule type="expression" dxfId="1014" priority="560">
      <formula>$G52&gt;0</formula>
    </cfRule>
    <cfRule type="expression" dxfId="1013" priority="561">
      <formula>$G52&lt;0</formula>
    </cfRule>
  </conditionalFormatting>
  <conditionalFormatting sqref="F53">
    <cfRule type="expression" dxfId="1012" priority="558">
      <formula>$G53&gt;0</formula>
    </cfRule>
    <cfRule type="expression" dxfId="1011" priority="559">
      <formula>$G53&lt;0</formula>
    </cfRule>
  </conditionalFormatting>
  <conditionalFormatting sqref="F54">
    <cfRule type="expression" dxfId="1010" priority="556">
      <formula>$G54&gt;0</formula>
    </cfRule>
    <cfRule type="expression" dxfId="1009" priority="557">
      <formula>$G54&lt;0</formula>
    </cfRule>
  </conditionalFormatting>
  <conditionalFormatting sqref="F55">
    <cfRule type="expression" dxfId="1008" priority="554">
      <formula>$G55&gt;0</formula>
    </cfRule>
    <cfRule type="expression" dxfId="1007" priority="555">
      <formula>$G55&lt;0</formula>
    </cfRule>
  </conditionalFormatting>
  <conditionalFormatting sqref="F56">
    <cfRule type="expression" dxfId="1006" priority="552">
      <formula>$G56&gt;0</formula>
    </cfRule>
    <cfRule type="expression" dxfId="1005" priority="553">
      <formula>$G56&lt;0</formula>
    </cfRule>
  </conditionalFormatting>
  <conditionalFormatting sqref="F57">
    <cfRule type="expression" dxfId="1004" priority="550">
      <formula>$G57&gt;0</formula>
    </cfRule>
    <cfRule type="expression" dxfId="1003" priority="551">
      <formula>$G57&lt;0</formula>
    </cfRule>
  </conditionalFormatting>
  <conditionalFormatting sqref="F58">
    <cfRule type="expression" dxfId="1002" priority="548">
      <formula>$G58&gt;0</formula>
    </cfRule>
    <cfRule type="expression" dxfId="1001" priority="549">
      <formula>$G58&lt;0</formula>
    </cfRule>
  </conditionalFormatting>
  <conditionalFormatting sqref="F59">
    <cfRule type="expression" dxfId="1000" priority="546">
      <formula>$G59&gt;0</formula>
    </cfRule>
    <cfRule type="expression" dxfId="999" priority="547">
      <formula>$G59&lt;0</formula>
    </cfRule>
  </conditionalFormatting>
  <conditionalFormatting sqref="G2:G5">
    <cfRule type="cellIs" dxfId="998" priority="544" operator="lessThan">
      <formula>0</formula>
    </cfRule>
    <cfRule type="cellIs" dxfId="997" priority="545" operator="greaterThan">
      <formula>0</formula>
    </cfRule>
  </conditionalFormatting>
  <conditionalFormatting sqref="F2">
    <cfRule type="expression" dxfId="996" priority="542">
      <formula>$G2&gt;0</formula>
    </cfRule>
    <cfRule type="expression" dxfId="995" priority="543">
      <formula>$G2&lt;0</formula>
    </cfRule>
  </conditionalFormatting>
  <conditionalFormatting sqref="F3">
    <cfRule type="expression" dxfId="994" priority="540">
      <formula>$G3&gt;0</formula>
    </cfRule>
    <cfRule type="expression" dxfId="993" priority="541">
      <formula>$G3&lt;0</formula>
    </cfRule>
  </conditionalFormatting>
  <conditionalFormatting sqref="F4">
    <cfRule type="expression" dxfId="992" priority="538">
      <formula>$G4&gt;0</formula>
    </cfRule>
    <cfRule type="expression" dxfId="991" priority="539">
      <formula>$G4&lt;0</formula>
    </cfRule>
  </conditionalFormatting>
  <conditionalFormatting sqref="F5">
    <cfRule type="expression" dxfId="990" priority="536">
      <formula>$G5&gt;0</formula>
    </cfRule>
    <cfRule type="expression" dxfId="989" priority="537">
      <formula>$G5&lt;0</formula>
    </cfRule>
  </conditionalFormatting>
  <conditionalFormatting sqref="G6:G9">
    <cfRule type="cellIs" dxfId="988" priority="534" operator="lessThan">
      <formula>0</formula>
    </cfRule>
    <cfRule type="cellIs" dxfId="987" priority="535" operator="greaterThan">
      <formula>0</formula>
    </cfRule>
  </conditionalFormatting>
  <conditionalFormatting sqref="F6">
    <cfRule type="expression" dxfId="986" priority="532">
      <formula>$G6&gt;0</formula>
    </cfRule>
    <cfRule type="expression" dxfId="985" priority="533">
      <formula>$G6&lt;0</formula>
    </cfRule>
  </conditionalFormatting>
  <conditionalFormatting sqref="F7">
    <cfRule type="expression" dxfId="984" priority="530">
      <formula>$G7&gt;0</formula>
    </cfRule>
    <cfRule type="expression" dxfId="983" priority="531">
      <formula>$G7&lt;0</formula>
    </cfRule>
  </conditionalFormatting>
  <conditionalFormatting sqref="F8">
    <cfRule type="expression" dxfId="982" priority="528">
      <formula>$G8&gt;0</formula>
    </cfRule>
    <cfRule type="expression" dxfId="981" priority="529">
      <formula>$G8&lt;0</formula>
    </cfRule>
  </conditionalFormatting>
  <conditionalFormatting sqref="F9">
    <cfRule type="expression" dxfId="980" priority="526">
      <formula>$G9&gt;0</formula>
    </cfRule>
    <cfRule type="expression" dxfId="979" priority="527">
      <formula>$G9&lt;0</formula>
    </cfRule>
  </conditionalFormatting>
  <conditionalFormatting sqref="G10:G13">
    <cfRule type="cellIs" dxfId="978" priority="524" operator="lessThan">
      <formula>0</formula>
    </cfRule>
    <cfRule type="cellIs" dxfId="977" priority="525" operator="greaterThan">
      <formula>0</formula>
    </cfRule>
  </conditionalFormatting>
  <conditionalFormatting sqref="F10">
    <cfRule type="expression" dxfId="976" priority="522">
      <formula>$G10&gt;0</formula>
    </cfRule>
    <cfRule type="expression" dxfId="975" priority="523">
      <formula>$G10&lt;0</formula>
    </cfRule>
  </conditionalFormatting>
  <conditionalFormatting sqref="F11">
    <cfRule type="expression" dxfId="974" priority="520">
      <formula>$G11&gt;0</formula>
    </cfRule>
    <cfRule type="expression" dxfId="973" priority="521">
      <formula>$G11&lt;0</formula>
    </cfRule>
  </conditionalFormatting>
  <conditionalFormatting sqref="F12">
    <cfRule type="expression" dxfId="972" priority="518">
      <formula>$G12&gt;0</formula>
    </cfRule>
    <cfRule type="expression" dxfId="971" priority="519">
      <formula>$G12&lt;0</formula>
    </cfRule>
  </conditionalFormatting>
  <conditionalFormatting sqref="F13">
    <cfRule type="expression" dxfId="970" priority="516">
      <formula>$G13&gt;0</formula>
    </cfRule>
    <cfRule type="expression" dxfId="969" priority="517">
      <formula>$G13&lt;0</formula>
    </cfRule>
  </conditionalFormatting>
  <conditionalFormatting sqref="G14:G17">
    <cfRule type="cellIs" dxfId="968" priority="514" operator="lessThan">
      <formula>0</formula>
    </cfRule>
    <cfRule type="cellIs" dxfId="967" priority="515" operator="greaterThan">
      <formula>0</formula>
    </cfRule>
  </conditionalFormatting>
  <conditionalFormatting sqref="F14">
    <cfRule type="expression" dxfId="966" priority="512">
      <formula>$G14&gt;0</formula>
    </cfRule>
    <cfRule type="expression" dxfId="965" priority="513">
      <formula>$G14&lt;0</formula>
    </cfRule>
  </conditionalFormatting>
  <conditionalFormatting sqref="F15">
    <cfRule type="expression" dxfId="964" priority="510">
      <formula>$G15&gt;0</formula>
    </cfRule>
    <cfRule type="expression" dxfId="963" priority="511">
      <formula>$G15&lt;0</formula>
    </cfRule>
  </conditionalFormatting>
  <conditionalFormatting sqref="F16">
    <cfRule type="expression" dxfId="962" priority="508">
      <formula>$G16&gt;0</formula>
    </cfRule>
    <cfRule type="expression" dxfId="961" priority="509">
      <formula>$G16&lt;0</formula>
    </cfRule>
  </conditionalFormatting>
  <conditionalFormatting sqref="F17">
    <cfRule type="expression" dxfId="960" priority="506">
      <formula>$G17&gt;0</formula>
    </cfRule>
    <cfRule type="expression" dxfId="959" priority="507">
      <formula>$G17&lt;0</formula>
    </cfRule>
  </conditionalFormatting>
  <conditionalFormatting sqref="G18:G21">
    <cfRule type="cellIs" dxfId="958" priority="504" operator="lessThan">
      <formula>0</formula>
    </cfRule>
    <cfRule type="cellIs" dxfId="957" priority="505" operator="greaterThan">
      <formula>0</formula>
    </cfRule>
  </conditionalFormatting>
  <conditionalFormatting sqref="F18">
    <cfRule type="expression" dxfId="956" priority="502">
      <formula>$G18&gt;0</formula>
    </cfRule>
    <cfRule type="expression" dxfId="955" priority="503">
      <formula>$G18&lt;0</formula>
    </cfRule>
  </conditionalFormatting>
  <conditionalFormatting sqref="F19">
    <cfRule type="expression" dxfId="954" priority="500">
      <formula>$G19&gt;0</formula>
    </cfRule>
    <cfRule type="expression" dxfId="953" priority="501">
      <formula>$G19&lt;0</formula>
    </cfRule>
  </conditionalFormatting>
  <conditionalFormatting sqref="F20">
    <cfRule type="expression" dxfId="952" priority="498">
      <formula>$G20&gt;0</formula>
    </cfRule>
    <cfRule type="expression" dxfId="951" priority="499">
      <formula>$G20&lt;0</formula>
    </cfRule>
  </conditionalFormatting>
  <conditionalFormatting sqref="F21">
    <cfRule type="expression" dxfId="950" priority="496">
      <formula>$G21&gt;0</formula>
    </cfRule>
    <cfRule type="expression" dxfId="949" priority="497">
      <formula>$G21&lt;0</formula>
    </cfRule>
  </conditionalFormatting>
  <conditionalFormatting sqref="G22:G25">
    <cfRule type="cellIs" dxfId="948" priority="494" operator="lessThan">
      <formula>0</formula>
    </cfRule>
    <cfRule type="cellIs" dxfId="947" priority="495" operator="greaterThan">
      <formula>0</formula>
    </cfRule>
  </conditionalFormatting>
  <conditionalFormatting sqref="F22">
    <cfRule type="expression" dxfId="946" priority="492">
      <formula>$G22&gt;0</formula>
    </cfRule>
    <cfRule type="expression" dxfId="945" priority="493">
      <formula>$G22&lt;0</formula>
    </cfRule>
  </conditionalFormatting>
  <conditionalFormatting sqref="F23">
    <cfRule type="expression" dxfId="944" priority="490">
      <formula>$G23&gt;0</formula>
    </cfRule>
    <cfRule type="expression" dxfId="943" priority="491">
      <formula>$G23&lt;0</formula>
    </cfRule>
  </conditionalFormatting>
  <conditionalFormatting sqref="F24">
    <cfRule type="expression" dxfId="942" priority="488">
      <formula>$G24&gt;0</formula>
    </cfRule>
    <cfRule type="expression" dxfId="941" priority="489">
      <formula>$G24&lt;0</formula>
    </cfRule>
  </conditionalFormatting>
  <conditionalFormatting sqref="F25">
    <cfRule type="expression" dxfId="940" priority="486">
      <formula>$G25&gt;0</formula>
    </cfRule>
    <cfRule type="expression" dxfId="939" priority="487">
      <formula>$G25&lt;0</formula>
    </cfRule>
  </conditionalFormatting>
  <conditionalFormatting sqref="G26:G29">
    <cfRule type="cellIs" dxfId="938" priority="484" operator="lessThan">
      <formula>0</formula>
    </cfRule>
    <cfRule type="cellIs" dxfId="937" priority="485" operator="greaterThan">
      <formula>0</formula>
    </cfRule>
  </conditionalFormatting>
  <conditionalFormatting sqref="F26">
    <cfRule type="expression" dxfId="936" priority="482">
      <formula>$G26&gt;0</formula>
    </cfRule>
    <cfRule type="expression" dxfId="935" priority="483">
      <formula>$G26&lt;0</formula>
    </cfRule>
  </conditionalFormatting>
  <conditionalFormatting sqref="F27">
    <cfRule type="expression" dxfId="934" priority="480">
      <formula>$G27&gt;0</formula>
    </cfRule>
    <cfRule type="expression" dxfId="933" priority="481">
      <formula>$G27&lt;0</formula>
    </cfRule>
  </conditionalFormatting>
  <conditionalFormatting sqref="F28">
    <cfRule type="expression" dxfId="932" priority="478">
      <formula>$G28&gt;0</formula>
    </cfRule>
    <cfRule type="expression" dxfId="931" priority="479">
      <formula>$G28&lt;0</formula>
    </cfRule>
  </conditionalFormatting>
  <conditionalFormatting sqref="F29">
    <cfRule type="expression" dxfId="930" priority="476">
      <formula>$G29&gt;0</formula>
    </cfRule>
    <cfRule type="expression" dxfId="929" priority="477">
      <formula>$G29&lt;0</formula>
    </cfRule>
  </conditionalFormatting>
  <conditionalFormatting sqref="G60:G61">
    <cfRule type="cellIs" dxfId="928" priority="474" operator="lessThan">
      <formula>0</formula>
    </cfRule>
    <cfRule type="cellIs" dxfId="927" priority="475" operator="greaterThan">
      <formula>0</formula>
    </cfRule>
  </conditionalFormatting>
  <conditionalFormatting sqref="F60">
    <cfRule type="expression" dxfId="926" priority="472">
      <formula>$G60&gt;0</formula>
    </cfRule>
    <cfRule type="expression" dxfId="925" priority="473">
      <formula>$G60&lt;0</formula>
    </cfRule>
  </conditionalFormatting>
  <conditionalFormatting sqref="F61">
    <cfRule type="expression" dxfId="924" priority="470">
      <formula>$G61&gt;0</formula>
    </cfRule>
    <cfRule type="expression" dxfId="923" priority="471">
      <formula>$G61&lt;0</formula>
    </cfRule>
  </conditionalFormatting>
  <conditionalFormatting sqref="G62:G65">
    <cfRule type="cellIs" dxfId="922" priority="468" operator="lessThan">
      <formula>0</formula>
    </cfRule>
    <cfRule type="cellIs" dxfId="921" priority="469" operator="greaterThan">
      <formula>0</formula>
    </cfRule>
  </conditionalFormatting>
  <conditionalFormatting sqref="F62">
    <cfRule type="expression" dxfId="920" priority="466">
      <formula>$G62&gt;0</formula>
    </cfRule>
    <cfRule type="expression" dxfId="919" priority="467">
      <formula>$G62&lt;0</formula>
    </cfRule>
  </conditionalFormatting>
  <conditionalFormatting sqref="F63">
    <cfRule type="expression" dxfId="918" priority="464">
      <formula>$G63&gt;0</formula>
    </cfRule>
    <cfRule type="expression" dxfId="917" priority="465">
      <formula>$G63&lt;0</formula>
    </cfRule>
  </conditionalFormatting>
  <conditionalFormatting sqref="F64">
    <cfRule type="expression" dxfId="916" priority="462">
      <formula>$G64&gt;0</formula>
    </cfRule>
    <cfRule type="expression" dxfId="915" priority="463">
      <formula>$G64&lt;0</formula>
    </cfRule>
  </conditionalFormatting>
  <conditionalFormatting sqref="F65">
    <cfRule type="expression" dxfId="914" priority="460">
      <formula>$G65&gt;0</formula>
    </cfRule>
    <cfRule type="expression" dxfId="913" priority="461">
      <formula>$G65&lt;0</formula>
    </cfRule>
  </conditionalFormatting>
  <conditionalFormatting sqref="G66:G67">
    <cfRule type="cellIs" dxfId="912" priority="458" operator="lessThan">
      <formula>0</formula>
    </cfRule>
    <cfRule type="cellIs" dxfId="911" priority="459" operator="greaterThan">
      <formula>0</formula>
    </cfRule>
  </conditionalFormatting>
  <conditionalFormatting sqref="F66">
    <cfRule type="expression" dxfId="910" priority="456">
      <formula>$G66&gt;0</formula>
    </cfRule>
    <cfRule type="expression" dxfId="909" priority="457">
      <formula>$G66&lt;0</formula>
    </cfRule>
  </conditionalFormatting>
  <conditionalFormatting sqref="F67">
    <cfRule type="expression" dxfId="908" priority="454">
      <formula>$G67&gt;0</formula>
    </cfRule>
    <cfRule type="expression" dxfId="907" priority="455">
      <formula>$G67&lt;0</formula>
    </cfRule>
  </conditionalFormatting>
  <conditionalFormatting sqref="G68:G71">
    <cfRule type="cellIs" dxfId="906" priority="452" operator="lessThan">
      <formula>0</formula>
    </cfRule>
    <cfRule type="cellIs" dxfId="905" priority="453" operator="greaterThan">
      <formula>0</formula>
    </cfRule>
  </conditionalFormatting>
  <conditionalFormatting sqref="F68">
    <cfRule type="expression" dxfId="904" priority="450">
      <formula>$G68&gt;0</formula>
    </cfRule>
    <cfRule type="expression" dxfId="903" priority="451">
      <formula>$G68&lt;0</formula>
    </cfRule>
  </conditionalFormatting>
  <conditionalFormatting sqref="F69">
    <cfRule type="expression" dxfId="902" priority="448">
      <formula>$G69&gt;0</formula>
    </cfRule>
    <cfRule type="expression" dxfId="901" priority="449">
      <formula>$G69&lt;0</formula>
    </cfRule>
  </conditionalFormatting>
  <conditionalFormatting sqref="F70">
    <cfRule type="expression" dxfId="900" priority="446">
      <formula>$G70&gt;0</formula>
    </cfRule>
    <cfRule type="expression" dxfId="899" priority="447">
      <formula>$G70&lt;0</formula>
    </cfRule>
  </conditionalFormatting>
  <conditionalFormatting sqref="F71">
    <cfRule type="expression" dxfId="898" priority="444">
      <formula>$G71&gt;0</formula>
    </cfRule>
    <cfRule type="expression" dxfId="897" priority="445">
      <formula>$G71&lt;0</formula>
    </cfRule>
  </conditionalFormatting>
  <conditionalFormatting sqref="G72:G73">
    <cfRule type="cellIs" dxfId="896" priority="442" operator="lessThan">
      <formula>0</formula>
    </cfRule>
    <cfRule type="cellIs" dxfId="895" priority="443" operator="greaterThan">
      <formula>0</formula>
    </cfRule>
  </conditionalFormatting>
  <conditionalFormatting sqref="F72">
    <cfRule type="expression" dxfId="894" priority="440">
      <formula>$G72&gt;0</formula>
    </cfRule>
    <cfRule type="expression" dxfId="893" priority="441">
      <formula>$G72&lt;0</formula>
    </cfRule>
  </conditionalFormatting>
  <conditionalFormatting sqref="F73">
    <cfRule type="expression" dxfId="892" priority="438">
      <formula>$G73&gt;0</formula>
    </cfRule>
    <cfRule type="expression" dxfId="891" priority="439">
      <formula>$G73&lt;0</formula>
    </cfRule>
  </conditionalFormatting>
  <conditionalFormatting sqref="G74:G77">
    <cfRule type="cellIs" dxfId="890" priority="436" operator="lessThan">
      <formula>0</formula>
    </cfRule>
    <cfRule type="cellIs" dxfId="889" priority="437" operator="greaterThan">
      <formula>0</formula>
    </cfRule>
  </conditionalFormatting>
  <conditionalFormatting sqref="F74">
    <cfRule type="expression" dxfId="888" priority="434">
      <formula>$G74&gt;0</formula>
    </cfRule>
    <cfRule type="expression" dxfId="887" priority="435">
      <formula>$G74&lt;0</formula>
    </cfRule>
  </conditionalFormatting>
  <conditionalFormatting sqref="F75">
    <cfRule type="expression" dxfId="886" priority="432">
      <formula>$G75&gt;0</formula>
    </cfRule>
    <cfRule type="expression" dxfId="885" priority="433">
      <formula>$G75&lt;0</formula>
    </cfRule>
  </conditionalFormatting>
  <conditionalFormatting sqref="F76">
    <cfRule type="expression" dxfId="884" priority="430">
      <formula>$G76&gt;0</formula>
    </cfRule>
    <cfRule type="expression" dxfId="883" priority="431">
      <formula>$G76&lt;0</formula>
    </cfRule>
  </conditionalFormatting>
  <conditionalFormatting sqref="F77">
    <cfRule type="expression" dxfId="882" priority="428">
      <formula>$G77&gt;0</formula>
    </cfRule>
    <cfRule type="expression" dxfId="881" priority="429">
      <formula>$G77&lt;0</formula>
    </cfRule>
  </conditionalFormatting>
  <conditionalFormatting sqref="G78:G79">
    <cfRule type="cellIs" dxfId="880" priority="426" operator="lessThan">
      <formula>0</formula>
    </cfRule>
    <cfRule type="cellIs" dxfId="879" priority="427" operator="greaterThan">
      <formula>0</formula>
    </cfRule>
  </conditionalFormatting>
  <conditionalFormatting sqref="F78">
    <cfRule type="expression" dxfId="878" priority="424">
      <formula>$G78&gt;0</formula>
    </cfRule>
    <cfRule type="expression" dxfId="877" priority="425">
      <formula>$G78&lt;0</formula>
    </cfRule>
  </conditionalFormatting>
  <conditionalFormatting sqref="F79">
    <cfRule type="expression" dxfId="876" priority="422">
      <formula>$G79&gt;0</formula>
    </cfRule>
    <cfRule type="expression" dxfId="875" priority="423">
      <formula>$G79&lt;0</formula>
    </cfRule>
  </conditionalFormatting>
  <conditionalFormatting sqref="G80:G83">
    <cfRule type="cellIs" dxfId="874" priority="420" operator="lessThan">
      <formula>0</formula>
    </cfRule>
    <cfRule type="cellIs" dxfId="873" priority="421" operator="greaterThan">
      <formula>0</formula>
    </cfRule>
  </conditionalFormatting>
  <conditionalFormatting sqref="F80">
    <cfRule type="expression" dxfId="872" priority="418">
      <formula>$G80&gt;0</formula>
    </cfRule>
    <cfRule type="expression" dxfId="871" priority="419">
      <formula>$G80&lt;0</formula>
    </cfRule>
  </conditionalFormatting>
  <conditionalFormatting sqref="F81">
    <cfRule type="expression" dxfId="870" priority="416">
      <formula>$G81&gt;0</formula>
    </cfRule>
    <cfRule type="expression" dxfId="869" priority="417">
      <formula>$G81&lt;0</formula>
    </cfRule>
  </conditionalFormatting>
  <conditionalFormatting sqref="F82">
    <cfRule type="expression" dxfId="868" priority="414">
      <formula>$G82&gt;0</formula>
    </cfRule>
    <cfRule type="expression" dxfId="867" priority="415">
      <formula>$G82&lt;0</formula>
    </cfRule>
  </conditionalFormatting>
  <conditionalFormatting sqref="F83">
    <cfRule type="expression" dxfId="866" priority="412">
      <formula>$G83&gt;0</formula>
    </cfRule>
    <cfRule type="expression" dxfId="865" priority="413">
      <formula>$G83&lt;0</formula>
    </cfRule>
  </conditionalFormatting>
  <conditionalFormatting sqref="G84:G85">
    <cfRule type="cellIs" dxfId="864" priority="410" operator="lessThan">
      <formula>0</formula>
    </cfRule>
    <cfRule type="cellIs" dxfId="863" priority="411" operator="greaterThan">
      <formula>0</formula>
    </cfRule>
  </conditionalFormatting>
  <conditionalFormatting sqref="F84">
    <cfRule type="expression" dxfId="862" priority="408">
      <formula>$G84&gt;0</formula>
    </cfRule>
    <cfRule type="expression" dxfId="861" priority="409">
      <formula>$G84&lt;0</formula>
    </cfRule>
  </conditionalFormatting>
  <conditionalFormatting sqref="F85">
    <cfRule type="expression" dxfId="860" priority="406">
      <formula>$G85&gt;0</formula>
    </cfRule>
    <cfRule type="expression" dxfId="859" priority="407">
      <formula>$G85&lt;0</formula>
    </cfRule>
  </conditionalFormatting>
  <conditionalFormatting sqref="G86:G89">
    <cfRule type="cellIs" dxfId="858" priority="404" operator="lessThan">
      <formula>0</formula>
    </cfRule>
    <cfRule type="cellIs" dxfId="857" priority="405" operator="greaterThan">
      <formula>0</formula>
    </cfRule>
  </conditionalFormatting>
  <conditionalFormatting sqref="F86">
    <cfRule type="expression" dxfId="856" priority="402">
      <formula>$G86&gt;0</formula>
    </cfRule>
    <cfRule type="expression" dxfId="855" priority="403">
      <formula>$G86&lt;0</formula>
    </cfRule>
  </conditionalFormatting>
  <conditionalFormatting sqref="F87">
    <cfRule type="expression" dxfId="854" priority="400">
      <formula>$G87&gt;0</formula>
    </cfRule>
    <cfRule type="expression" dxfId="853" priority="401">
      <formula>$G87&lt;0</formula>
    </cfRule>
  </conditionalFormatting>
  <conditionalFormatting sqref="F88">
    <cfRule type="expression" dxfId="852" priority="398">
      <formula>$G88&gt;0</formula>
    </cfRule>
    <cfRule type="expression" dxfId="851" priority="399">
      <formula>$G88&lt;0</formula>
    </cfRule>
  </conditionalFormatting>
  <conditionalFormatting sqref="F89">
    <cfRule type="expression" dxfId="850" priority="396">
      <formula>$G89&gt;0</formula>
    </cfRule>
    <cfRule type="expression" dxfId="849" priority="397">
      <formula>$G89&lt;0</formula>
    </cfRule>
  </conditionalFormatting>
  <conditionalFormatting sqref="G90:G91">
    <cfRule type="cellIs" dxfId="848" priority="394" operator="lessThan">
      <formula>0</formula>
    </cfRule>
    <cfRule type="cellIs" dxfId="847" priority="395" operator="greaterThan">
      <formula>0</formula>
    </cfRule>
  </conditionalFormatting>
  <conditionalFormatting sqref="F90">
    <cfRule type="expression" dxfId="846" priority="392">
      <formula>$G90&gt;0</formula>
    </cfRule>
    <cfRule type="expression" dxfId="845" priority="393">
      <formula>$G90&lt;0</formula>
    </cfRule>
  </conditionalFormatting>
  <conditionalFormatting sqref="F91">
    <cfRule type="expression" dxfId="844" priority="390">
      <formula>$G91&gt;0</formula>
    </cfRule>
    <cfRule type="expression" dxfId="843" priority="391">
      <formula>$G91&lt;0</formula>
    </cfRule>
  </conditionalFormatting>
  <conditionalFormatting sqref="G92:G95">
    <cfRule type="cellIs" dxfId="842" priority="388" operator="lessThan">
      <formula>0</formula>
    </cfRule>
    <cfRule type="cellIs" dxfId="841" priority="389" operator="greaterThan">
      <formula>0</formula>
    </cfRule>
  </conditionalFormatting>
  <conditionalFormatting sqref="F92">
    <cfRule type="expression" dxfId="840" priority="386">
      <formula>$G92&gt;0</formula>
    </cfRule>
    <cfRule type="expression" dxfId="839" priority="387">
      <formula>$G92&lt;0</formula>
    </cfRule>
  </conditionalFormatting>
  <conditionalFormatting sqref="F93">
    <cfRule type="expression" dxfId="838" priority="384">
      <formula>$G93&gt;0</formula>
    </cfRule>
    <cfRule type="expression" dxfId="837" priority="385">
      <formula>$G93&lt;0</formula>
    </cfRule>
  </conditionalFormatting>
  <conditionalFormatting sqref="F94">
    <cfRule type="expression" dxfId="836" priority="382">
      <formula>$G94&gt;0</formula>
    </cfRule>
    <cfRule type="expression" dxfId="835" priority="383">
      <formula>$G94&lt;0</formula>
    </cfRule>
  </conditionalFormatting>
  <conditionalFormatting sqref="F95">
    <cfRule type="expression" dxfId="834" priority="380">
      <formula>$G95&gt;0</formula>
    </cfRule>
    <cfRule type="expression" dxfId="833" priority="381">
      <formula>$G95&lt;0</formula>
    </cfRule>
  </conditionalFormatting>
  <conditionalFormatting sqref="G96:G97">
    <cfRule type="cellIs" dxfId="832" priority="378" operator="lessThan">
      <formula>0</formula>
    </cfRule>
    <cfRule type="cellIs" dxfId="831" priority="379" operator="greaterThan">
      <formula>0</formula>
    </cfRule>
  </conditionalFormatting>
  <conditionalFormatting sqref="F96">
    <cfRule type="expression" dxfId="830" priority="376">
      <formula>$G96&gt;0</formula>
    </cfRule>
    <cfRule type="expression" dxfId="829" priority="377">
      <formula>$G96&lt;0</formula>
    </cfRule>
  </conditionalFormatting>
  <conditionalFormatting sqref="F97">
    <cfRule type="expression" dxfId="828" priority="374">
      <formula>$G97&gt;0</formula>
    </cfRule>
    <cfRule type="expression" dxfId="827" priority="375">
      <formula>$G97&lt;0</formula>
    </cfRule>
  </conditionalFormatting>
  <conditionalFormatting sqref="G98:G101">
    <cfRule type="cellIs" dxfId="826" priority="372" operator="lessThan">
      <formula>0</formula>
    </cfRule>
    <cfRule type="cellIs" dxfId="825" priority="373" operator="greaterThan">
      <formula>0</formula>
    </cfRule>
  </conditionalFormatting>
  <conditionalFormatting sqref="F98">
    <cfRule type="expression" dxfId="824" priority="370">
      <formula>$G98&gt;0</formula>
    </cfRule>
    <cfRule type="expression" dxfId="823" priority="371">
      <formula>$G98&lt;0</formula>
    </cfRule>
  </conditionalFormatting>
  <conditionalFormatting sqref="F99">
    <cfRule type="expression" dxfId="822" priority="368">
      <formula>$G99&gt;0</formula>
    </cfRule>
    <cfRule type="expression" dxfId="821" priority="369">
      <formula>$G99&lt;0</formula>
    </cfRule>
  </conditionalFormatting>
  <conditionalFormatting sqref="F100">
    <cfRule type="expression" dxfId="820" priority="366">
      <formula>$G100&gt;0</formula>
    </cfRule>
    <cfRule type="expression" dxfId="819" priority="367">
      <formula>$G100&lt;0</formula>
    </cfRule>
  </conditionalFormatting>
  <conditionalFormatting sqref="F101">
    <cfRule type="expression" dxfId="818" priority="364">
      <formula>$G101&gt;0</formula>
    </cfRule>
    <cfRule type="expression" dxfId="817" priority="365">
      <formula>$G101&lt;0</formula>
    </cfRule>
  </conditionalFormatting>
  <conditionalFormatting sqref="G102:G103">
    <cfRule type="cellIs" dxfId="816" priority="362" operator="lessThan">
      <formula>0</formula>
    </cfRule>
    <cfRule type="cellIs" dxfId="815" priority="363" operator="greaterThan">
      <formula>0</formula>
    </cfRule>
  </conditionalFormatting>
  <conditionalFormatting sqref="F102">
    <cfRule type="expression" dxfId="814" priority="360">
      <formula>$G102&gt;0</formula>
    </cfRule>
    <cfRule type="expression" dxfId="813" priority="361">
      <formula>$G102&lt;0</formula>
    </cfRule>
  </conditionalFormatting>
  <conditionalFormatting sqref="F103">
    <cfRule type="expression" dxfId="812" priority="358">
      <formula>$G103&gt;0</formula>
    </cfRule>
    <cfRule type="expression" dxfId="811" priority="359">
      <formula>$G103&lt;0</formula>
    </cfRule>
  </conditionalFormatting>
  <conditionalFormatting sqref="G104:G107">
    <cfRule type="cellIs" dxfId="810" priority="356" operator="lessThan">
      <formula>0</formula>
    </cfRule>
    <cfRule type="cellIs" dxfId="809" priority="357" operator="greaterThan">
      <formula>0</formula>
    </cfRule>
  </conditionalFormatting>
  <conditionalFormatting sqref="F104">
    <cfRule type="expression" dxfId="808" priority="354">
      <formula>$G104&gt;0</formula>
    </cfRule>
    <cfRule type="expression" dxfId="807" priority="355">
      <formula>$G104&lt;0</formula>
    </cfRule>
  </conditionalFormatting>
  <conditionalFormatting sqref="F105">
    <cfRule type="expression" dxfId="806" priority="352">
      <formula>$G105&gt;0</formula>
    </cfRule>
    <cfRule type="expression" dxfId="805" priority="353">
      <formula>$G105&lt;0</formula>
    </cfRule>
  </conditionalFormatting>
  <conditionalFormatting sqref="F106">
    <cfRule type="expression" dxfId="804" priority="350">
      <formula>$G106&gt;0</formula>
    </cfRule>
    <cfRule type="expression" dxfId="803" priority="351">
      <formula>$G106&lt;0</formula>
    </cfRule>
  </conditionalFormatting>
  <conditionalFormatting sqref="F107">
    <cfRule type="expression" dxfId="802" priority="348">
      <formula>$G107&gt;0</formula>
    </cfRule>
    <cfRule type="expression" dxfId="801" priority="349">
      <formula>$G107&lt;0</formula>
    </cfRule>
  </conditionalFormatting>
  <conditionalFormatting sqref="G108:G109">
    <cfRule type="cellIs" dxfId="800" priority="346" operator="lessThan">
      <formula>0</formula>
    </cfRule>
    <cfRule type="cellIs" dxfId="799" priority="347" operator="greaterThan">
      <formula>0</formula>
    </cfRule>
  </conditionalFormatting>
  <conditionalFormatting sqref="F108">
    <cfRule type="expression" dxfId="798" priority="344">
      <formula>$G108&gt;0</formula>
    </cfRule>
    <cfRule type="expression" dxfId="797" priority="345">
      <formula>$G108&lt;0</formula>
    </cfRule>
  </conditionalFormatting>
  <conditionalFormatting sqref="F109">
    <cfRule type="expression" dxfId="796" priority="342">
      <formula>$G109&gt;0</formula>
    </cfRule>
    <cfRule type="expression" dxfId="795" priority="343">
      <formula>$G109&lt;0</formula>
    </cfRule>
  </conditionalFormatting>
  <conditionalFormatting sqref="G110:G113">
    <cfRule type="cellIs" dxfId="794" priority="340" operator="lessThan">
      <formula>0</formula>
    </cfRule>
    <cfRule type="cellIs" dxfId="793" priority="341" operator="greaterThan">
      <formula>0</formula>
    </cfRule>
  </conditionalFormatting>
  <conditionalFormatting sqref="F110">
    <cfRule type="expression" dxfId="792" priority="338">
      <formula>$G110&gt;0</formula>
    </cfRule>
    <cfRule type="expression" dxfId="791" priority="339">
      <formula>$G110&lt;0</formula>
    </cfRule>
  </conditionalFormatting>
  <conditionalFormatting sqref="F111">
    <cfRule type="expression" dxfId="790" priority="336">
      <formula>$G111&gt;0</formula>
    </cfRule>
    <cfRule type="expression" dxfId="789" priority="337">
      <formula>$G111&lt;0</formula>
    </cfRule>
  </conditionalFormatting>
  <conditionalFormatting sqref="F112">
    <cfRule type="expression" dxfId="788" priority="334">
      <formula>$G112&gt;0</formula>
    </cfRule>
    <cfRule type="expression" dxfId="787" priority="335">
      <formula>$G112&lt;0</formula>
    </cfRule>
  </conditionalFormatting>
  <conditionalFormatting sqref="F113">
    <cfRule type="expression" dxfId="786" priority="332">
      <formula>$G113&gt;0</formula>
    </cfRule>
    <cfRule type="expression" dxfId="785" priority="333">
      <formula>$G113&lt;0</formula>
    </cfRule>
  </conditionalFormatting>
  <conditionalFormatting sqref="G114:G115">
    <cfRule type="cellIs" dxfId="784" priority="330" operator="lessThan">
      <formula>0</formula>
    </cfRule>
    <cfRule type="cellIs" dxfId="783" priority="331" operator="greaterThan">
      <formula>0</formula>
    </cfRule>
  </conditionalFormatting>
  <conditionalFormatting sqref="F114">
    <cfRule type="expression" dxfId="782" priority="328">
      <formula>$G114&gt;0</formula>
    </cfRule>
    <cfRule type="expression" dxfId="781" priority="329">
      <formula>$G114&lt;0</formula>
    </cfRule>
  </conditionalFormatting>
  <conditionalFormatting sqref="F115">
    <cfRule type="expression" dxfId="780" priority="326">
      <formula>$G115&gt;0</formula>
    </cfRule>
    <cfRule type="expression" dxfId="779" priority="327">
      <formula>$G115&lt;0</formula>
    </cfRule>
  </conditionalFormatting>
  <conditionalFormatting sqref="G116:G119">
    <cfRule type="cellIs" dxfId="778" priority="324" operator="lessThan">
      <formula>0</formula>
    </cfRule>
    <cfRule type="cellIs" dxfId="777" priority="325" operator="greaterThan">
      <formula>0</formula>
    </cfRule>
  </conditionalFormatting>
  <conditionalFormatting sqref="F116">
    <cfRule type="expression" dxfId="776" priority="322">
      <formula>$G116&gt;0</formula>
    </cfRule>
    <cfRule type="expression" dxfId="775" priority="323">
      <formula>$G116&lt;0</formula>
    </cfRule>
  </conditionalFormatting>
  <conditionalFormatting sqref="F117">
    <cfRule type="expression" dxfId="774" priority="320">
      <formula>$G117&gt;0</formula>
    </cfRule>
    <cfRule type="expression" dxfId="773" priority="321">
      <formula>$G117&lt;0</formula>
    </cfRule>
  </conditionalFormatting>
  <conditionalFormatting sqref="F118">
    <cfRule type="expression" dxfId="772" priority="318">
      <formula>$G118&gt;0</formula>
    </cfRule>
    <cfRule type="expression" dxfId="771" priority="319">
      <formula>$G118&lt;0</formula>
    </cfRule>
  </conditionalFormatting>
  <conditionalFormatting sqref="F119">
    <cfRule type="expression" dxfId="770" priority="316">
      <formula>$G119&gt;0</formula>
    </cfRule>
    <cfRule type="expression" dxfId="769" priority="317">
      <formula>$G119&lt;0</formula>
    </cfRule>
  </conditionalFormatting>
  <conditionalFormatting sqref="G120:G121">
    <cfRule type="cellIs" dxfId="768" priority="314" operator="lessThan">
      <formula>0</formula>
    </cfRule>
    <cfRule type="cellIs" dxfId="767" priority="315" operator="greaterThan">
      <formula>0</formula>
    </cfRule>
  </conditionalFormatting>
  <conditionalFormatting sqref="F120">
    <cfRule type="expression" dxfId="766" priority="312">
      <formula>$G120&gt;0</formula>
    </cfRule>
    <cfRule type="expression" dxfId="765" priority="313">
      <formula>$G120&lt;0</formula>
    </cfRule>
  </conditionalFormatting>
  <conditionalFormatting sqref="F121">
    <cfRule type="expression" dxfId="764" priority="310">
      <formula>$G121&gt;0</formula>
    </cfRule>
    <cfRule type="expression" dxfId="763" priority="311">
      <formula>$G121&lt;0</formula>
    </cfRule>
  </conditionalFormatting>
  <conditionalFormatting sqref="G122:G125">
    <cfRule type="cellIs" dxfId="762" priority="308" operator="lessThan">
      <formula>0</formula>
    </cfRule>
    <cfRule type="cellIs" dxfId="761" priority="309" operator="greaterThan">
      <formula>0</formula>
    </cfRule>
  </conditionalFormatting>
  <conditionalFormatting sqref="F122">
    <cfRule type="expression" dxfId="760" priority="306">
      <formula>$G122&gt;0</formula>
    </cfRule>
    <cfRule type="expression" dxfId="759" priority="307">
      <formula>$G122&lt;0</formula>
    </cfRule>
  </conditionalFormatting>
  <conditionalFormatting sqref="F123">
    <cfRule type="expression" dxfId="758" priority="304">
      <formula>$G123&gt;0</formula>
    </cfRule>
    <cfRule type="expression" dxfId="757" priority="305">
      <formula>$G123&lt;0</formula>
    </cfRule>
  </conditionalFormatting>
  <conditionalFormatting sqref="F124">
    <cfRule type="expression" dxfId="756" priority="302">
      <formula>$G124&gt;0</formula>
    </cfRule>
    <cfRule type="expression" dxfId="755" priority="303">
      <formula>$G124&lt;0</formula>
    </cfRule>
  </conditionalFormatting>
  <conditionalFormatting sqref="F125">
    <cfRule type="expression" dxfId="754" priority="300">
      <formula>$G125&gt;0</formula>
    </cfRule>
    <cfRule type="expression" dxfId="753" priority="301">
      <formula>$G125&lt;0</formula>
    </cfRule>
  </conditionalFormatting>
  <conditionalFormatting sqref="G126:G127">
    <cfRule type="cellIs" dxfId="752" priority="298" operator="lessThan">
      <formula>0</formula>
    </cfRule>
    <cfRule type="cellIs" dxfId="751" priority="299" operator="greaterThan">
      <formula>0</formula>
    </cfRule>
  </conditionalFormatting>
  <conditionalFormatting sqref="F126">
    <cfRule type="expression" dxfId="750" priority="296">
      <formula>$G126&gt;0</formula>
    </cfRule>
    <cfRule type="expression" dxfId="749" priority="297">
      <formula>$G126&lt;0</formula>
    </cfRule>
  </conditionalFormatting>
  <conditionalFormatting sqref="F127">
    <cfRule type="expression" dxfId="748" priority="294">
      <formula>$G127&gt;0</formula>
    </cfRule>
    <cfRule type="expression" dxfId="747" priority="295">
      <formula>$G127&lt;0</formula>
    </cfRule>
  </conditionalFormatting>
  <conditionalFormatting sqref="G128:G131">
    <cfRule type="cellIs" dxfId="746" priority="292" operator="lessThan">
      <formula>0</formula>
    </cfRule>
    <cfRule type="cellIs" dxfId="745" priority="293" operator="greaterThan">
      <formula>0</formula>
    </cfRule>
  </conditionalFormatting>
  <conditionalFormatting sqref="F128">
    <cfRule type="expression" dxfId="744" priority="290">
      <formula>$G128&gt;0</formula>
    </cfRule>
    <cfRule type="expression" dxfId="743" priority="291">
      <formula>$G128&lt;0</formula>
    </cfRule>
  </conditionalFormatting>
  <conditionalFormatting sqref="F129">
    <cfRule type="expression" dxfId="742" priority="288">
      <formula>$G129&gt;0</formula>
    </cfRule>
    <cfRule type="expression" dxfId="741" priority="289">
      <formula>$G129&lt;0</formula>
    </cfRule>
  </conditionalFormatting>
  <conditionalFormatting sqref="F130">
    <cfRule type="expression" dxfId="740" priority="286">
      <formula>$G130&gt;0</formula>
    </cfRule>
    <cfRule type="expression" dxfId="739" priority="287">
      <formula>$G130&lt;0</formula>
    </cfRule>
  </conditionalFormatting>
  <conditionalFormatting sqref="F131">
    <cfRule type="expression" dxfId="738" priority="284">
      <formula>$G131&gt;0</formula>
    </cfRule>
    <cfRule type="expression" dxfId="737" priority="285">
      <formula>$G131&lt;0</formula>
    </cfRule>
  </conditionalFormatting>
  <conditionalFormatting sqref="G132:G133">
    <cfRule type="cellIs" dxfId="736" priority="282" operator="lessThan">
      <formula>0</formula>
    </cfRule>
    <cfRule type="cellIs" dxfId="735" priority="283" operator="greaterThan">
      <formula>0</formula>
    </cfRule>
  </conditionalFormatting>
  <conditionalFormatting sqref="F132">
    <cfRule type="expression" dxfId="734" priority="280">
      <formula>$G132&gt;0</formula>
    </cfRule>
    <cfRule type="expression" dxfId="733" priority="281">
      <formula>$G132&lt;0</formula>
    </cfRule>
  </conditionalFormatting>
  <conditionalFormatting sqref="F133">
    <cfRule type="expression" dxfId="732" priority="278">
      <formula>$G133&gt;0</formula>
    </cfRule>
    <cfRule type="expression" dxfId="731" priority="279">
      <formula>$G133&lt;0</formula>
    </cfRule>
  </conditionalFormatting>
  <conditionalFormatting sqref="G134:G137">
    <cfRule type="cellIs" dxfId="730" priority="276" operator="lessThan">
      <formula>0</formula>
    </cfRule>
    <cfRule type="cellIs" dxfId="729" priority="277" operator="greaterThan">
      <formula>0</formula>
    </cfRule>
  </conditionalFormatting>
  <conditionalFormatting sqref="F134">
    <cfRule type="expression" dxfId="728" priority="274">
      <formula>$G134&gt;0</formula>
    </cfRule>
    <cfRule type="expression" dxfId="727" priority="275">
      <formula>$G134&lt;0</formula>
    </cfRule>
  </conditionalFormatting>
  <conditionalFormatting sqref="F135">
    <cfRule type="expression" dxfId="726" priority="272">
      <formula>$G135&gt;0</formula>
    </cfRule>
    <cfRule type="expression" dxfId="725" priority="273">
      <formula>$G135&lt;0</formula>
    </cfRule>
  </conditionalFormatting>
  <conditionalFormatting sqref="F136">
    <cfRule type="expression" dxfId="724" priority="270">
      <formula>$G136&gt;0</formula>
    </cfRule>
    <cfRule type="expression" dxfId="723" priority="271">
      <formula>$G136&lt;0</formula>
    </cfRule>
  </conditionalFormatting>
  <conditionalFormatting sqref="F137">
    <cfRule type="expression" dxfId="722" priority="268">
      <formula>$G137&gt;0</formula>
    </cfRule>
    <cfRule type="expression" dxfId="721" priority="269">
      <formula>$G137&lt;0</formula>
    </cfRule>
  </conditionalFormatting>
  <conditionalFormatting sqref="G138:G139">
    <cfRule type="cellIs" dxfId="720" priority="266" operator="lessThan">
      <formula>0</formula>
    </cfRule>
    <cfRule type="cellIs" dxfId="719" priority="267" operator="greaterThan">
      <formula>0</formula>
    </cfRule>
  </conditionalFormatting>
  <conditionalFormatting sqref="F138">
    <cfRule type="expression" dxfId="718" priority="264">
      <formula>$G138&gt;0</formula>
    </cfRule>
    <cfRule type="expression" dxfId="717" priority="265">
      <formula>$G138&lt;0</formula>
    </cfRule>
  </conditionalFormatting>
  <conditionalFormatting sqref="F139">
    <cfRule type="expression" dxfId="716" priority="262">
      <formula>$G139&gt;0</formula>
    </cfRule>
    <cfRule type="expression" dxfId="715" priority="263">
      <formula>$G139&lt;0</formula>
    </cfRule>
  </conditionalFormatting>
  <conditionalFormatting sqref="G140:G143">
    <cfRule type="cellIs" dxfId="714" priority="260" operator="lessThan">
      <formula>0</formula>
    </cfRule>
    <cfRule type="cellIs" dxfId="713" priority="261" operator="greaterThan">
      <formula>0</formula>
    </cfRule>
  </conditionalFormatting>
  <conditionalFormatting sqref="F140">
    <cfRule type="expression" dxfId="712" priority="258">
      <formula>$G140&gt;0</formula>
    </cfRule>
    <cfRule type="expression" dxfId="711" priority="259">
      <formula>$G140&lt;0</formula>
    </cfRule>
  </conditionalFormatting>
  <conditionalFormatting sqref="F141">
    <cfRule type="expression" dxfId="710" priority="256">
      <formula>$G141&gt;0</formula>
    </cfRule>
    <cfRule type="expression" dxfId="709" priority="257">
      <formula>$G141&lt;0</formula>
    </cfRule>
  </conditionalFormatting>
  <conditionalFormatting sqref="F142">
    <cfRule type="expression" dxfId="708" priority="254">
      <formula>$G142&gt;0</formula>
    </cfRule>
    <cfRule type="expression" dxfId="707" priority="255">
      <formula>$G142&lt;0</formula>
    </cfRule>
  </conditionalFormatting>
  <conditionalFormatting sqref="F143">
    <cfRule type="expression" dxfId="706" priority="252">
      <formula>$G143&gt;0</formula>
    </cfRule>
    <cfRule type="expression" dxfId="705" priority="253">
      <formula>$G143&lt;0</formula>
    </cfRule>
  </conditionalFormatting>
  <conditionalFormatting sqref="G144:G145">
    <cfRule type="cellIs" dxfId="704" priority="250" operator="lessThan">
      <formula>0</formula>
    </cfRule>
    <cfRule type="cellIs" dxfId="703" priority="251" operator="greaterThan">
      <formula>0</formula>
    </cfRule>
  </conditionalFormatting>
  <conditionalFormatting sqref="F144">
    <cfRule type="expression" dxfId="702" priority="248">
      <formula>$G144&gt;0</formula>
    </cfRule>
    <cfRule type="expression" dxfId="701" priority="249">
      <formula>$G144&lt;0</formula>
    </cfRule>
  </conditionalFormatting>
  <conditionalFormatting sqref="F145">
    <cfRule type="expression" dxfId="700" priority="246">
      <formula>$G145&gt;0</formula>
    </cfRule>
    <cfRule type="expression" dxfId="699" priority="247">
      <formula>$G145&lt;0</formula>
    </cfRule>
  </conditionalFormatting>
  <conditionalFormatting sqref="G146:G149">
    <cfRule type="cellIs" dxfId="698" priority="244" operator="lessThan">
      <formula>0</formula>
    </cfRule>
    <cfRule type="cellIs" dxfId="697" priority="245" operator="greaterThan">
      <formula>0</formula>
    </cfRule>
  </conditionalFormatting>
  <conditionalFormatting sqref="F146">
    <cfRule type="expression" dxfId="696" priority="242">
      <formula>$G146&gt;0</formula>
    </cfRule>
    <cfRule type="expression" dxfId="695" priority="243">
      <formula>$G146&lt;0</formula>
    </cfRule>
  </conditionalFormatting>
  <conditionalFormatting sqref="F147">
    <cfRule type="expression" dxfId="694" priority="240">
      <formula>$G147&gt;0</formula>
    </cfRule>
    <cfRule type="expression" dxfId="693" priority="241">
      <formula>$G147&lt;0</formula>
    </cfRule>
  </conditionalFormatting>
  <conditionalFormatting sqref="F148">
    <cfRule type="expression" dxfId="692" priority="238">
      <formula>$G148&gt;0</formula>
    </cfRule>
    <cfRule type="expression" dxfId="691" priority="239">
      <formula>$G148&lt;0</formula>
    </cfRule>
  </conditionalFormatting>
  <conditionalFormatting sqref="F149">
    <cfRule type="expression" dxfId="690" priority="236">
      <formula>$G149&gt;0</formula>
    </cfRule>
    <cfRule type="expression" dxfId="689" priority="237">
      <formula>$G149&lt;0</formula>
    </cfRule>
  </conditionalFormatting>
  <conditionalFormatting sqref="G150:G151">
    <cfRule type="cellIs" dxfId="688" priority="234" operator="lessThan">
      <formula>0</formula>
    </cfRule>
    <cfRule type="cellIs" dxfId="687" priority="235" operator="greaterThan">
      <formula>0</formula>
    </cfRule>
  </conditionalFormatting>
  <conditionalFormatting sqref="F150">
    <cfRule type="expression" dxfId="686" priority="232">
      <formula>$G150&gt;0</formula>
    </cfRule>
    <cfRule type="expression" dxfId="685" priority="233">
      <formula>$G150&lt;0</formula>
    </cfRule>
  </conditionalFormatting>
  <conditionalFormatting sqref="F151">
    <cfRule type="expression" dxfId="684" priority="230">
      <formula>$G151&gt;0</formula>
    </cfRule>
    <cfRule type="expression" dxfId="683" priority="231">
      <formula>$G151&lt;0</formula>
    </cfRule>
  </conditionalFormatting>
  <conditionalFormatting sqref="G152:G155">
    <cfRule type="cellIs" dxfId="682" priority="228" operator="lessThan">
      <formula>0</formula>
    </cfRule>
    <cfRule type="cellIs" dxfId="681" priority="229" operator="greaterThan">
      <formula>0</formula>
    </cfRule>
  </conditionalFormatting>
  <conditionalFormatting sqref="F152">
    <cfRule type="expression" dxfId="680" priority="226">
      <formula>$G152&gt;0</formula>
    </cfRule>
    <cfRule type="expression" dxfId="679" priority="227">
      <formula>$G152&lt;0</formula>
    </cfRule>
  </conditionalFormatting>
  <conditionalFormatting sqref="F153">
    <cfRule type="expression" dxfId="678" priority="224">
      <formula>$G153&gt;0</formula>
    </cfRule>
    <cfRule type="expression" dxfId="677" priority="225">
      <formula>$G153&lt;0</formula>
    </cfRule>
  </conditionalFormatting>
  <conditionalFormatting sqref="F154">
    <cfRule type="expression" dxfId="676" priority="222">
      <formula>$G154&gt;0</formula>
    </cfRule>
    <cfRule type="expression" dxfId="675" priority="223">
      <formula>$G154&lt;0</formula>
    </cfRule>
  </conditionalFormatting>
  <conditionalFormatting sqref="F155">
    <cfRule type="expression" dxfId="674" priority="220">
      <formula>$G155&gt;0</formula>
    </cfRule>
    <cfRule type="expression" dxfId="673" priority="221">
      <formula>$G155&lt;0</formula>
    </cfRule>
  </conditionalFormatting>
  <conditionalFormatting sqref="G156:G157">
    <cfRule type="cellIs" dxfId="672" priority="218" operator="lessThan">
      <formula>0</formula>
    </cfRule>
    <cfRule type="cellIs" dxfId="671" priority="219" operator="greaterThan">
      <formula>0</formula>
    </cfRule>
  </conditionalFormatting>
  <conditionalFormatting sqref="F156">
    <cfRule type="expression" dxfId="670" priority="216">
      <formula>$G156&gt;0</formula>
    </cfRule>
    <cfRule type="expression" dxfId="669" priority="217">
      <formula>$G156&lt;0</formula>
    </cfRule>
  </conditionalFormatting>
  <conditionalFormatting sqref="F157">
    <cfRule type="expression" dxfId="668" priority="214">
      <formula>$G157&gt;0</formula>
    </cfRule>
    <cfRule type="expression" dxfId="667" priority="215">
      <formula>$G157&lt;0</formula>
    </cfRule>
  </conditionalFormatting>
  <conditionalFormatting sqref="G158:G161">
    <cfRule type="cellIs" dxfId="666" priority="212" operator="lessThan">
      <formula>0</formula>
    </cfRule>
    <cfRule type="cellIs" dxfId="665" priority="213" operator="greaterThan">
      <formula>0</formula>
    </cfRule>
  </conditionalFormatting>
  <conditionalFormatting sqref="F158">
    <cfRule type="expression" dxfId="664" priority="210">
      <formula>$G158&gt;0</formula>
    </cfRule>
    <cfRule type="expression" dxfId="663" priority="211">
      <formula>$G158&lt;0</formula>
    </cfRule>
  </conditionalFormatting>
  <conditionalFormatting sqref="F159">
    <cfRule type="expression" dxfId="662" priority="208">
      <formula>$G159&gt;0</formula>
    </cfRule>
    <cfRule type="expression" dxfId="661" priority="209">
      <formula>$G159&lt;0</formula>
    </cfRule>
  </conditionalFormatting>
  <conditionalFormatting sqref="F160">
    <cfRule type="expression" dxfId="660" priority="206">
      <formula>$G160&gt;0</formula>
    </cfRule>
    <cfRule type="expression" dxfId="659" priority="207">
      <formula>$G160&lt;0</formula>
    </cfRule>
  </conditionalFormatting>
  <conditionalFormatting sqref="F161">
    <cfRule type="expression" dxfId="658" priority="204">
      <formula>$G161&gt;0</formula>
    </cfRule>
    <cfRule type="expression" dxfId="657" priority="205">
      <formula>$G161&lt;0</formula>
    </cfRule>
  </conditionalFormatting>
  <conditionalFormatting sqref="G162:G163">
    <cfRule type="cellIs" dxfId="656" priority="202" operator="lessThan">
      <formula>0</formula>
    </cfRule>
    <cfRule type="cellIs" dxfId="655" priority="203" operator="greaterThan">
      <formula>0</formula>
    </cfRule>
  </conditionalFormatting>
  <conditionalFormatting sqref="F162">
    <cfRule type="expression" dxfId="654" priority="200">
      <formula>$G162&gt;0</formula>
    </cfRule>
    <cfRule type="expression" dxfId="653" priority="201">
      <formula>$G162&lt;0</formula>
    </cfRule>
  </conditionalFormatting>
  <conditionalFormatting sqref="F163">
    <cfRule type="expression" dxfId="652" priority="198">
      <formula>$G163&gt;0</formula>
    </cfRule>
    <cfRule type="expression" dxfId="651" priority="199">
      <formula>$G163&lt;0</formula>
    </cfRule>
  </conditionalFormatting>
  <conditionalFormatting sqref="G164:G167">
    <cfRule type="cellIs" dxfId="650" priority="196" operator="lessThan">
      <formula>0</formula>
    </cfRule>
    <cfRule type="cellIs" dxfId="649" priority="197" operator="greaterThan">
      <formula>0</formula>
    </cfRule>
  </conditionalFormatting>
  <conditionalFormatting sqref="F164">
    <cfRule type="expression" dxfId="648" priority="194">
      <formula>$G164&gt;0</formula>
    </cfRule>
    <cfRule type="expression" dxfId="647" priority="195">
      <formula>$G164&lt;0</formula>
    </cfRule>
  </conditionalFormatting>
  <conditionalFormatting sqref="F165">
    <cfRule type="expression" dxfId="646" priority="192">
      <formula>$G165&gt;0</formula>
    </cfRule>
    <cfRule type="expression" dxfId="645" priority="193">
      <formula>$G165&lt;0</formula>
    </cfRule>
  </conditionalFormatting>
  <conditionalFormatting sqref="F166">
    <cfRule type="expression" dxfId="644" priority="190">
      <formula>$G166&gt;0</formula>
    </cfRule>
    <cfRule type="expression" dxfId="643" priority="191">
      <formula>$G166&lt;0</formula>
    </cfRule>
  </conditionalFormatting>
  <conditionalFormatting sqref="F167">
    <cfRule type="expression" dxfId="642" priority="188">
      <formula>$G167&gt;0</formula>
    </cfRule>
    <cfRule type="expression" dxfId="641" priority="189">
      <formula>$G167&lt;0</formula>
    </cfRule>
  </conditionalFormatting>
  <conditionalFormatting sqref="G168:G169">
    <cfRule type="cellIs" dxfId="640" priority="186" operator="lessThan">
      <formula>0</formula>
    </cfRule>
    <cfRule type="cellIs" dxfId="639" priority="187" operator="greaterThan">
      <formula>0</formula>
    </cfRule>
  </conditionalFormatting>
  <conditionalFormatting sqref="F168">
    <cfRule type="expression" dxfId="638" priority="184">
      <formula>$G168&gt;0</formula>
    </cfRule>
    <cfRule type="expression" dxfId="637" priority="185">
      <formula>$G168&lt;0</formula>
    </cfRule>
  </conditionalFormatting>
  <conditionalFormatting sqref="F169">
    <cfRule type="expression" dxfId="636" priority="182">
      <formula>$G169&gt;0</formula>
    </cfRule>
    <cfRule type="expression" dxfId="635" priority="183">
      <formula>$G169&lt;0</formula>
    </cfRule>
  </conditionalFormatting>
  <conditionalFormatting sqref="G170:G173">
    <cfRule type="cellIs" dxfId="634" priority="180" operator="lessThan">
      <formula>0</formula>
    </cfRule>
    <cfRule type="cellIs" dxfId="633" priority="181" operator="greaterThan">
      <formula>0</formula>
    </cfRule>
  </conditionalFormatting>
  <conditionalFormatting sqref="F170">
    <cfRule type="expression" dxfId="632" priority="178">
      <formula>$G170&gt;0</formula>
    </cfRule>
    <cfRule type="expression" dxfId="631" priority="179">
      <formula>$G170&lt;0</formula>
    </cfRule>
  </conditionalFormatting>
  <conditionalFormatting sqref="F171">
    <cfRule type="expression" dxfId="630" priority="176">
      <formula>$G171&gt;0</formula>
    </cfRule>
    <cfRule type="expression" dxfId="629" priority="177">
      <formula>$G171&lt;0</formula>
    </cfRule>
  </conditionalFormatting>
  <conditionalFormatting sqref="F172">
    <cfRule type="expression" dxfId="628" priority="174">
      <formula>$G172&gt;0</formula>
    </cfRule>
    <cfRule type="expression" dxfId="627" priority="175">
      <formula>$G172&lt;0</formula>
    </cfRule>
  </conditionalFormatting>
  <conditionalFormatting sqref="F173">
    <cfRule type="expression" dxfId="626" priority="172">
      <formula>$G173&gt;0</formula>
    </cfRule>
    <cfRule type="expression" dxfId="625" priority="173">
      <formula>$G173&lt;0</formula>
    </cfRule>
  </conditionalFormatting>
  <conditionalFormatting sqref="G174:G175">
    <cfRule type="cellIs" dxfId="624" priority="170" operator="lessThan">
      <formula>0</formula>
    </cfRule>
    <cfRule type="cellIs" dxfId="623" priority="171" operator="greaterThan">
      <formula>0</formula>
    </cfRule>
  </conditionalFormatting>
  <conditionalFormatting sqref="F174">
    <cfRule type="expression" dxfId="622" priority="168">
      <formula>$G174&gt;0</formula>
    </cfRule>
    <cfRule type="expression" dxfId="621" priority="169">
      <formula>$G174&lt;0</formula>
    </cfRule>
  </conditionalFormatting>
  <conditionalFormatting sqref="F175">
    <cfRule type="expression" dxfId="620" priority="166">
      <formula>$G175&gt;0</formula>
    </cfRule>
    <cfRule type="expression" dxfId="619" priority="167">
      <formula>$G175&lt;0</formula>
    </cfRule>
  </conditionalFormatting>
  <conditionalFormatting sqref="G176:G179">
    <cfRule type="cellIs" dxfId="618" priority="164" operator="lessThan">
      <formula>0</formula>
    </cfRule>
    <cfRule type="cellIs" dxfId="617" priority="165" operator="greaterThan">
      <formula>0</formula>
    </cfRule>
  </conditionalFormatting>
  <conditionalFormatting sqref="F176">
    <cfRule type="expression" dxfId="616" priority="162">
      <formula>$G176&gt;0</formula>
    </cfRule>
    <cfRule type="expression" dxfId="615" priority="163">
      <formula>$G176&lt;0</formula>
    </cfRule>
  </conditionalFormatting>
  <conditionalFormatting sqref="F177">
    <cfRule type="expression" dxfId="614" priority="160">
      <formula>$G177&gt;0</formula>
    </cfRule>
    <cfRule type="expression" dxfId="613" priority="161">
      <formula>$G177&lt;0</formula>
    </cfRule>
  </conditionalFormatting>
  <conditionalFormatting sqref="F178">
    <cfRule type="expression" dxfId="612" priority="158">
      <formula>$G178&gt;0</formula>
    </cfRule>
    <cfRule type="expression" dxfId="611" priority="159">
      <formula>$G178&lt;0</formula>
    </cfRule>
  </conditionalFormatting>
  <conditionalFormatting sqref="F179">
    <cfRule type="expression" dxfId="610" priority="156">
      <formula>$G179&gt;0</formula>
    </cfRule>
    <cfRule type="expression" dxfId="609" priority="157">
      <formula>$G179&lt;0</formula>
    </cfRule>
  </conditionalFormatting>
  <conditionalFormatting sqref="G180:G181">
    <cfRule type="cellIs" dxfId="608" priority="154" operator="lessThan">
      <formula>0</formula>
    </cfRule>
    <cfRule type="cellIs" dxfId="607" priority="155" operator="greaterThan">
      <formula>0</formula>
    </cfRule>
  </conditionalFormatting>
  <conditionalFormatting sqref="F180">
    <cfRule type="expression" dxfId="606" priority="152">
      <formula>$G180&gt;0</formula>
    </cfRule>
    <cfRule type="expression" dxfId="605" priority="153">
      <formula>$G180&lt;0</formula>
    </cfRule>
  </conditionalFormatting>
  <conditionalFormatting sqref="F181">
    <cfRule type="expression" dxfId="604" priority="150">
      <formula>$G181&gt;0</formula>
    </cfRule>
    <cfRule type="expression" dxfId="603" priority="151">
      <formula>$G181&lt;0</formula>
    </cfRule>
  </conditionalFormatting>
  <conditionalFormatting sqref="G182:G185">
    <cfRule type="cellIs" dxfId="602" priority="148" operator="lessThan">
      <formula>0</formula>
    </cfRule>
    <cfRule type="cellIs" dxfId="601" priority="149" operator="greaterThan">
      <formula>0</formula>
    </cfRule>
  </conditionalFormatting>
  <conditionalFormatting sqref="F182">
    <cfRule type="expression" dxfId="600" priority="146">
      <formula>$G182&gt;0</formula>
    </cfRule>
    <cfRule type="expression" dxfId="599" priority="147">
      <formula>$G182&lt;0</formula>
    </cfRule>
  </conditionalFormatting>
  <conditionalFormatting sqref="F183">
    <cfRule type="expression" dxfId="598" priority="144">
      <formula>$G183&gt;0</formula>
    </cfRule>
    <cfRule type="expression" dxfId="597" priority="145">
      <formula>$G183&lt;0</formula>
    </cfRule>
  </conditionalFormatting>
  <conditionalFormatting sqref="F184">
    <cfRule type="expression" dxfId="596" priority="142">
      <formula>$G184&gt;0</formula>
    </cfRule>
    <cfRule type="expression" dxfId="595" priority="143">
      <formula>$G184&lt;0</formula>
    </cfRule>
  </conditionalFormatting>
  <conditionalFormatting sqref="F185">
    <cfRule type="expression" dxfId="594" priority="140">
      <formula>$G185&gt;0</formula>
    </cfRule>
    <cfRule type="expression" dxfId="593" priority="141">
      <formula>$G185&lt;0</formula>
    </cfRule>
  </conditionalFormatting>
  <conditionalFormatting sqref="G186:G187">
    <cfRule type="cellIs" dxfId="592" priority="138" operator="lessThan">
      <formula>0</formula>
    </cfRule>
    <cfRule type="cellIs" dxfId="591" priority="139" operator="greaterThan">
      <formula>0</formula>
    </cfRule>
  </conditionalFormatting>
  <conditionalFormatting sqref="F186">
    <cfRule type="expression" dxfId="590" priority="136">
      <formula>$G186&gt;0</formula>
    </cfRule>
    <cfRule type="expression" dxfId="589" priority="137">
      <formula>$G186&lt;0</formula>
    </cfRule>
  </conditionalFormatting>
  <conditionalFormatting sqref="F187">
    <cfRule type="expression" dxfId="588" priority="134">
      <formula>$G187&gt;0</formula>
    </cfRule>
    <cfRule type="expression" dxfId="587" priority="135">
      <formula>$G187&lt;0</formula>
    </cfRule>
  </conditionalFormatting>
  <conditionalFormatting sqref="G188:G191">
    <cfRule type="cellIs" dxfId="586" priority="132" operator="lessThan">
      <formula>0</formula>
    </cfRule>
    <cfRule type="cellIs" dxfId="585" priority="133" operator="greaterThan">
      <formula>0</formula>
    </cfRule>
  </conditionalFormatting>
  <conditionalFormatting sqref="F188">
    <cfRule type="expression" dxfId="584" priority="130">
      <formula>$G188&gt;0</formula>
    </cfRule>
    <cfRule type="expression" dxfId="583" priority="131">
      <formula>$G188&lt;0</formula>
    </cfRule>
  </conditionalFormatting>
  <conditionalFormatting sqref="F189">
    <cfRule type="expression" dxfId="582" priority="128">
      <formula>$G189&gt;0</formula>
    </cfRule>
    <cfRule type="expression" dxfId="581" priority="129">
      <formula>$G189&lt;0</formula>
    </cfRule>
  </conditionalFormatting>
  <conditionalFormatting sqref="F190">
    <cfRule type="expression" dxfId="580" priority="126">
      <formula>$G190&gt;0</formula>
    </cfRule>
    <cfRule type="expression" dxfId="579" priority="127">
      <formula>$G190&lt;0</formula>
    </cfRule>
  </conditionalFormatting>
  <conditionalFormatting sqref="F191">
    <cfRule type="expression" dxfId="578" priority="124">
      <formula>$G191&gt;0</formula>
    </cfRule>
    <cfRule type="expression" dxfId="577" priority="125">
      <formula>$G191&lt;0</formula>
    </cfRule>
  </conditionalFormatting>
  <conditionalFormatting sqref="G192:G193">
    <cfRule type="cellIs" dxfId="576" priority="122" operator="lessThan">
      <formula>0</formula>
    </cfRule>
    <cfRule type="cellIs" dxfId="575" priority="123" operator="greaterThan">
      <formula>0</formula>
    </cfRule>
  </conditionalFormatting>
  <conditionalFormatting sqref="F192">
    <cfRule type="expression" dxfId="574" priority="120">
      <formula>$G192&gt;0</formula>
    </cfRule>
    <cfRule type="expression" dxfId="573" priority="121">
      <formula>$G192&lt;0</formula>
    </cfRule>
  </conditionalFormatting>
  <conditionalFormatting sqref="F193">
    <cfRule type="expression" dxfId="572" priority="118">
      <formula>$G193&gt;0</formula>
    </cfRule>
    <cfRule type="expression" dxfId="571" priority="119">
      <formula>$G193&lt;0</formula>
    </cfRule>
  </conditionalFormatting>
  <conditionalFormatting sqref="G194:G197">
    <cfRule type="cellIs" dxfId="570" priority="116" operator="lessThan">
      <formula>0</formula>
    </cfRule>
    <cfRule type="cellIs" dxfId="569" priority="117" operator="greaterThan">
      <formula>0</formula>
    </cfRule>
  </conditionalFormatting>
  <conditionalFormatting sqref="F194">
    <cfRule type="expression" dxfId="568" priority="114">
      <formula>$G194&gt;0</formula>
    </cfRule>
    <cfRule type="expression" dxfId="567" priority="115">
      <formula>$G194&lt;0</formula>
    </cfRule>
  </conditionalFormatting>
  <conditionalFormatting sqref="F195">
    <cfRule type="expression" dxfId="566" priority="112">
      <formula>$G195&gt;0</formula>
    </cfRule>
    <cfRule type="expression" dxfId="565" priority="113">
      <formula>$G195&lt;0</formula>
    </cfRule>
  </conditionalFormatting>
  <conditionalFormatting sqref="F196">
    <cfRule type="expression" dxfId="564" priority="110">
      <formula>$G196&gt;0</formula>
    </cfRule>
    <cfRule type="expression" dxfId="563" priority="111">
      <formula>$G196&lt;0</formula>
    </cfRule>
  </conditionalFormatting>
  <conditionalFormatting sqref="F197">
    <cfRule type="expression" dxfId="562" priority="108">
      <formula>$G197&gt;0</formula>
    </cfRule>
    <cfRule type="expression" dxfId="561" priority="109">
      <formula>$G197&lt;0</formula>
    </cfRule>
  </conditionalFormatting>
  <conditionalFormatting sqref="G198:G199">
    <cfRule type="cellIs" dxfId="560" priority="106" operator="lessThan">
      <formula>0</formula>
    </cfRule>
    <cfRule type="cellIs" dxfId="559" priority="107" operator="greaterThan">
      <formula>0</formula>
    </cfRule>
  </conditionalFormatting>
  <conditionalFormatting sqref="F198">
    <cfRule type="expression" dxfId="558" priority="104">
      <formula>$G198&gt;0</formula>
    </cfRule>
    <cfRule type="expression" dxfId="557" priority="105">
      <formula>$G198&lt;0</formula>
    </cfRule>
  </conditionalFormatting>
  <conditionalFormatting sqref="F199">
    <cfRule type="expression" dxfId="556" priority="102">
      <formula>$G199&gt;0</formula>
    </cfRule>
    <cfRule type="expression" dxfId="555" priority="103">
      <formula>$G199&lt;0</formula>
    </cfRule>
  </conditionalFormatting>
  <conditionalFormatting sqref="A32">
    <cfRule type="expression" dxfId="554" priority="99">
      <formula>V32&lt;&gt;""</formula>
    </cfRule>
    <cfRule type="expression" dxfId="553" priority="100">
      <formula>D32&lt;F32</formula>
    </cfRule>
    <cfRule type="expression" dxfId="552" priority="101">
      <formula>C32&gt;F32</formula>
    </cfRule>
  </conditionalFormatting>
  <conditionalFormatting sqref="A33">
    <cfRule type="expression" dxfId="551" priority="96">
      <formula>V33&lt;&gt;""</formula>
    </cfRule>
    <cfRule type="expression" dxfId="550" priority="97">
      <formula>D33&lt;F33</formula>
    </cfRule>
    <cfRule type="expression" dxfId="549" priority="98">
      <formula>C33&gt;F33</formula>
    </cfRule>
  </conditionalFormatting>
  <conditionalFormatting sqref="A34">
    <cfRule type="expression" dxfId="548" priority="93">
      <formula>V34&lt;&gt;""</formula>
    </cfRule>
    <cfRule type="expression" dxfId="547" priority="94">
      <formula>D34&lt;F34</formula>
    </cfRule>
    <cfRule type="expression" dxfId="546" priority="95">
      <formula>C34&gt;F34</formula>
    </cfRule>
  </conditionalFormatting>
  <conditionalFormatting sqref="A35">
    <cfRule type="expression" dxfId="545" priority="90">
      <formula>V35&lt;&gt;""</formula>
    </cfRule>
    <cfRule type="expression" dxfId="544" priority="91">
      <formula>D35&lt;F35</formula>
    </cfRule>
    <cfRule type="expression" dxfId="543" priority="92">
      <formula>C35&gt;F35</formula>
    </cfRule>
  </conditionalFormatting>
  <conditionalFormatting sqref="A36">
    <cfRule type="expression" dxfId="542" priority="87">
      <formula>V36&lt;&gt;""</formula>
    </cfRule>
    <cfRule type="expression" dxfId="541" priority="88">
      <formula>D36&lt;F36</formula>
    </cfRule>
    <cfRule type="expression" dxfId="540" priority="89">
      <formula>C36&gt;F36</formula>
    </cfRule>
  </conditionalFormatting>
  <conditionalFormatting sqref="A37">
    <cfRule type="expression" dxfId="539" priority="84">
      <formula>V37&lt;&gt;""</formula>
    </cfRule>
    <cfRule type="expression" dxfId="538" priority="85">
      <formula>D37&lt;F37</formula>
    </cfRule>
    <cfRule type="expression" dxfId="537" priority="86">
      <formula>C37&gt;F37</formula>
    </cfRule>
  </conditionalFormatting>
  <conditionalFormatting sqref="A38">
    <cfRule type="expression" dxfId="536" priority="81">
      <formula>V38&lt;&gt;""</formula>
    </cfRule>
    <cfRule type="expression" dxfId="535" priority="82">
      <formula>D38&lt;F38</formula>
    </cfRule>
    <cfRule type="expression" dxfId="534" priority="83">
      <formula>C38&gt;F38</formula>
    </cfRule>
  </conditionalFormatting>
  <conditionalFormatting sqref="A39">
    <cfRule type="expression" dxfId="533" priority="78">
      <formula>V39&lt;&gt;""</formula>
    </cfRule>
    <cfRule type="expression" dxfId="532" priority="79">
      <formula>D39&lt;F39</formula>
    </cfRule>
    <cfRule type="expression" dxfId="531" priority="80">
      <formula>C39&gt;F39</formula>
    </cfRule>
  </conditionalFormatting>
  <conditionalFormatting sqref="A40">
    <cfRule type="expression" dxfId="530" priority="75">
      <formula>V40&lt;&gt;""</formula>
    </cfRule>
    <cfRule type="expression" dxfId="529" priority="76">
      <formula>D40&lt;F40</formula>
    </cfRule>
    <cfRule type="expression" dxfId="528" priority="77">
      <formula>C40&gt;F40</formula>
    </cfRule>
  </conditionalFormatting>
  <conditionalFormatting sqref="A41">
    <cfRule type="expression" dxfId="527" priority="72">
      <formula>V41&lt;&gt;""</formula>
    </cfRule>
    <cfRule type="expression" dxfId="526" priority="73">
      <formula>D41&lt;F41</formula>
    </cfRule>
    <cfRule type="expression" dxfId="525" priority="74">
      <formula>C41&gt;F41</formula>
    </cfRule>
  </conditionalFormatting>
  <conditionalFormatting sqref="A42">
    <cfRule type="expression" dxfId="524" priority="69">
      <formula>V42&lt;&gt;""</formula>
    </cfRule>
    <cfRule type="expression" dxfId="523" priority="70">
      <formula>D42&lt;F42</formula>
    </cfRule>
    <cfRule type="expression" dxfId="522" priority="71">
      <formula>C42&gt;F42</formula>
    </cfRule>
  </conditionalFormatting>
  <conditionalFormatting sqref="A43">
    <cfRule type="expression" dxfId="521" priority="66">
      <formula>V43&lt;&gt;""</formula>
    </cfRule>
    <cfRule type="expression" dxfId="520" priority="67">
      <formula>D43&lt;F43</formula>
    </cfRule>
    <cfRule type="expression" dxfId="519" priority="68">
      <formula>C43&gt;F43</formula>
    </cfRule>
  </conditionalFormatting>
  <conditionalFormatting sqref="A44">
    <cfRule type="expression" dxfId="518" priority="63">
      <formula>V44&lt;&gt;""</formula>
    </cfRule>
    <cfRule type="expression" dxfId="517" priority="64">
      <formula>D44&lt;F44</formula>
    </cfRule>
    <cfRule type="expression" dxfId="516" priority="65">
      <formula>C44&gt;F44</formula>
    </cfRule>
  </conditionalFormatting>
  <conditionalFormatting sqref="A45">
    <cfRule type="expression" dxfId="515" priority="60">
      <formula>V45&lt;&gt;""</formula>
    </cfRule>
    <cfRule type="expression" dxfId="514" priority="61">
      <formula>D45&lt;F45</formula>
    </cfRule>
    <cfRule type="expression" dxfId="513" priority="62">
      <formula>C45&gt;F45</formula>
    </cfRule>
  </conditionalFormatting>
  <conditionalFormatting sqref="A46">
    <cfRule type="expression" dxfId="512" priority="57">
      <formula>V46&lt;&gt;""</formula>
    </cfRule>
    <cfRule type="expression" dxfId="511" priority="58">
      <formula>D46&lt;F46</formula>
    </cfRule>
    <cfRule type="expression" dxfId="510" priority="59">
      <formula>C46&gt;F46</formula>
    </cfRule>
  </conditionalFormatting>
  <conditionalFormatting sqref="A47">
    <cfRule type="expression" dxfId="509" priority="54">
      <formula>V47&lt;&gt;""</formula>
    </cfRule>
    <cfRule type="expression" dxfId="508" priority="55">
      <formula>D47&lt;F47</formula>
    </cfRule>
    <cfRule type="expression" dxfId="507" priority="56">
      <formula>C47&gt;F47</formula>
    </cfRule>
  </conditionalFormatting>
  <conditionalFormatting sqref="A48">
    <cfRule type="expression" dxfId="506" priority="51">
      <formula>V48&lt;&gt;""</formula>
    </cfRule>
    <cfRule type="expression" dxfId="505" priority="52">
      <formula>D48&lt;F48</formula>
    </cfRule>
    <cfRule type="expression" dxfId="504" priority="53">
      <formula>C48&gt;F48</formula>
    </cfRule>
  </conditionalFormatting>
  <conditionalFormatting sqref="A49">
    <cfRule type="expression" dxfId="503" priority="48">
      <formula>V49&lt;&gt;""</formula>
    </cfRule>
    <cfRule type="expression" dxfId="502" priority="49">
      <formula>D49&lt;F49</formula>
    </cfRule>
    <cfRule type="expression" dxfId="501" priority="50">
      <formula>C49&gt;F49</formula>
    </cfRule>
  </conditionalFormatting>
  <conditionalFormatting sqref="A31">
    <cfRule type="expression" dxfId="500" priority="15">
      <formula>V31&lt;&gt;""</formula>
    </cfRule>
    <cfRule type="expression" dxfId="499" priority="16">
      <formula>D31&lt;F31</formula>
    </cfRule>
    <cfRule type="expression" dxfId="498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497" priority="7">
      <formula>D28&lt;F28</formula>
    </cfRule>
    <cfRule type="expression" dxfId="496" priority="8">
      <formula>C28&gt;F28</formula>
    </cfRule>
  </conditionalFormatting>
  <conditionalFormatting sqref="V58:V59">
    <cfRule type="cellIs" dxfId="495" priority="5" operator="lessThan">
      <formula>0</formula>
    </cfRule>
    <cfRule type="cellIs" dxfId="494" priority="6" operator="equal">
      <formula>0</formula>
    </cfRule>
  </conditionalFormatting>
  <conditionalFormatting sqref="Z28">
    <cfRule type="cellIs" dxfId="493" priority="4" operator="equal">
      <formula>0</formula>
    </cfRule>
  </conditionalFormatting>
  <conditionalFormatting sqref="Z28">
    <cfRule type="cellIs" dxfId="492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491" priority="21687" operator="lessThanOrEqual">
      <formula>0</formula>
    </cfRule>
    <cfRule type="expression" dxfId="490" priority="21688">
      <formula>(C63)-(D62)&gt;(C63/100)*(1+$AG$1*$AH$1)</formula>
    </cfRule>
  </conditionalFormatting>
  <conditionalFormatting sqref="Y60">
    <cfRule type="expression" dxfId="489" priority="21689">
      <formula>(C61)-(D60)&gt;(C61/100)*(1+$AG$1*$AH$1)</formula>
    </cfRule>
    <cfRule type="cellIs" dxfId="488" priority="21690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B3" sqref="B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4" t="s">
        <v>579</v>
      </c>
      <c r="W2" s="338" t="s">
        <v>354</v>
      </c>
      <c r="X2" s="339" t="s">
        <v>355</v>
      </c>
      <c r="Y2" s="338" t="s">
        <v>356</v>
      </c>
      <c r="Z2" s="234" t="s">
        <v>579</v>
      </c>
      <c r="AA2" s="346" t="s">
        <v>357</v>
      </c>
      <c r="AB2" s="345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4" t="s">
        <v>579</v>
      </c>
      <c r="AI2" s="338" t="s">
        <v>354</v>
      </c>
      <c r="AJ2" s="339" t="s">
        <v>355</v>
      </c>
      <c r="AK2" s="338" t="s">
        <v>356</v>
      </c>
      <c r="AL2" s="234" t="s">
        <v>579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4" t="s">
        <v>400</v>
      </c>
      <c r="B3" s="200">
        <v>30</v>
      </c>
      <c r="C3" s="197">
        <v>4060.8</v>
      </c>
      <c r="D3" s="316">
        <v>28</v>
      </c>
      <c r="E3" s="317">
        <f t="shared" ref="E3:E72" si="0">+B3*D3*-100</f>
        <v>-84000</v>
      </c>
      <c r="F3" s="318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207</v>
      </c>
      <c r="H3" s="322">
        <f>IFERROR(+G3*B3*-100,0)</f>
        <v>-621000</v>
      </c>
      <c r="I3" s="432">
        <f t="shared" ref="I3:I72" si="3">+IF(G3="",0,(F3-H3))</f>
        <v>536786.55599999998</v>
      </c>
      <c r="J3" s="59"/>
      <c r="K3" s="103"/>
      <c r="L3" s="366">
        <f t="shared" ref="L3:L17" si="4">+L4*(1-$N$42)</f>
        <v>2957.2306869921972</v>
      </c>
      <c r="M3" s="340">
        <f t="shared" ref="M3:M34" si="5">ET3</f>
        <v>-84213.440000000002</v>
      </c>
      <c r="N3" s="340">
        <f t="shared" ref="N3:N34" ca="1" si="6">GK3</f>
        <v>-84213.440000000002</v>
      </c>
      <c r="O3" s="59"/>
      <c r="P3" s="195">
        <f>IF(R3="","",$L$18-(R3+X3))</f>
        <v>-99.800000000000182</v>
      </c>
      <c r="Q3" s="314">
        <f t="shared" ref="Q3:Q17" si="7">SUMIFS(B$3:B$37,C$3:C$37,R3)</f>
        <v>0</v>
      </c>
      <c r="R3" s="313">
        <v>3610.8</v>
      </c>
      <c r="S3" s="307">
        <f ca="1">IFERROR((NORMSDIST(((LN($L$18/$R3)+($N$48+($N$46^2)/2)*$N$51)/($N$46*SQRT($N$51))))*$L$18-NORMSDIST((((LN($L$18/$R3)+($N$48+($N$46^2)/2)*$N$51)/($N$46*SQRT($N$51)))-$N$46*SQRT(($N$51))))*$R3*EXP(-$N$48*$N$51)),0)</f>
        <v>574.14137900688775</v>
      </c>
      <c r="T3" s="28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8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8">
        <f>IFERROR(VLOOKUP($U3,HomeBroker!$A$30:$F$60,2,0),0)</f>
        <v>2</v>
      </c>
      <c r="W3" s="310">
        <f>IFERROR(VLOOKUP($U3,HomeBroker!$A$30:$F$60,3,0),0)</f>
        <v>493.00799999999998</v>
      </c>
      <c r="X3" s="364">
        <f>IFERROR(VLOOKUP($U3,HomeBroker!$A$30:$F$60,6,0),0)</f>
        <v>493</v>
      </c>
      <c r="Y3" s="309">
        <f>IFERROR(VLOOKUP($U3,HomeBroker!$A$30:$F$60,4,0),0)</f>
        <v>510</v>
      </c>
      <c r="Z3" s="278">
        <f>IFERROR(VLOOKUP($U3,HomeBroker!$A$30:$F$60,5,0),0)</f>
        <v>5</v>
      </c>
      <c r="AA3" s="281">
        <f>IFERROR(VLOOKUP($U3,HomeBroker!$A$30:$N$60,13,0),0)</f>
        <v>465</v>
      </c>
      <c r="AB3" s="196">
        <f>IF(AD3="","",(AD3-AJ3)-$L$18)</f>
        <v>-1244.0189999999998</v>
      </c>
      <c r="AC3" s="315">
        <f t="shared" ref="AC3:AC17" si="9">SUMIFS(B$38:B$72,C$38:C$72,AD3)</f>
        <v>0</v>
      </c>
      <c r="AD3" s="313">
        <v>2760.8</v>
      </c>
      <c r="AE3" s="308">
        <f ca="1">IFERROR((NORMSDIST(-(((LN($L$18/$AD3)+($N$48+($N$47^2)/2)*$N$51)/($N$47*SQRT($N$51)))-$N$47*SQRT($N$51)))*$AD3*EXP(-$N$48*$N$51)-NORMSDIST(-((LN($L$18/$AD3)+($N$48+($N$47^2)/2)*$N$51)/($N$47*SQRT($N$51))))*$L$18),0)</f>
        <v>4.5679007914846137E-2</v>
      </c>
      <c r="AF3" s="28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8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8">
        <f>IFERROR(VLOOKUP($AG3,HomeBroker!$A$30:$F$60,2,0),0)</f>
        <v>8</v>
      </c>
      <c r="AI3" s="310">
        <f>IFERROR(VLOOKUP($AG3,HomeBroker!$A$30:$F$60,3,0),0)</f>
        <v>0.8</v>
      </c>
      <c r="AJ3" s="364">
        <f>IFERROR(VLOOKUP($AG3,HomeBroker!$A$30:$F$60,6,0),0)</f>
        <v>0.81899999999999995</v>
      </c>
      <c r="AK3" s="310">
        <f>IFERROR(VLOOKUP($AG3,HomeBroker!$A$30:$F$60,4,0),0)</f>
        <v>0.81899999999999995</v>
      </c>
      <c r="AL3" s="288">
        <f>IFERROR(VLOOKUP($AG3,HomeBroker!$A$30:$F$60,5,0),0)</f>
        <v>20</v>
      </c>
      <c r="AM3" s="311">
        <f>IFERROR(VLOOKUP($AG3,HomeBroker!$A$30:$N$60,13,0),0)</f>
        <v>1703</v>
      </c>
      <c r="AN3" s="59"/>
      <c r="AO3" s="195">
        <f>IF(OR(R3="",X3=0,AJ3=0),"-",R3+X3-AJ3-$L$18)</f>
        <v>98.980999999999767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2957.2306869921972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2957.2306869921972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04" t="s">
        <v>400</v>
      </c>
      <c r="B4" s="200"/>
      <c r="C4" s="197"/>
      <c r="D4" s="316"/>
      <c r="E4" s="317">
        <f t="shared" si="0"/>
        <v>0</v>
      </c>
      <c r="F4" s="318">
        <f t="shared" si="1"/>
        <v>0</v>
      </c>
      <c r="G4" s="199" t="str">
        <f t="shared" si="2"/>
        <v/>
      </c>
      <c r="H4" s="322">
        <f t="shared" ref="H4:H67" si="58">IFERROR(+G4*B4*-100,0)</f>
        <v>0</v>
      </c>
      <c r="I4" s="432">
        <f t="shared" si="3"/>
        <v>0</v>
      </c>
      <c r="J4" s="59"/>
      <c r="K4" s="103"/>
      <c r="L4" s="367">
        <f t="shared" si="4"/>
        <v>3017.5823336655076</v>
      </c>
      <c r="M4" s="341">
        <f t="shared" si="5"/>
        <v>-84213.440000000002</v>
      </c>
      <c r="N4" s="341">
        <f t="shared" ca="1" si="6"/>
        <v>-84213.440000000002</v>
      </c>
      <c r="O4" s="59"/>
      <c r="P4" s="195">
        <f t="shared" ref="P4:P42" si="59">IF(R4="","",$L$18-(R4+X4))</f>
        <v>-146.80000000000018</v>
      </c>
      <c r="Q4" s="314">
        <f t="shared" si="7"/>
        <v>0</v>
      </c>
      <c r="R4" s="313">
        <v>3760.8</v>
      </c>
      <c r="S4" s="30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450.66025362731534</v>
      </c>
      <c r="T4" s="28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8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8">
        <f>IFERROR(VLOOKUP($U4,HomeBroker!$A$30:$F$60,2,0),0)</f>
        <v>1</v>
      </c>
      <c r="W4" s="310">
        <f>IFERROR(VLOOKUP($U4,HomeBroker!$A$30:$F$60,3,0),0)</f>
        <v>376.00799999999998</v>
      </c>
      <c r="X4" s="364">
        <f>IFERROR(VLOOKUP($U4,HomeBroker!$A$30:$F$60,6,0),0)</f>
        <v>390</v>
      </c>
      <c r="Y4" s="309">
        <f>IFERROR(VLOOKUP($U4,HomeBroker!$A$30:$F$60,4,0),0)</f>
        <v>389</v>
      </c>
      <c r="Z4" s="278">
        <f>IFERROR(VLOOKUP($U4,HomeBroker!$A$30:$F$60,5,0),0)</f>
        <v>3</v>
      </c>
      <c r="AA4" s="281">
        <f>IFERROR(VLOOKUP($U4,HomeBroker!$A$30:$N$60,13,0),0)</f>
        <v>3954</v>
      </c>
      <c r="AB4" s="196">
        <f t="shared" ref="AB4:AB42" si="63">IF(AD4="","",(AD4-AJ4)-$L$18)</f>
        <v>-1144.58</v>
      </c>
      <c r="AC4" s="315">
        <f t="shared" si="9"/>
        <v>0</v>
      </c>
      <c r="AD4" s="313">
        <v>2860.8</v>
      </c>
      <c r="AE4" s="30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0.13286975816818103</v>
      </c>
      <c r="AF4" s="28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8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8">
        <f>IFERROR(VLOOKUP($AG4,HomeBroker!$A$30:$F$60,2,0),0)</f>
        <v>1</v>
      </c>
      <c r="AI4" s="310">
        <f>IFERROR(VLOOKUP($AG4,HomeBroker!$A$30:$F$60,3,0),0)</f>
        <v>1.29</v>
      </c>
      <c r="AJ4" s="364">
        <f>IFERROR(VLOOKUP($AG4,HomeBroker!$A$30:$F$60,6,0),0)</f>
        <v>1.38</v>
      </c>
      <c r="AK4" s="310">
        <f>IFERROR(VLOOKUP($AG4,HomeBroker!$A$30:$F$60,4,0),0)</f>
        <v>1.38</v>
      </c>
      <c r="AL4" s="288">
        <f>IFERROR(VLOOKUP($AG4,HomeBroker!$A$30:$F$60,5,0),0)</f>
        <v>31</v>
      </c>
      <c r="AM4" s="312">
        <f>IFERROR(VLOOKUP($AG4,HomeBroker!$A$30:$N$60,13,0),0)</f>
        <v>1710</v>
      </c>
      <c r="AN4" s="59"/>
      <c r="AO4" s="195">
        <f t="shared" ref="AO4:AO42" si="67">IF(OR(R4="",X4=0,AJ4=0),"-",R4+X4-AJ4-$L$18)</f>
        <v>145.42000000000007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3017.5823336655076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3017.5823336655076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04" t="s">
        <v>400</v>
      </c>
      <c r="B5" s="200"/>
      <c r="C5" s="197"/>
      <c r="D5" s="316"/>
      <c r="E5" s="317">
        <f t="shared" si="0"/>
        <v>0</v>
      </c>
      <c r="F5" s="318">
        <f t="shared" si="1"/>
        <v>0</v>
      </c>
      <c r="G5" s="199" t="str">
        <f t="shared" si="2"/>
        <v/>
      </c>
      <c r="H5" s="322">
        <f t="shared" si="58"/>
        <v>0</v>
      </c>
      <c r="I5" s="432">
        <f t="shared" si="3"/>
        <v>0</v>
      </c>
      <c r="J5" s="59"/>
      <c r="K5" s="103"/>
      <c r="L5" s="367">
        <f t="shared" si="4"/>
        <v>3079.165646597457</v>
      </c>
      <c r="M5" s="341">
        <f t="shared" si="5"/>
        <v>-84213.440000000002</v>
      </c>
      <c r="N5" s="341">
        <f t="shared" ca="1" si="6"/>
        <v>-84213.440000000002</v>
      </c>
      <c r="O5" s="59"/>
      <c r="P5" s="195">
        <f t="shared" si="59"/>
        <v>-199.80000000000018</v>
      </c>
      <c r="Q5" s="314">
        <f t="shared" si="7"/>
        <v>0</v>
      </c>
      <c r="R5" s="313">
        <v>3910.8</v>
      </c>
      <c r="S5" s="307">
        <f t="shared" ca="1" si="60"/>
        <v>340.480250827899</v>
      </c>
      <c r="T5" s="280" t="str">
        <f t="shared" si="61"/>
        <v>MERV - XMEV - GFGC39108J - 24hs</v>
      </c>
      <c r="U5" s="280" t="str">
        <f t="shared" si="62"/>
        <v>GFGC39108J</v>
      </c>
      <c r="V5" s="278">
        <f>IFERROR(VLOOKUP($U5,HomeBroker!$A$30:$F$60,2,0),0)</f>
        <v>6</v>
      </c>
      <c r="W5" s="310">
        <f>IFERROR(VLOOKUP($U5,HomeBroker!$A$30:$F$60,3,0),0)</f>
        <v>291</v>
      </c>
      <c r="X5" s="364">
        <f>IFERROR(VLOOKUP($U5,HomeBroker!$A$30:$F$60,6,0),0)</f>
        <v>293</v>
      </c>
      <c r="Y5" s="309">
        <f>IFERROR(VLOOKUP($U5,HomeBroker!$A$30:$F$60,4,0),0)</f>
        <v>294.99900000000002</v>
      </c>
      <c r="Z5" s="278">
        <f>IFERROR(VLOOKUP($U5,HomeBroker!$A$30:$F$60,5,0),0)</f>
        <v>1</v>
      </c>
      <c r="AA5" s="281">
        <f>IFERROR(VLOOKUP($U5,HomeBroker!$A$30:$N$60,13,0),0)</f>
        <v>5876</v>
      </c>
      <c r="AB5" s="196">
        <f t="shared" si="63"/>
        <v>-995.21</v>
      </c>
      <c r="AC5" s="315">
        <f t="shared" si="9"/>
        <v>0</v>
      </c>
      <c r="AD5" s="313">
        <v>3010.8</v>
      </c>
      <c r="AE5" s="308">
        <f t="shared" ca="1" si="64"/>
        <v>0.54403015645460862</v>
      </c>
      <c r="AF5" s="280" t="str">
        <f t="shared" si="65"/>
        <v>MERV - XMEV - GFGV30108J - 24hs</v>
      </c>
      <c r="AG5" s="280" t="str">
        <f t="shared" si="66"/>
        <v>GFGV30108J</v>
      </c>
      <c r="AH5" s="288">
        <f>IFERROR(VLOOKUP($AG5,HomeBroker!$A$30:$F$60,2,0),0)</f>
        <v>36</v>
      </c>
      <c r="AI5" s="310">
        <f>IFERROR(VLOOKUP($AG5,HomeBroker!$A$30:$F$60,3,0),0)</f>
        <v>2.0099999999999998</v>
      </c>
      <c r="AJ5" s="364">
        <f>IFERROR(VLOOKUP($AG5,HomeBroker!$A$30:$F$60,6,0),0)</f>
        <v>2.0099999999999998</v>
      </c>
      <c r="AK5" s="310">
        <f>IFERROR(VLOOKUP($AG5,HomeBroker!$A$30:$F$60,4,0),0)</f>
        <v>2.222</v>
      </c>
      <c r="AL5" s="288">
        <f>IFERROR(VLOOKUP($AG5,HomeBroker!$A$30:$F$60,5,0),0)</f>
        <v>7</v>
      </c>
      <c r="AM5" s="312">
        <f>IFERROR(VLOOKUP($AG5,HomeBroker!$A$30:$N$60,13,0),0)</f>
        <v>3165</v>
      </c>
      <c r="AN5" s="59"/>
      <c r="AO5" s="195">
        <f t="shared" si="67"/>
        <v>197.78999999999996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3079.165646597457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3079.165646597457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04" t="s">
        <v>400</v>
      </c>
      <c r="B6" s="200"/>
      <c r="C6" s="197"/>
      <c r="D6" s="316"/>
      <c r="E6" s="317">
        <f t="shared" si="0"/>
        <v>0</v>
      </c>
      <c r="F6" s="318">
        <f t="shared" si="1"/>
        <v>0</v>
      </c>
      <c r="G6" s="199" t="str">
        <f t="shared" si="2"/>
        <v/>
      </c>
      <c r="H6" s="322">
        <f t="shared" si="58"/>
        <v>0</v>
      </c>
      <c r="I6" s="432">
        <f t="shared" si="3"/>
        <v>0</v>
      </c>
      <c r="J6" s="59"/>
      <c r="K6" s="103"/>
      <c r="L6" s="367">
        <f t="shared" si="4"/>
        <v>3142.0057618341398</v>
      </c>
      <c r="M6" s="342">
        <f t="shared" si="5"/>
        <v>-84213.440000000002</v>
      </c>
      <c r="N6" s="342">
        <f t="shared" ca="1" si="6"/>
        <v>-84213.440000000002</v>
      </c>
      <c r="O6" s="59"/>
      <c r="P6" s="195">
        <f t="shared" si="59"/>
        <v>-263.80000000000018</v>
      </c>
      <c r="Q6" s="314">
        <f t="shared" si="7"/>
        <v>30</v>
      </c>
      <c r="R6" s="313">
        <v>4060.8</v>
      </c>
      <c r="S6" s="307">
        <f t="shared" ca="1" si="60"/>
        <v>246.81008752284015</v>
      </c>
      <c r="T6" s="280" t="str">
        <f t="shared" si="61"/>
        <v>MERV - XMEV - GFGC40608J - 24hs</v>
      </c>
      <c r="U6" s="280" t="str">
        <f t="shared" si="62"/>
        <v>GFGC40608J</v>
      </c>
      <c r="V6" s="278">
        <f>IFERROR(VLOOKUP($U6,HomeBroker!$A$30:$F$60,2,0),0)</f>
        <v>72</v>
      </c>
      <c r="W6" s="310">
        <f>IFERROR(VLOOKUP($U6,HomeBroker!$A$30:$F$60,3,0),0)</f>
        <v>205</v>
      </c>
      <c r="X6" s="364">
        <f>IFERROR(VLOOKUP($U6,HomeBroker!$A$30:$F$60,6,0),0)</f>
        <v>207</v>
      </c>
      <c r="Y6" s="309">
        <f>IFERROR(VLOOKUP($U6,HomeBroker!$A$30:$F$60,4,0),0)</f>
        <v>205.5</v>
      </c>
      <c r="Z6" s="278">
        <f>IFERROR(VLOOKUP($U6,HomeBroker!$A$30:$F$60,5,0),0)</f>
        <v>12</v>
      </c>
      <c r="AA6" s="281">
        <f>IFERROR(VLOOKUP($U6,HomeBroker!$A$30:$N$60,13,0),0)</f>
        <v>37846</v>
      </c>
      <c r="AB6" s="196">
        <f t="shared" si="63"/>
        <v>-846.81</v>
      </c>
      <c r="AC6" s="315">
        <f t="shared" si="9"/>
        <v>0</v>
      </c>
      <c r="AD6" s="313">
        <v>3160.8</v>
      </c>
      <c r="AE6" s="308">
        <f t="shared" ca="1" si="64"/>
        <v>1.8212092747131408</v>
      </c>
      <c r="AF6" s="280" t="str">
        <f t="shared" si="65"/>
        <v>MERV - XMEV - GFGV31608J - 24hs</v>
      </c>
      <c r="AG6" s="280" t="str">
        <f t="shared" si="66"/>
        <v>GFGV31608J</v>
      </c>
      <c r="AH6" s="288">
        <f>IFERROR(VLOOKUP($AG6,HomeBroker!$A$30:$F$60,2,0),0)</f>
        <v>6</v>
      </c>
      <c r="AI6" s="310">
        <f>IFERROR(VLOOKUP($AG6,HomeBroker!$A$30:$F$60,3,0),0)</f>
        <v>3.61</v>
      </c>
      <c r="AJ6" s="364">
        <f>IFERROR(VLOOKUP($AG6,HomeBroker!$A$30:$F$60,6,0),0)</f>
        <v>3.61</v>
      </c>
      <c r="AK6" s="310">
        <f>IFERROR(VLOOKUP($AG6,HomeBroker!$A$30:$F$60,4,0),0)</f>
        <v>4.0999999999999996</v>
      </c>
      <c r="AL6" s="288">
        <f>IFERROR(VLOOKUP($AG6,HomeBroker!$A$30:$F$60,5,0),0)</f>
        <v>10</v>
      </c>
      <c r="AM6" s="312">
        <f>IFERROR(VLOOKUP($AG6,HomeBroker!$A$30:$N$60,13,0),0)</f>
        <v>4646</v>
      </c>
      <c r="AN6" s="59"/>
      <c r="AO6" s="195">
        <f t="shared" si="67"/>
        <v>260.19000000000051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3142.0057618341398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3142.0057618341398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04" t="s">
        <v>400</v>
      </c>
      <c r="B7" s="200"/>
      <c r="C7" s="197"/>
      <c r="D7" s="316"/>
      <c r="E7" s="317">
        <f t="shared" si="0"/>
        <v>0</v>
      </c>
      <c r="F7" s="318">
        <f t="shared" si="1"/>
        <v>0</v>
      </c>
      <c r="G7" s="199" t="str">
        <f t="shared" si="2"/>
        <v/>
      </c>
      <c r="H7" s="322">
        <f t="shared" si="58"/>
        <v>0</v>
      </c>
      <c r="I7" s="432">
        <f t="shared" si="3"/>
        <v>0</v>
      </c>
      <c r="J7" s="59"/>
      <c r="K7" s="103">
        <f>IFERROR(-1+(L7/$L$18),"")</f>
        <v>-0.19926864925020393</v>
      </c>
      <c r="L7" s="367">
        <f t="shared" si="4"/>
        <v>3206.1283284021833</v>
      </c>
      <c r="M7" s="341">
        <f t="shared" si="5"/>
        <v>-84213.440000000002</v>
      </c>
      <c r="N7" s="341">
        <f t="shared" ca="1" si="6"/>
        <v>-84213.440000000002</v>
      </c>
      <c r="O7" s="59"/>
      <c r="P7" s="195">
        <f t="shared" si="59"/>
        <v>-383.80000000000018</v>
      </c>
      <c r="Q7" s="314">
        <f t="shared" si="7"/>
        <v>0</v>
      </c>
      <c r="R7" s="313">
        <v>4260.8</v>
      </c>
      <c r="S7" s="307">
        <f t="shared" ca="1" si="60"/>
        <v>150.187657761325</v>
      </c>
      <c r="T7" s="280" t="str">
        <f t="shared" si="61"/>
        <v>MERV - XMEV - GFGC42608J - 24hs</v>
      </c>
      <c r="U7" s="280" t="str">
        <f t="shared" si="62"/>
        <v>GFGC42608J</v>
      </c>
      <c r="V7" s="278">
        <f>IFERROR(VLOOKUP($U7,HomeBroker!$A$30:$F$60,2,0),0)</f>
        <v>4</v>
      </c>
      <c r="W7" s="310">
        <f>IFERROR(VLOOKUP($U7,HomeBroker!$A$30:$F$60,3,0),0)</f>
        <v>127</v>
      </c>
      <c r="X7" s="364">
        <f>IFERROR(VLOOKUP($U7,HomeBroker!$A$30:$F$60,6,0),0)</f>
        <v>127</v>
      </c>
      <c r="Y7" s="309">
        <f>IFERROR(VLOOKUP($U7,HomeBroker!$A$30:$F$60,4,0),0)</f>
        <v>127.9</v>
      </c>
      <c r="Z7" s="278">
        <f>IFERROR(VLOOKUP($U7,HomeBroker!$A$30:$F$60,5,0),0)</f>
        <v>16</v>
      </c>
      <c r="AA7" s="281">
        <f>IFERROR(VLOOKUP($U7,HomeBroker!$A$30:$N$60,13,0),0)</f>
        <v>17939</v>
      </c>
      <c r="AB7" s="196">
        <f t="shared" si="63"/>
        <v>-701.39999999999964</v>
      </c>
      <c r="AC7" s="315">
        <f t="shared" si="9"/>
        <v>0</v>
      </c>
      <c r="AD7" s="313">
        <v>3310.8</v>
      </c>
      <c r="AE7" s="308">
        <f t="shared" ca="1" si="64"/>
        <v>5.1262756867161983</v>
      </c>
      <c r="AF7" s="280" t="str">
        <f t="shared" si="65"/>
        <v>MERV - XMEV - GFGV33108J - 24hs</v>
      </c>
      <c r="AG7" s="280" t="str">
        <f t="shared" si="66"/>
        <v>GFGV33108J</v>
      </c>
      <c r="AH7" s="288">
        <f>IFERROR(VLOOKUP($AG7,HomeBroker!$A$30:$F$60,2,0),0)</f>
        <v>5</v>
      </c>
      <c r="AI7" s="310">
        <f>IFERROR(VLOOKUP($AG7,HomeBroker!$A$30:$F$60,3,0),0)</f>
        <v>7.25</v>
      </c>
      <c r="AJ7" s="364">
        <f>IFERROR(VLOOKUP($AG7,HomeBroker!$A$30:$F$60,6,0),0)</f>
        <v>8.1999999999999993</v>
      </c>
      <c r="AK7" s="310">
        <f>IFERROR(VLOOKUP($AG7,HomeBroker!$A$30:$F$60,4,0),0)</f>
        <v>8.5500000000000007</v>
      </c>
      <c r="AL7" s="288">
        <f>IFERROR(VLOOKUP($AG7,HomeBroker!$A$30:$F$60,5,0),0)</f>
        <v>73</v>
      </c>
      <c r="AM7" s="312">
        <f>IFERROR(VLOOKUP($AG7,HomeBroker!$A$30:$N$60,13,0),0)</f>
        <v>4239</v>
      </c>
      <c r="AN7" s="59"/>
      <c r="AO7" s="195">
        <f t="shared" si="67"/>
        <v>375.60000000000036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3206.1283284021833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3206.1283284021833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04" t="s">
        <v>400</v>
      </c>
      <c r="B8" s="200"/>
      <c r="C8" s="197"/>
      <c r="D8" s="316"/>
      <c r="E8" s="317">
        <f t="shared" si="0"/>
        <v>0</v>
      </c>
      <c r="F8" s="318">
        <f t="shared" si="1"/>
        <v>0</v>
      </c>
      <c r="G8" s="199" t="str">
        <f t="shared" si="2"/>
        <v/>
      </c>
      <c r="H8" s="322">
        <f t="shared" si="58"/>
        <v>0</v>
      </c>
      <c r="I8" s="432">
        <f t="shared" si="3"/>
        <v>0</v>
      </c>
      <c r="J8" s="59"/>
      <c r="K8" s="290"/>
      <c r="L8" s="368">
        <f t="shared" si="4"/>
        <v>3271.559518777738</v>
      </c>
      <c r="M8" s="341">
        <f t="shared" si="5"/>
        <v>-84213.440000000002</v>
      </c>
      <c r="N8" s="341">
        <f t="shared" ca="1" si="6"/>
        <v>-84213.440000000002</v>
      </c>
      <c r="O8" s="59"/>
      <c r="P8" s="195">
        <f t="shared" si="59"/>
        <v>-530.80000000000018</v>
      </c>
      <c r="Q8" s="314">
        <f t="shared" si="7"/>
        <v>0</v>
      </c>
      <c r="R8" s="313">
        <v>4460.8</v>
      </c>
      <c r="S8" s="307">
        <f t="shared" ca="1" si="60"/>
        <v>84.455230541862647</v>
      </c>
      <c r="T8" s="280" t="str">
        <f t="shared" si="61"/>
        <v>MERV - XMEV - GFGC44608J - 24hs</v>
      </c>
      <c r="U8" s="280" t="str">
        <f t="shared" si="62"/>
        <v>GFGC44608J</v>
      </c>
      <c r="V8" s="278">
        <f>IFERROR(VLOOKUP($U8,HomeBroker!$A$30:$F$60,2,0),0)</f>
        <v>95</v>
      </c>
      <c r="W8" s="310">
        <f>IFERROR(VLOOKUP($U8,HomeBroker!$A$30:$F$60,3,0),0)</f>
        <v>74</v>
      </c>
      <c r="X8" s="364">
        <f>IFERROR(VLOOKUP($U8,HomeBroker!$A$30:$F$60,6,0),0)</f>
        <v>74</v>
      </c>
      <c r="Y8" s="309">
        <f>IFERROR(VLOOKUP($U8,HomeBroker!$A$30:$F$60,4,0),0)</f>
        <v>74.5</v>
      </c>
      <c r="Z8" s="278">
        <f>IFERROR(VLOOKUP($U8,HomeBroker!$A$30:$F$60,5,0),0)</f>
        <v>10</v>
      </c>
      <c r="AA8" s="281">
        <f>IFERROR(VLOOKUP($U8,HomeBroker!$A$30:$N$60,13,0),0)</f>
        <v>37571</v>
      </c>
      <c r="AB8" s="196">
        <f t="shared" si="63"/>
        <v>-560.19999999999982</v>
      </c>
      <c r="AC8" s="315">
        <f t="shared" si="9"/>
        <v>0</v>
      </c>
      <c r="AD8" s="313">
        <v>3460.8</v>
      </c>
      <c r="AE8" s="308">
        <f t="shared" ca="1" si="64"/>
        <v>12.426448732737157</v>
      </c>
      <c r="AF8" s="280" t="str">
        <f t="shared" si="65"/>
        <v>MERV - XMEV - GFGV34608J - 24hs</v>
      </c>
      <c r="AG8" s="280" t="str">
        <f t="shared" si="66"/>
        <v>GFGV34608J</v>
      </c>
      <c r="AH8" s="288">
        <f>IFERROR(VLOOKUP($AG8,HomeBroker!$A$30:$F$60,2,0),0)</f>
        <v>45</v>
      </c>
      <c r="AI8" s="310">
        <f>IFERROR(VLOOKUP($AG8,HomeBroker!$A$30:$F$60,3,0),0)</f>
        <v>17</v>
      </c>
      <c r="AJ8" s="364">
        <f>IFERROR(VLOOKUP($AG8,HomeBroker!$A$30:$F$60,6,0),0)</f>
        <v>17</v>
      </c>
      <c r="AK8" s="310">
        <f>IFERROR(VLOOKUP($AG8,HomeBroker!$A$30:$F$60,4,0),0)</f>
        <v>18.100000000000001</v>
      </c>
      <c r="AL8" s="288">
        <f>IFERROR(VLOOKUP($AG8,HomeBroker!$A$30:$F$60,5,0),0)</f>
        <v>1</v>
      </c>
      <c r="AM8" s="312">
        <f>IFERROR(VLOOKUP($AG8,HomeBroker!$A$30:$N$60,13,0),0)</f>
        <v>6604</v>
      </c>
      <c r="AN8" s="59"/>
      <c r="AO8" s="195">
        <f t="shared" si="67"/>
        <v>513.80000000000018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3271.559518777738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3271.559518777738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04" t="s">
        <v>400</v>
      </c>
      <c r="B9" s="200"/>
      <c r="C9" s="197"/>
      <c r="D9" s="316"/>
      <c r="E9" s="317">
        <f t="shared" si="0"/>
        <v>0</v>
      </c>
      <c r="F9" s="318">
        <f t="shared" si="1"/>
        <v>0</v>
      </c>
      <c r="G9" s="199" t="str">
        <f t="shared" si="2"/>
        <v/>
      </c>
      <c r="H9" s="322">
        <f t="shared" si="58"/>
        <v>0</v>
      </c>
      <c r="I9" s="432">
        <f t="shared" si="3"/>
        <v>0</v>
      </c>
      <c r="J9" s="59"/>
      <c r="K9" s="291"/>
      <c r="L9" s="368">
        <f t="shared" si="4"/>
        <v>3338.3260395691204</v>
      </c>
      <c r="M9" s="342">
        <f t="shared" si="5"/>
        <v>-84213.440000000002</v>
      </c>
      <c r="N9" s="342">
        <f t="shared" ca="1" si="6"/>
        <v>-84213.440000000002</v>
      </c>
      <c r="O9" s="59"/>
      <c r="P9" s="195">
        <f t="shared" si="59"/>
        <v>-702.80000000000018</v>
      </c>
      <c r="Q9" s="314">
        <f t="shared" si="7"/>
        <v>0</v>
      </c>
      <c r="R9" s="313">
        <v>4660.8</v>
      </c>
      <c r="S9" s="307">
        <f t="shared" ca="1" si="60"/>
        <v>43.931125147941998</v>
      </c>
      <c r="T9" s="280" t="str">
        <f t="shared" si="61"/>
        <v>MERV - XMEV - GFGC46608J - 24hs</v>
      </c>
      <c r="U9" s="280" t="str">
        <f t="shared" si="62"/>
        <v>GFGC46608J</v>
      </c>
      <c r="V9" s="278">
        <f>IFERROR(VLOOKUP($U9,HomeBroker!$A$30:$F$60,2,0),0)</f>
        <v>7</v>
      </c>
      <c r="W9" s="310">
        <f>IFERROR(VLOOKUP($U9,HomeBroker!$A$30:$F$60,3,0),0)</f>
        <v>45</v>
      </c>
      <c r="X9" s="364">
        <f>IFERROR(VLOOKUP($U9,HomeBroker!$A$30:$F$60,6,0),0)</f>
        <v>46</v>
      </c>
      <c r="Y9" s="309">
        <f>IFERROR(VLOOKUP($U9,HomeBroker!$A$30:$F$60,4,0),0)</f>
        <v>45.999000000000002</v>
      </c>
      <c r="Z9" s="278">
        <f>IFERROR(VLOOKUP($U9,HomeBroker!$A$30:$F$60,5,0),0)</f>
        <v>2</v>
      </c>
      <c r="AA9" s="281">
        <f>IFERROR(VLOOKUP($U9,HomeBroker!$A$30:$N$60,13,0),0)</f>
        <v>8824</v>
      </c>
      <c r="AB9" s="196">
        <f t="shared" si="63"/>
        <v>-429.19999999999982</v>
      </c>
      <c r="AC9" s="315">
        <f t="shared" si="9"/>
        <v>0</v>
      </c>
      <c r="AD9" s="313">
        <v>3610.8</v>
      </c>
      <c r="AE9" s="308">
        <f t="shared" ca="1" si="64"/>
        <v>26.482528904456672</v>
      </c>
      <c r="AF9" s="280" t="str">
        <f t="shared" si="65"/>
        <v>MERV - XMEV - GFGV36108J - 24hs</v>
      </c>
      <c r="AG9" s="280" t="str">
        <f t="shared" si="66"/>
        <v>GFGV36108J</v>
      </c>
      <c r="AH9" s="288">
        <f>IFERROR(VLOOKUP($AG9,HomeBroker!$A$30:$F$60,2,0),0)</f>
        <v>7</v>
      </c>
      <c r="AI9" s="310">
        <f>IFERROR(VLOOKUP($AG9,HomeBroker!$A$30:$F$60,3,0),0)</f>
        <v>35.002000000000002</v>
      </c>
      <c r="AJ9" s="364">
        <f>IFERROR(VLOOKUP($AG9,HomeBroker!$A$30:$F$60,6,0),0)</f>
        <v>36</v>
      </c>
      <c r="AK9" s="310">
        <f>IFERROR(VLOOKUP($AG9,HomeBroker!$A$30:$F$60,4,0),0)</f>
        <v>36</v>
      </c>
      <c r="AL9" s="288">
        <f>IFERROR(VLOOKUP($AG9,HomeBroker!$A$30:$F$60,5,0),0)</f>
        <v>21</v>
      </c>
      <c r="AM9" s="312">
        <f>IFERROR(VLOOKUP($AG9,HomeBroker!$A$30:$N$60,13,0),0)</f>
        <v>6195</v>
      </c>
      <c r="AN9" s="59"/>
      <c r="AO9" s="195">
        <f t="shared" si="67"/>
        <v>666.80000000000018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3338.3260395691204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3338.3260395691204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04" t="s">
        <v>400</v>
      </c>
      <c r="B10" s="200"/>
      <c r="C10" s="197"/>
      <c r="D10" s="316"/>
      <c r="E10" s="317">
        <f t="shared" si="0"/>
        <v>0</v>
      </c>
      <c r="F10" s="318">
        <f t="shared" si="1"/>
        <v>0</v>
      </c>
      <c r="G10" s="199" t="str">
        <f t="shared" si="2"/>
        <v/>
      </c>
      <c r="H10" s="322">
        <f t="shared" si="58"/>
        <v>0</v>
      </c>
      <c r="I10" s="432">
        <f t="shared" si="3"/>
        <v>0</v>
      </c>
      <c r="J10" s="59"/>
      <c r="K10" s="291"/>
      <c r="L10" s="368">
        <f t="shared" si="4"/>
        <v>3406.4551424174697</v>
      </c>
      <c r="M10" s="341">
        <f t="shared" si="5"/>
        <v>-84213.440000000002</v>
      </c>
      <c r="N10" s="341">
        <f t="shared" ca="1" si="6"/>
        <v>-84213.440000000002</v>
      </c>
      <c r="O10" s="59"/>
      <c r="P10" s="195">
        <f t="shared" si="59"/>
        <v>-882.80000000000018</v>
      </c>
      <c r="Q10" s="314">
        <f t="shared" si="7"/>
        <v>0</v>
      </c>
      <c r="R10" s="313">
        <v>4860.8</v>
      </c>
      <c r="S10" s="307">
        <f t="shared" ca="1" si="60"/>
        <v>21.202239226781955</v>
      </c>
      <c r="T10" s="280" t="str">
        <f t="shared" si="61"/>
        <v>MERV - XMEV - GFGC48608J - 24hs</v>
      </c>
      <c r="U10" s="280" t="str">
        <f t="shared" si="62"/>
        <v>GFGC48608J</v>
      </c>
      <c r="V10" s="278">
        <f>IFERROR(VLOOKUP($U10,HomeBroker!$A$30:$F$60,2,0),0)</f>
        <v>8</v>
      </c>
      <c r="W10" s="310">
        <f>IFERROR(VLOOKUP($U10,HomeBroker!$A$30:$F$60,3,0),0)</f>
        <v>25.001000000000001</v>
      </c>
      <c r="X10" s="364">
        <f>IFERROR(VLOOKUP($U10,HomeBroker!$A$30:$F$60,6,0),0)</f>
        <v>26</v>
      </c>
      <c r="Y10" s="309">
        <f>IFERROR(VLOOKUP($U10,HomeBroker!$A$30:$F$60,4,0),0)</f>
        <v>26</v>
      </c>
      <c r="Z10" s="278">
        <f>IFERROR(VLOOKUP($U10,HomeBroker!$A$30:$F$60,5,0),0)</f>
        <v>1000</v>
      </c>
      <c r="AA10" s="281">
        <f>IFERROR(VLOOKUP($U10,HomeBroker!$A$30:$N$60,13,0),0)</f>
        <v>6590</v>
      </c>
      <c r="AB10" s="196">
        <f t="shared" si="63"/>
        <v>-310.29999999999973</v>
      </c>
      <c r="AC10" s="315">
        <f t="shared" si="9"/>
        <v>0</v>
      </c>
      <c r="AD10" s="313">
        <v>3760.8</v>
      </c>
      <c r="AE10" s="308">
        <f t="shared" ca="1" si="64"/>
        <v>50.515641728633682</v>
      </c>
      <c r="AF10" s="280" t="str">
        <f t="shared" si="65"/>
        <v>MERV - XMEV - GFGV37608J - 24hs</v>
      </c>
      <c r="AG10" s="280" t="str">
        <f t="shared" si="66"/>
        <v>GFGV37608J</v>
      </c>
      <c r="AH10" s="288">
        <f>IFERROR(VLOOKUP($AG10,HomeBroker!$A$30:$F$60,2,0),0)</f>
        <v>2</v>
      </c>
      <c r="AI10" s="310">
        <f>IFERROR(VLOOKUP($AG10,HomeBroker!$A$30:$F$60,3,0),0)</f>
        <v>67.099999999999994</v>
      </c>
      <c r="AJ10" s="364">
        <f>IFERROR(VLOOKUP($AG10,HomeBroker!$A$30:$F$60,6,0),0)</f>
        <v>67.099999999999994</v>
      </c>
      <c r="AK10" s="310">
        <f>IFERROR(VLOOKUP($AG10,HomeBroker!$A$30:$F$60,4,0),0)</f>
        <v>69</v>
      </c>
      <c r="AL10" s="288">
        <f>IFERROR(VLOOKUP($AG10,HomeBroker!$A$30:$F$60,5,0),0)</f>
        <v>1</v>
      </c>
      <c r="AM10" s="312">
        <f>IFERROR(VLOOKUP($AG10,HomeBroker!$A$30:$N$60,13,0),0)</f>
        <v>8832</v>
      </c>
      <c r="AN10" s="59"/>
      <c r="AO10" s="195">
        <f t="shared" si="67"/>
        <v>815.69999999999982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3406.4551424174697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3406.4551424174697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04" t="s">
        <v>400</v>
      </c>
      <c r="B11" s="200"/>
      <c r="C11" s="197"/>
      <c r="D11" s="316"/>
      <c r="E11" s="317">
        <f t="shared" si="0"/>
        <v>0</v>
      </c>
      <c r="F11" s="318">
        <f t="shared" si="1"/>
        <v>0</v>
      </c>
      <c r="G11" s="199" t="str">
        <f t="shared" si="2"/>
        <v/>
      </c>
      <c r="H11" s="322">
        <f t="shared" si="58"/>
        <v>0</v>
      </c>
      <c r="I11" s="432">
        <f t="shared" si="3"/>
        <v>0</v>
      </c>
      <c r="J11" s="59"/>
      <c r="K11" s="291"/>
      <c r="L11" s="368">
        <f t="shared" si="4"/>
        <v>3475.9746351198669</v>
      </c>
      <c r="M11" s="341">
        <f t="shared" si="5"/>
        <v>-84213.440000000002</v>
      </c>
      <c r="N11" s="341">
        <f t="shared" ca="1" si="6"/>
        <v>-84213.440000000002</v>
      </c>
      <c r="O11" s="59"/>
      <c r="P11" s="195">
        <f t="shared" si="59"/>
        <v>-1073.1000000000004</v>
      </c>
      <c r="Q11" s="314">
        <f t="shared" si="7"/>
        <v>0</v>
      </c>
      <c r="R11" s="313">
        <v>5060.8</v>
      </c>
      <c r="S11" s="307">
        <f t="shared" ca="1" si="60"/>
        <v>9.5348180560276035</v>
      </c>
      <c r="T11" s="280" t="str">
        <f t="shared" si="61"/>
        <v>MERV - XMEV - GFGC50608J - 24hs</v>
      </c>
      <c r="U11" s="280" t="str">
        <f t="shared" si="62"/>
        <v>GFGC50608J</v>
      </c>
      <c r="V11" s="278">
        <f>IFERROR(VLOOKUP($U11,HomeBroker!$A$30:$F$60,2,0),0)</f>
        <v>5</v>
      </c>
      <c r="W11" s="310">
        <f>IFERROR(VLOOKUP($U11,HomeBroker!$A$30:$F$60,3,0),0)</f>
        <v>15.34</v>
      </c>
      <c r="X11" s="364">
        <f>IFERROR(VLOOKUP($U11,HomeBroker!$A$30:$F$60,6,0),0)</f>
        <v>16.3</v>
      </c>
      <c r="Y11" s="309">
        <f>IFERROR(VLOOKUP($U11,HomeBroker!$A$30:$F$60,4,0),0)</f>
        <v>16.3</v>
      </c>
      <c r="Z11" s="278">
        <f>IFERROR(VLOOKUP($U11,HomeBroker!$A$30:$F$60,5,0),0)</f>
        <v>10</v>
      </c>
      <c r="AA11" s="281">
        <f>IFERROR(VLOOKUP($U11,HomeBroker!$A$30:$N$60,13,0),0)</f>
        <v>1694</v>
      </c>
      <c r="AB11" s="196">
        <f t="shared" si="63"/>
        <v>-213.19999999999982</v>
      </c>
      <c r="AC11" s="315">
        <f t="shared" si="9"/>
        <v>0</v>
      </c>
      <c r="AD11" s="313">
        <v>3910.8</v>
      </c>
      <c r="AE11" s="308">
        <f t="shared" ca="1" si="64"/>
        <v>87.609324233854068</v>
      </c>
      <c r="AF11" s="280" t="str">
        <f t="shared" si="65"/>
        <v>MERV - XMEV - GFGV39108J - 24hs</v>
      </c>
      <c r="AG11" s="280" t="str">
        <f t="shared" si="66"/>
        <v>GFGV39108J</v>
      </c>
      <c r="AH11" s="288">
        <f>IFERROR(VLOOKUP($AG11,HomeBroker!$A$30:$F$60,2,0),0)</f>
        <v>5</v>
      </c>
      <c r="AI11" s="310">
        <f>IFERROR(VLOOKUP($AG11,HomeBroker!$A$30:$F$60,3,0),0)</f>
        <v>119.001</v>
      </c>
      <c r="AJ11" s="364">
        <f>IFERROR(VLOOKUP($AG11,HomeBroker!$A$30:$F$60,6,0),0)</f>
        <v>120</v>
      </c>
      <c r="AK11" s="310">
        <f>IFERROR(VLOOKUP($AG11,HomeBroker!$A$30:$F$60,4,0),0)</f>
        <v>123.5</v>
      </c>
      <c r="AL11" s="288">
        <f>IFERROR(VLOOKUP($AG11,HomeBroker!$A$30:$F$60,5,0),0)</f>
        <v>1</v>
      </c>
      <c r="AM11" s="312">
        <f>IFERROR(VLOOKUP($AG11,HomeBroker!$A$30:$N$60,13,0),0)</f>
        <v>5420</v>
      </c>
      <c r="AN11" s="59"/>
      <c r="AO11" s="195">
        <f t="shared" si="67"/>
        <v>953.10000000000036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3475.9746351198669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3475.9746351198669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04" t="s">
        <v>400</v>
      </c>
      <c r="B12" s="200"/>
      <c r="C12" s="197"/>
      <c r="D12" s="316"/>
      <c r="E12" s="317">
        <f t="shared" si="0"/>
        <v>0</v>
      </c>
      <c r="F12" s="318">
        <f t="shared" si="1"/>
        <v>0</v>
      </c>
      <c r="G12" s="199" t="str">
        <f t="shared" si="2"/>
        <v/>
      </c>
      <c r="H12" s="322">
        <f t="shared" si="58"/>
        <v>0</v>
      </c>
      <c r="I12" s="432">
        <f t="shared" si="3"/>
        <v>0</v>
      </c>
      <c r="J12" s="59"/>
      <c r="K12" s="291">
        <f>IFERROR(-1+(L12/$L$18),"")</f>
        <v>-0.11415761913599998</v>
      </c>
      <c r="L12" s="368">
        <f t="shared" si="4"/>
        <v>3546.912892979456</v>
      </c>
      <c r="M12" s="342">
        <f t="shared" si="5"/>
        <v>-84213.440000000002</v>
      </c>
      <c r="N12" s="342">
        <f t="shared" ca="1" si="6"/>
        <v>-84213.440000000002</v>
      </c>
      <c r="O12" s="59"/>
      <c r="P12" s="195">
        <f t="shared" si="59"/>
        <v>-1267.0500000000002</v>
      </c>
      <c r="Q12" s="314">
        <f t="shared" si="7"/>
        <v>0</v>
      </c>
      <c r="R12" s="313">
        <v>5260.8</v>
      </c>
      <c r="S12" s="307">
        <f t="shared" ca="1" si="60"/>
        <v>4.0152534550286703</v>
      </c>
      <c r="T12" s="280" t="str">
        <f t="shared" si="61"/>
        <v>MERV - XMEV - GFGC52608J - 24hs</v>
      </c>
      <c r="U12" s="280" t="str">
        <f t="shared" si="62"/>
        <v>GFGC52608J</v>
      </c>
      <c r="V12" s="278">
        <f>IFERROR(VLOOKUP($U12,HomeBroker!$A$30:$F$60,2,0),0)</f>
        <v>1</v>
      </c>
      <c r="W12" s="310">
        <f>IFERROR(VLOOKUP($U12,HomeBroker!$A$30:$F$60,3,0),0)</f>
        <v>11</v>
      </c>
      <c r="X12" s="364">
        <f>IFERROR(VLOOKUP($U12,HomeBroker!$A$30:$F$60,6,0),0)</f>
        <v>10.25</v>
      </c>
      <c r="Y12" s="309">
        <f>IFERROR(VLOOKUP($U12,HomeBroker!$A$30:$F$60,4,0),0)</f>
        <v>11.1</v>
      </c>
      <c r="Z12" s="278">
        <f>IFERROR(VLOOKUP($U12,HomeBroker!$A$30:$F$60,5,0),0)</f>
        <v>15</v>
      </c>
      <c r="AA12" s="281">
        <f>IFERROR(VLOOKUP($U12,HomeBroker!$A$30:$N$60,13,0),0)</f>
        <v>4454</v>
      </c>
      <c r="AB12" s="196">
        <f t="shared" si="63"/>
        <v>-138.19999999999982</v>
      </c>
      <c r="AC12" s="315">
        <f t="shared" si="9"/>
        <v>0</v>
      </c>
      <c r="AD12" s="313">
        <v>4060.8</v>
      </c>
      <c r="AE12" s="308">
        <f t="shared" ca="1" si="64"/>
        <v>140.05613366296598</v>
      </c>
      <c r="AF12" s="280" t="str">
        <f t="shared" si="65"/>
        <v>MERV - XMEV - GFGV40608J - 24hs</v>
      </c>
      <c r="AG12" s="280" t="str">
        <f t="shared" si="66"/>
        <v>GFGV40608J</v>
      </c>
      <c r="AH12" s="288">
        <f>IFERROR(VLOOKUP($AG12,HomeBroker!$A$30:$F$60,2,0),0)</f>
        <v>21</v>
      </c>
      <c r="AI12" s="310">
        <f>IFERROR(VLOOKUP($AG12,HomeBroker!$A$30:$F$60,3,0),0)</f>
        <v>193.12299999999999</v>
      </c>
      <c r="AJ12" s="364">
        <f>IFERROR(VLOOKUP($AG12,HomeBroker!$A$30:$F$60,6,0),0)</f>
        <v>195</v>
      </c>
      <c r="AK12" s="310">
        <f>IFERROR(VLOOKUP($AG12,HomeBroker!$A$30:$F$60,4,0),0)</f>
        <v>199.5</v>
      </c>
      <c r="AL12" s="288">
        <f>IFERROR(VLOOKUP($AG12,HomeBroker!$A$30:$F$60,5,0),0)</f>
        <v>5</v>
      </c>
      <c r="AM12" s="312">
        <f>IFERROR(VLOOKUP($AG12,HomeBroker!$A$30:$N$60,13,0),0)</f>
        <v>1986</v>
      </c>
      <c r="AN12" s="59"/>
      <c r="AO12" s="195">
        <f t="shared" si="67"/>
        <v>1072.0500000000002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3546.912892979456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3546.912892979456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04" t="s">
        <v>400</v>
      </c>
      <c r="B13" s="200"/>
      <c r="C13" s="197"/>
      <c r="D13" s="316"/>
      <c r="E13" s="317">
        <f t="shared" si="0"/>
        <v>0</v>
      </c>
      <c r="F13" s="318">
        <f t="shared" si="1"/>
        <v>0</v>
      </c>
      <c r="G13" s="199" t="str">
        <f t="shared" si="2"/>
        <v/>
      </c>
      <c r="H13" s="322">
        <f t="shared" si="58"/>
        <v>0</v>
      </c>
      <c r="I13" s="432">
        <f t="shared" si="3"/>
        <v>0</v>
      </c>
      <c r="J13" s="59"/>
      <c r="K13" s="292">
        <f>IFERROR(-1+(L13/$L$18),"")</f>
        <v>-9.6079203199999963E-2</v>
      </c>
      <c r="L13" s="369">
        <f t="shared" si="4"/>
        <v>3619.2988703872002</v>
      </c>
      <c r="M13" s="341">
        <f t="shared" si="5"/>
        <v>-84213.440000000002</v>
      </c>
      <c r="N13" s="341">
        <f t="shared" ca="1" si="6"/>
        <v>-84213.440000000002</v>
      </c>
      <c r="O13" s="59"/>
      <c r="P13" s="195" t="str">
        <f t="shared" si="59"/>
        <v/>
      </c>
      <c r="Q13" s="314">
        <f t="shared" si="7"/>
        <v>0</v>
      </c>
      <c r="R13" s="313"/>
      <c r="S13" s="307">
        <f t="shared" ca="1" si="60"/>
        <v>0</v>
      </c>
      <c r="T13" s="280" t="str">
        <f t="shared" si="61"/>
        <v/>
      </c>
      <c r="U13" s="280" t="str">
        <f t="shared" si="62"/>
        <v/>
      </c>
      <c r="V13" s="278">
        <f>IFERROR(VLOOKUP($U13,HomeBroker!$A$30:$F$60,2,0),0)</f>
        <v>0</v>
      </c>
      <c r="W13" s="310">
        <f>IFERROR(VLOOKUP($U13,HomeBroker!$A$30:$F$60,3,0),0)</f>
        <v>0</v>
      </c>
      <c r="X13" s="364">
        <f>IFERROR(VLOOKUP($U13,HomeBroker!$A$30:$F$60,6,0),0)</f>
        <v>0</v>
      </c>
      <c r="Y13" s="309">
        <f>IFERROR(VLOOKUP($U13,HomeBroker!$A$30:$F$60,4,0),0)</f>
        <v>0</v>
      </c>
      <c r="Z13" s="278">
        <f>IFERROR(VLOOKUP($U13,HomeBroker!$A$30:$F$60,5,0),0)</f>
        <v>0</v>
      </c>
      <c r="AA13" s="281">
        <f>IFERROR(VLOOKUP($U13,HomeBroker!$A$30:$N$60,13,0),0)</f>
        <v>0</v>
      </c>
      <c r="AB13" s="196" t="str">
        <f t="shared" si="63"/>
        <v/>
      </c>
      <c r="AC13" s="315">
        <f t="shared" si="9"/>
        <v>0</v>
      </c>
      <c r="AD13" s="313"/>
      <c r="AE13" s="308">
        <f t="shared" ca="1" si="64"/>
        <v>0</v>
      </c>
      <c r="AF13" s="280" t="str">
        <f t="shared" si="65"/>
        <v/>
      </c>
      <c r="AG13" s="280" t="str">
        <f t="shared" si="66"/>
        <v/>
      </c>
      <c r="AH13" s="288">
        <f>IFERROR(VLOOKUP($AG13,HomeBroker!$A$30:$F$60,2,0),0)</f>
        <v>0</v>
      </c>
      <c r="AI13" s="310">
        <f>IFERROR(VLOOKUP($AG13,HomeBroker!$A$30:$F$60,3,0),0)</f>
        <v>0</v>
      </c>
      <c r="AJ13" s="364">
        <f>IFERROR(VLOOKUP($AG13,HomeBroker!$A$30:$F$60,6,0),0)</f>
        <v>0</v>
      </c>
      <c r="AK13" s="310">
        <f>IFERROR(VLOOKUP($AG13,HomeBroker!$A$30:$F$60,4,0),0)</f>
        <v>0</v>
      </c>
      <c r="AL13" s="288">
        <f>IFERROR(VLOOKUP($AG13,HomeBroker!$A$30:$F$60,5,0),0)</f>
        <v>0</v>
      </c>
      <c r="AM13" s="312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3619.2988703872002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3619.2988703872002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04" t="s">
        <v>400</v>
      </c>
      <c r="B14" s="200"/>
      <c r="C14" s="197"/>
      <c r="D14" s="316"/>
      <c r="E14" s="317">
        <f t="shared" si="0"/>
        <v>0</v>
      </c>
      <c r="F14" s="318">
        <f t="shared" si="1"/>
        <v>0</v>
      </c>
      <c r="G14" s="199" t="str">
        <f t="shared" si="2"/>
        <v/>
      </c>
      <c r="H14" s="322">
        <f t="shared" si="58"/>
        <v>0</v>
      </c>
      <c r="I14" s="432">
        <f t="shared" si="3"/>
        <v>0</v>
      </c>
      <c r="J14" s="59"/>
      <c r="K14" s="293">
        <f>IFERROR(-1+(L14/$L$18),"")</f>
        <v>-7.7631840000000008E-2</v>
      </c>
      <c r="L14" s="369">
        <f t="shared" si="4"/>
        <v>3693.16211264</v>
      </c>
      <c r="M14" s="341">
        <f t="shared" si="5"/>
        <v>-84213.440000000002</v>
      </c>
      <c r="N14" s="341">
        <f t="shared" ca="1" si="6"/>
        <v>-84213.440000000002</v>
      </c>
      <c r="O14" s="59"/>
      <c r="P14" s="195" t="str">
        <f t="shared" si="59"/>
        <v/>
      </c>
      <c r="Q14" s="314">
        <f t="shared" si="7"/>
        <v>0</v>
      </c>
      <c r="R14" s="313"/>
      <c r="S14" s="307">
        <f t="shared" ca="1" si="60"/>
        <v>0</v>
      </c>
      <c r="T14" s="280" t="str">
        <f t="shared" si="61"/>
        <v/>
      </c>
      <c r="U14" s="280" t="str">
        <f t="shared" si="62"/>
        <v/>
      </c>
      <c r="V14" s="278">
        <f>IFERROR(VLOOKUP($U14,HomeBroker!$A$30:$F$60,2,0),0)</f>
        <v>0</v>
      </c>
      <c r="W14" s="310">
        <f>IFERROR(VLOOKUP($U14,HomeBroker!$A$30:$F$60,3,0),0)</f>
        <v>0</v>
      </c>
      <c r="X14" s="364">
        <f>IFERROR(VLOOKUP($U14,HomeBroker!$A$30:$F$60,6,0),0)</f>
        <v>0</v>
      </c>
      <c r="Y14" s="309">
        <f>IFERROR(VLOOKUP($U14,HomeBroker!$A$30:$F$60,4,0),0)</f>
        <v>0</v>
      </c>
      <c r="Z14" s="278">
        <f>IFERROR(VLOOKUP($U14,HomeBroker!$A$30:$F$60,5,0),0)</f>
        <v>0</v>
      </c>
      <c r="AA14" s="281">
        <f>IFERROR(VLOOKUP($U14,HomeBroker!$A$30:$N$60,13,0),0)</f>
        <v>0</v>
      </c>
      <c r="AB14" s="196" t="str">
        <f t="shared" si="63"/>
        <v/>
      </c>
      <c r="AC14" s="315">
        <f t="shared" si="9"/>
        <v>0</v>
      </c>
      <c r="AD14" s="313"/>
      <c r="AE14" s="308">
        <f t="shared" ca="1" si="64"/>
        <v>0</v>
      </c>
      <c r="AF14" s="280" t="str">
        <f t="shared" si="65"/>
        <v/>
      </c>
      <c r="AG14" s="280" t="str">
        <f t="shared" si="66"/>
        <v/>
      </c>
      <c r="AH14" s="288">
        <f>IFERROR(VLOOKUP($AG14,HomeBroker!$A$30:$F$60,2,0),0)</f>
        <v>0</v>
      </c>
      <c r="AI14" s="310">
        <f>IFERROR(VLOOKUP($AG14,HomeBroker!$A$30:$F$60,3,0),0)</f>
        <v>0</v>
      </c>
      <c r="AJ14" s="364">
        <f>IFERROR(VLOOKUP($AG14,HomeBroker!$A$30:$F$60,6,0),0)</f>
        <v>0</v>
      </c>
      <c r="AK14" s="310">
        <f>IFERROR(VLOOKUP($AG14,HomeBroker!$A$30:$F$60,4,0),0)</f>
        <v>0</v>
      </c>
      <c r="AL14" s="288">
        <f>IFERROR(VLOOKUP($AG14,HomeBroker!$A$30:$F$60,5,0),0)</f>
        <v>0</v>
      </c>
      <c r="AM14" s="312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3693.16211264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3693.16211264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04" t="s">
        <v>400</v>
      </c>
      <c r="B15" s="200"/>
      <c r="C15" s="197"/>
      <c r="D15" s="316"/>
      <c r="E15" s="317">
        <f t="shared" si="0"/>
        <v>0</v>
      </c>
      <c r="F15" s="318">
        <f t="shared" si="1"/>
        <v>0</v>
      </c>
      <c r="G15" s="199" t="str">
        <f t="shared" si="2"/>
        <v/>
      </c>
      <c r="H15" s="322">
        <f t="shared" si="58"/>
        <v>0</v>
      </c>
      <c r="I15" s="432">
        <f t="shared" si="3"/>
        <v>0</v>
      </c>
      <c r="J15" s="59"/>
      <c r="K15" s="293">
        <f t="shared" ref="K15:K17" si="68">IFERROR(-1+(L15/$L$18),"")</f>
        <v>-5.8807999999999971E-2</v>
      </c>
      <c r="L15" s="369">
        <f t="shared" si="4"/>
        <v>3768.532768</v>
      </c>
      <c r="M15" s="342">
        <f t="shared" si="5"/>
        <v>-84213.440000000002</v>
      </c>
      <c r="N15" s="342">
        <f t="shared" ca="1" si="6"/>
        <v>-84213.440000000002</v>
      </c>
      <c r="O15" s="59"/>
      <c r="P15" s="195" t="str">
        <f t="shared" si="59"/>
        <v/>
      </c>
      <c r="Q15" s="314">
        <f t="shared" si="7"/>
        <v>0</v>
      </c>
      <c r="R15" s="313"/>
      <c r="S15" s="307">
        <f t="shared" ca="1" si="60"/>
        <v>0</v>
      </c>
      <c r="T15" s="280" t="str">
        <f t="shared" si="61"/>
        <v/>
      </c>
      <c r="U15" s="280" t="str">
        <f t="shared" si="62"/>
        <v/>
      </c>
      <c r="V15" s="278">
        <f>IFERROR(VLOOKUP($U15,HomeBroker!$A$30:$F$60,2,0),0)</f>
        <v>0</v>
      </c>
      <c r="W15" s="310">
        <f>IFERROR(VLOOKUP($U15,HomeBroker!$A$30:$F$60,3,0),0)</f>
        <v>0</v>
      </c>
      <c r="X15" s="364">
        <f>IFERROR(VLOOKUP($U15,HomeBroker!$A$30:$F$60,6,0),0)</f>
        <v>0</v>
      </c>
      <c r="Y15" s="309">
        <f>IFERROR(VLOOKUP($U15,HomeBroker!$A$30:$F$60,4,0),0)</f>
        <v>0</v>
      </c>
      <c r="Z15" s="278">
        <f>IFERROR(VLOOKUP($U15,HomeBroker!$A$30:$F$60,5,0),0)</f>
        <v>0</v>
      </c>
      <c r="AA15" s="281">
        <f>IFERROR(VLOOKUP($U15,HomeBroker!$A$30:$N$60,13,0),0)</f>
        <v>0</v>
      </c>
      <c r="AB15" s="196" t="str">
        <f t="shared" si="63"/>
        <v/>
      </c>
      <c r="AC15" s="315">
        <f t="shared" si="9"/>
        <v>0</v>
      </c>
      <c r="AD15" s="313"/>
      <c r="AE15" s="308">
        <f t="shared" ca="1" si="64"/>
        <v>0</v>
      </c>
      <c r="AF15" s="280" t="str">
        <f t="shared" si="65"/>
        <v/>
      </c>
      <c r="AG15" s="280" t="str">
        <f t="shared" si="66"/>
        <v/>
      </c>
      <c r="AH15" s="288">
        <f>IFERROR(VLOOKUP($AG15,HomeBroker!$A$30:$F$60,2,0),0)</f>
        <v>0</v>
      </c>
      <c r="AI15" s="310">
        <f>IFERROR(VLOOKUP($AG15,HomeBroker!$A$30:$F$60,3,0),0)</f>
        <v>0</v>
      </c>
      <c r="AJ15" s="364">
        <f>IFERROR(VLOOKUP($AG15,HomeBroker!$A$30:$F$60,6,0),0)</f>
        <v>0</v>
      </c>
      <c r="AK15" s="310">
        <f>IFERROR(VLOOKUP($AG15,HomeBroker!$A$30:$F$60,4,0),0)</f>
        <v>0</v>
      </c>
      <c r="AL15" s="288">
        <f>IFERROR(VLOOKUP($AG15,HomeBroker!$A$30:$F$60,5,0),0)</f>
        <v>0</v>
      </c>
      <c r="AM15" s="312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3768.532768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3768.532768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04" t="s">
        <v>400</v>
      </c>
      <c r="B16" s="200"/>
      <c r="C16" s="197"/>
      <c r="D16" s="316"/>
      <c r="E16" s="317">
        <f>+B16*D16*-100</f>
        <v>0</v>
      </c>
      <c r="F16" s="318">
        <f t="shared" si="1"/>
        <v>0</v>
      </c>
      <c r="G16" s="199" t="str">
        <f t="shared" si="2"/>
        <v/>
      </c>
      <c r="H16" s="322">
        <f>IFERROR(+G16*B16*-100,0)</f>
        <v>0</v>
      </c>
      <c r="I16" s="432">
        <f t="shared" si="3"/>
        <v>0</v>
      </c>
      <c r="J16" s="59"/>
      <c r="K16" s="293">
        <f t="shared" si="68"/>
        <v>-3.9599999999999969E-2</v>
      </c>
      <c r="L16" s="369">
        <f t="shared" si="4"/>
        <v>3845.4416000000001</v>
      </c>
      <c r="M16" s="341">
        <f t="shared" si="5"/>
        <v>-84213.440000000002</v>
      </c>
      <c r="N16" s="341">
        <f t="shared" ca="1" si="6"/>
        <v>-84213.440000000002</v>
      </c>
      <c r="O16" s="59"/>
      <c r="P16" s="195" t="str">
        <f t="shared" si="59"/>
        <v/>
      </c>
      <c r="Q16" s="314">
        <f t="shared" si="7"/>
        <v>0</v>
      </c>
      <c r="R16" s="313"/>
      <c r="S16" s="307">
        <f t="shared" ca="1" si="60"/>
        <v>0</v>
      </c>
      <c r="T16" s="280" t="str">
        <f t="shared" si="61"/>
        <v/>
      </c>
      <c r="U16" s="280" t="str">
        <f t="shared" si="62"/>
        <v/>
      </c>
      <c r="V16" s="278">
        <f>IFERROR(VLOOKUP($U16,HomeBroker!$A$30:$F$60,2,0),0)</f>
        <v>0</v>
      </c>
      <c r="W16" s="310">
        <f>IFERROR(VLOOKUP($U16,HomeBroker!$A$30:$F$60,3,0),0)</f>
        <v>0</v>
      </c>
      <c r="X16" s="364">
        <f>IFERROR(VLOOKUP($U16,HomeBroker!$A$30:$F$60,6,0),0)</f>
        <v>0</v>
      </c>
      <c r="Y16" s="309">
        <f>IFERROR(VLOOKUP($U16,HomeBroker!$A$30:$F$60,4,0),0)</f>
        <v>0</v>
      </c>
      <c r="Z16" s="278">
        <f>IFERROR(VLOOKUP($U16,HomeBroker!$A$30:$F$60,5,0),0)</f>
        <v>0</v>
      </c>
      <c r="AA16" s="281">
        <f>IFERROR(VLOOKUP($U16,HomeBroker!$A$30:$N$60,13,0),0)</f>
        <v>0</v>
      </c>
      <c r="AB16" s="196" t="str">
        <f t="shared" si="63"/>
        <v/>
      </c>
      <c r="AC16" s="315">
        <f t="shared" si="9"/>
        <v>0</v>
      </c>
      <c r="AD16" s="313"/>
      <c r="AE16" s="308">
        <f t="shared" ca="1" si="64"/>
        <v>0</v>
      </c>
      <c r="AF16" s="280" t="str">
        <f t="shared" si="65"/>
        <v/>
      </c>
      <c r="AG16" s="280" t="str">
        <f t="shared" si="66"/>
        <v/>
      </c>
      <c r="AH16" s="288">
        <f>IFERROR(VLOOKUP($AG16,HomeBroker!$A$30:$F$60,2,0),0)</f>
        <v>0</v>
      </c>
      <c r="AI16" s="310">
        <f>IFERROR(VLOOKUP($AG16,HomeBroker!$A$30:$F$60,3,0),0)</f>
        <v>0</v>
      </c>
      <c r="AJ16" s="364">
        <f>IFERROR(VLOOKUP($AG16,HomeBroker!$A$30:$F$60,6,0),0)</f>
        <v>0</v>
      </c>
      <c r="AK16" s="310">
        <f>IFERROR(VLOOKUP($AG16,HomeBroker!$A$30:$F$60,4,0),0)</f>
        <v>0</v>
      </c>
      <c r="AL16" s="288">
        <f>IFERROR(VLOOKUP($AG16,HomeBroker!$A$30:$F$60,5,0),0)</f>
        <v>0</v>
      </c>
      <c r="AM16" s="312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3845.4416000000001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3845.4416000000001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04" t="s">
        <v>400</v>
      </c>
      <c r="B17" s="201"/>
      <c r="C17" s="197"/>
      <c r="D17" s="316"/>
      <c r="E17" s="317">
        <f>+B17*D17*-100</f>
        <v>0</v>
      </c>
      <c r="F17" s="318">
        <f t="shared" si="1"/>
        <v>0</v>
      </c>
      <c r="G17" s="199" t="str">
        <f t="shared" si="2"/>
        <v/>
      </c>
      <c r="H17" s="322">
        <f>IFERROR(+G17*B17*-100,0)</f>
        <v>0</v>
      </c>
      <c r="I17" s="432">
        <f t="shared" si="3"/>
        <v>0</v>
      </c>
      <c r="J17" s="59"/>
      <c r="K17" s="293">
        <f t="shared" si="68"/>
        <v>-2.0000000000000018E-2</v>
      </c>
      <c r="L17" s="369">
        <f t="shared" si="4"/>
        <v>3923.92</v>
      </c>
      <c r="M17" s="341">
        <f t="shared" si="5"/>
        <v>-84213.440000000002</v>
      </c>
      <c r="N17" s="341">
        <f t="shared" ca="1" si="6"/>
        <v>-84213.440000000002</v>
      </c>
      <c r="O17" s="59"/>
      <c r="P17" s="195" t="str">
        <f t="shared" si="59"/>
        <v/>
      </c>
      <c r="Q17" s="314">
        <f t="shared" si="7"/>
        <v>0</v>
      </c>
      <c r="R17" s="313"/>
      <c r="S17" s="307">
        <f t="shared" ca="1" si="60"/>
        <v>0</v>
      </c>
      <c r="T17" s="280" t="str">
        <f t="shared" si="61"/>
        <v/>
      </c>
      <c r="U17" s="280" t="str">
        <f t="shared" si="62"/>
        <v/>
      </c>
      <c r="V17" s="278">
        <f>IFERROR(VLOOKUP($U17,HomeBroker!$A$30:$F$60,2,0),0)</f>
        <v>0</v>
      </c>
      <c r="W17" s="310">
        <f>IFERROR(VLOOKUP($U17,HomeBroker!$A$30:$F$60,3,0),0)</f>
        <v>0</v>
      </c>
      <c r="X17" s="364">
        <f>IFERROR(VLOOKUP($U17,HomeBroker!$A$30:$F$60,6,0),0)</f>
        <v>0</v>
      </c>
      <c r="Y17" s="309">
        <f>IFERROR(VLOOKUP($U17,HomeBroker!$A$30:$F$60,4,0),0)</f>
        <v>0</v>
      </c>
      <c r="Z17" s="278">
        <f>IFERROR(VLOOKUP($U17,HomeBroker!$A$30:$F$60,5,0),0)</f>
        <v>0</v>
      </c>
      <c r="AA17" s="281">
        <f>IFERROR(VLOOKUP($U17,HomeBroker!$A$30:$N$60,13,0),0)</f>
        <v>0</v>
      </c>
      <c r="AB17" s="196" t="str">
        <f t="shared" si="63"/>
        <v/>
      </c>
      <c r="AC17" s="315">
        <f t="shared" si="9"/>
        <v>0</v>
      </c>
      <c r="AD17" s="313"/>
      <c r="AE17" s="308">
        <f t="shared" ca="1" si="64"/>
        <v>0</v>
      </c>
      <c r="AF17" s="280" t="str">
        <f t="shared" si="65"/>
        <v/>
      </c>
      <c r="AG17" s="280" t="str">
        <f t="shared" si="66"/>
        <v/>
      </c>
      <c r="AH17" s="288">
        <f>IFERROR(VLOOKUP($AG17,HomeBroker!$A$30:$F$60,2,0),0)</f>
        <v>0</v>
      </c>
      <c r="AI17" s="310">
        <f>IFERROR(VLOOKUP($AG17,HomeBroker!$A$30:$F$60,3,0),0)</f>
        <v>0</v>
      </c>
      <c r="AJ17" s="364">
        <f>IFERROR(VLOOKUP($AG17,HomeBroker!$A$30:$F$60,6,0),0)</f>
        <v>0</v>
      </c>
      <c r="AK17" s="310">
        <f>IFERROR(VLOOKUP($AG17,HomeBroker!$A$30:$F$60,4,0),0)</f>
        <v>0</v>
      </c>
      <c r="AL17" s="288">
        <f>IFERROR(VLOOKUP($AG17,HomeBroker!$A$30:$F$60,5,0),0)</f>
        <v>0</v>
      </c>
      <c r="AM17" s="312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3923.92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3923.92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04" t="s">
        <v>400</v>
      </c>
      <c r="B18" s="200"/>
      <c r="C18" s="197"/>
      <c r="D18" s="316"/>
      <c r="E18" s="317">
        <f>+B18*D18*-100</f>
        <v>0</v>
      </c>
      <c r="F18" s="318">
        <f t="shared" si="1"/>
        <v>0</v>
      </c>
      <c r="G18" s="199" t="str">
        <f t="shared" si="2"/>
        <v/>
      </c>
      <c r="H18" s="322">
        <f>IFERROR(+G18*B18*-100,0)</f>
        <v>0</v>
      </c>
      <c r="I18" s="432">
        <f t="shared" si="3"/>
        <v>0</v>
      </c>
      <c r="J18" s="59"/>
      <c r="K18" s="128">
        <v>0</v>
      </c>
      <c r="L18" s="365">
        <f>IF($N$45&lt;&gt;"",$N$45,$B$76)</f>
        <v>4004</v>
      </c>
      <c r="M18" s="342">
        <f t="shared" si="5"/>
        <v>-84213.440000000002</v>
      </c>
      <c r="N18" s="342">
        <f t="shared" ca="1" si="6"/>
        <v>-84213.440000000002</v>
      </c>
      <c r="O18" s="59"/>
      <c r="P18" s="195" t="str">
        <f t="shared" si="59"/>
        <v/>
      </c>
      <c r="Q18" s="287">
        <f t="shared" ref="Q18:Q42" si="69">SUMIFS(AU:AU,AV:AV,R18)</f>
        <v>0</v>
      </c>
      <c r="R18" s="313"/>
      <c r="S18" s="307">
        <f t="shared" ca="1" si="60"/>
        <v>0</v>
      </c>
      <c r="T18" s="280" t="str">
        <f t="shared" si="61"/>
        <v/>
      </c>
      <c r="U18" s="280" t="str">
        <f t="shared" si="62"/>
        <v/>
      </c>
      <c r="V18" s="278">
        <f>IFERROR(VLOOKUP($U18,HomeBroker!$A$30:$F$60,2,0),0)</f>
        <v>0</v>
      </c>
      <c r="W18" s="310">
        <f>IFERROR(VLOOKUP($U18,HomeBroker!$A$30:$F$60,3,0),0)</f>
        <v>0</v>
      </c>
      <c r="X18" s="364">
        <f>IFERROR(VLOOKUP($U18,HomeBroker!$A$30:$F$60,6,0),0)</f>
        <v>0</v>
      </c>
      <c r="Y18" s="309">
        <f>IFERROR(VLOOKUP($U18,HomeBroker!$A$30:$F$60,4,0),0)</f>
        <v>0</v>
      </c>
      <c r="Z18" s="278">
        <f>IFERROR(VLOOKUP($U18,HomeBroker!$A$30:$F$60,5,0),0)</f>
        <v>0</v>
      </c>
      <c r="AA18" s="281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3"/>
      <c r="AE18" s="279">
        <f t="shared" ca="1" si="64"/>
        <v>0</v>
      </c>
      <c r="AF18" s="280" t="str">
        <f t="shared" si="65"/>
        <v/>
      </c>
      <c r="AG18" s="280" t="str">
        <f t="shared" si="66"/>
        <v/>
      </c>
      <c r="AH18" s="288">
        <f>IFERROR(VLOOKUP($AG18,HomeBroker!$A$30:$F$60,2,0),0)</f>
        <v>0</v>
      </c>
      <c r="AI18" s="310">
        <f>IFERROR(VLOOKUP($AG18,HomeBroker!$A$30:$F$60,3,0),0)</f>
        <v>0</v>
      </c>
      <c r="AJ18" s="364">
        <f>IFERROR(VLOOKUP($AG18,HomeBroker!$A$30:$F$60,6,0),0)</f>
        <v>0</v>
      </c>
      <c r="AK18" s="310">
        <f>IFERROR(VLOOKUP($AG18,HomeBroker!$A$30:$F$60,4,0),0)</f>
        <v>0</v>
      </c>
      <c r="AL18" s="288">
        <f>IFERROR(VLOOKUP($AG18,HomeBroker!$A$30:$F$60,5,0),0)</f>
        <v>0</v>
      </c>
      <c r="AM18" s="312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4004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4004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04" t="s">
        <v>400</v>
      </c>
      <c r="B19" s="200"/>
      <c r="C19" s="197"/>
      <c r="D19" s="316"/>
      <c r="E19" s="317">
        <f t="shared" si="0"/>
        <v>0</v>
      </c>
      <c r="F19" s="318">
        <f t="shared" si="1"/>
        <v>0</v>
      </c>
      <c r="G19" s="199" t="str">
        <f t="shared" si="2"/>
        <v/>
      </c>
      <c r="H19" s="322">
        <f t="shared" si="58"/>
        <v>0</v>
      </c>
      <c r="I19" s="432">
        <f t="shared" si="3"/>
        <v>0</v>
      </c>
      <c r="J19" s="59"/>
      <c r="K19" s="292">
        <f>IFERROR(+L19/$L$18-1,"")</f>
        <v>2.0000000000000018E-2</v>
      </c>
      <c r="L19" s="369">
        <f t="shared" ref="L19:L34" si="71">+L18*(1+$N$42)</f>
        <v>4084.08</v>
      </c>
      <c r="M19" s="341">
        <f t="shared" si="5"/>
        <v>55466.559999999998</v>
      </c>
      <c r="N19" s="341">
        <f t="shared" ca="1" si="6"/>
        <v>-84213.440000000002</v>
      </c>
      <c r="O19" s="59"/>
      <c r="P19" s="195" t="str">
        <f t="shared" si="59"/>
        <v/>
      </c>
      <c r="Q19" s="287">
        <f t="shared" si="69"/>
        <v>0</v>
      </c>
      <c r="R19" s="313"/>
      <c r="S19" s="307">
        <f t="shared" ca="1" si="60"/>
        <v>0</v>
      </c>
      <c r="T19" s="280" t="str">
        <f t="shared" si="61"/>
        <v/>
      </c>
      <c r="U19" s="280" t="str">
        <f t="shared" si="62"/>
        <v/>
      </c>
      <c r="V19" s="278">
        <f>IFERROR(VLOOKUP($U19,HomeBroker!$A$30:$F$60,2,0),0)</f>
        <v>0</v>
      </c>
      <c r="W19" s="310">
        <f>IFERROR(VLOOKUP($U19,HomeBroker!$A$30:$F$60,3,0),0)</f>
        <v>0</v>
      </c>
      <c r="X19" s="364">
        <f>IFERROR(VLOOKUP($U19,HomeBroker!$A$30:$F$60,6,0),0)</f>
        <v>0</v>
      </c>
      <c r="Y19" s="309">
        <f>IFERROR(VLOOKUP($U19,HomeBroker!$A$30:$F$60,4,0),0)</f>
        <v>0</v>
      </c>
      <c r="Z19" s="278">
        <f>IFERROR(VLOOKUP($U19,HomeBroker!$A$30:$F$60,5,0),0)</f>
        <v>0</v>
      </c>
      <c r="AA19" s="281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3"/>
      <c r="AE19" s="279">
        <f t="shared" ca="1" si="64"/>
        <v>0</v>
      </c>
      <c r="AF19" s="280" t="str">
        <f t="shared" si="65"/>
        <v/>
      </c>
      <c r="AG19" s="280" t="str">
        <f t="shared" si="66"/>
        <v/>
      </c>
      <c r="AH19" s="288">
        <f>IFERROR(VLOOKUP($AG19,HomeBroker!$A$30:$F$60,2,0),0)</f>
        <v>0</v>
      </c>
      <c r="AI19" s="310">
        <f>IFERROR(VLOOKUP($AG19,HomeBroker!$A$30:$F$60,3,0),0)</f>
        <v>0</v>
      </c>
      <c r="AJ19" s="364">
        <f>IFERROR(VLOOKUP($AG19,HomeBroker!$A$30:$F$60,6,0),0)</f>
        <v>0</v>
      </c>
      <c r="AK19" s="310">
        <f>IFERROR(VLOOKUP($AG19,HomeBroker!$A$30:$F$60,4,0),0)</f>
        <v>0</v>
      </c>
      <c r="AL19" s="288">
        <f>IFERROR(VLOOKUP($AG19,HomeBroker!$A$30:$F$60,5,0),0)</f>
        <v>0</v>
      </c>
      <c r="AM19" s="312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4084.08</v>
      </c>
      <c r="DF19" s="115">
        <f t="shared" si="18"/>
        <v>69839.999999999243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69839.999999999243</v>
      </c>
      <c r="EQ19" s="116"/>
      <c r="ER19" s="123"/>
      <c r="ES19" s="119"/>
      <c r="ET19" s="120">
        <f t="shared" si="54"/>
        <v>55466.559999999998</v>
      </c>
      <c r="EU19" s="69"/>
      <c r="EV19" s="114">
        <f t="shared" si="55"/>
        <v>4084.08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04" t="s">
        <v>400</v>
      </c>
      <c r="B20" s="200"/>
      <c r="C20" s="197"/>
      <c r="D20" s="316"/>
      <c r="E20" s="317">
        <f t="shared" si="0"/>
        <v>0</v>
      </c>
      <c r="F20" s="318">
        <f t="shared" si="1"/>
        <v>0</v>
      </c>
      <c r="G20" s="199" t="str">
        <f t="shared" si="2"/>
        <v/>
      </c>
      <c r="H20" s="322">
        <f t="shared" si="58"/>
        <v>0</v>
      </c>
      <c r="I20" s="432">
        <f t="shared" si="3"/>
        <v>0</v>
      </c>
      <c r="J20" s="59"/>
      <c r="K20" s="293">
        <f t="shared" ref="K20:K23" si="72">IFERROR(+L20/$L$18-1,"")</f>
        <v>4.0399999999999991E-2</v>
      </c>
      <c r="L20" s="369">
        <f t="shared" si="71"/>
        <v>4165.7615999999998</v>
      </c>
      <c r="M20" s="341">
        <f t="shared" si="5"/>
        <v>545556.16</v>
      </c>
      <c r="N20" s="341">
        <f t="shared" ca="1" si="6"/>
        <v>-84213.440000000002</v>
      </c>
      <c r="O20" s="59"/>
      <c r="P20" s="195" t="str">
        <f t="shared" si="59"/>
        <v/>
      </c>
      <c r="Q20" s="287">
        <f t="shared" si="69"/>
        <v>0</v>
      </c>
      <c r="R20" s="313"/>
      <c r="S20" s="307">
        <f t="shared" ca="1" si="60"/>
        <v>0</v>
      </c>
      <c r="T20" s="280" t="str">
        <f t="shared" si="61"/>
        <v/>
      </c>
      <c r="U20" s="280" t="str">
        <f t="shared" si="62"/>
        <v/>
      </c>
      <c r="V20" s="278">
        <f>IFERROR(VLOOKUP($U20,HomeBroker!$A$30:$F$60,2,0),0)</f>
        <v>0</v>
      </c>
      <c r="W20" s="310">
        <f>IFERROR(VLOOKUP($U20,HomeBroker!$A$30:$F$60,3,0),0)</f>
        <v>0</v>
      </c>
      <c r="X20" s="364">
        <f>IFERROR(VLOOKUP($U20,HomeBroker!$A$30:$F$60,6,0),0)</f>
        <v>0</v>
      </c>
      <c r="Y20" s="309">
        <f>IFERROR(VLOOKUP($U20,HomeBroker!$A$30:$F$60,4,0),0)</f>
        <v>0</v>
      </c>
      <c r="Z20" s="278">
        <f>IFERROR(VLOOKUP($U20,HomeBroker!$A$30:$F$60,5,0),0)</f>
        <v>0</v>
      </c>
      <c r="AA20" s="281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3"/>
      <c r="AE20" s="279">
        <f t="shared" ca="1" si="64"/>
        <v>0</v>
      </c>
      <c r="AF20" s="280" t="str">
        <f t="shared" si="65"/>
        <v/>
      </c>
      <c r="AG20" s="280" t="str">
        <f t="shared" si="66"/>
        <v/>
      </c>
      <c r="AH20" s="288">
        <f>IFERROR(VLOOKUP($AG20,HomeBroker!$A$30:$F$60,2,0),0)</f>
        <v>0</v>
      </c>
      <c r="AI20" s="310">
        <f>IFERROR(VLOOKUP($AG20,HomeBroker!$A$30:$F$60,3,0),0)</f>
        <v>0</v>
      </c>
      <c r="AJ20" s="364">
        <f>IFERROR(VLOOKUP($AG20,HomeBroker!$A$30:$F$60,6,0),0)</f>
        <v>0</v>
      </c>
      <c r="AK20" s="310">
        <f>IFERROR(VLOOKUP($AG20,HomeBroker!$A$30:$F$60,4,0),0)</f>
        <v>0</v>
      </c>
      <c r="AL20" s="288">
        <f>IFERROR(VLOOKUP($AG20,HomeBroker!$A$30:$F$60,5,0),0)</f>
        <v>0</v>
      </c>
      <c r="AM20" s="312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4165.7615999999998</v>
      </c>
      <c r="DF20" s="115">
        <f t="shared" si="18"/>
        <v>314884.79999999888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314884.79999999888</v>
      </c>
      <c r="EQ20" s="116"/>
      <c r="ER20" s="123"/>
      <c r="ES20" s="119"/>
      <c r="ET20" s="120">
        <f t="shared" si="54"/>
        <v>545556.16</v>
      </c>
      <c r="EU20" s="69"/>
      <c r="EV20" s="114">
        <f t="shared" si="55"/>
        <v>4165.7615999999998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04" t="s">
        <v>400</v>
      </c>
      <c r="B21" s="200"/>
      <c r="C21" s="197"/>
      <c r="D21" s="316"/>
      <c r="E21" s="317">
        <f t="shared" si="0"/>
        <v>0</v>
      </c>
      <c r="F21" s="318">
        <f t="shared" si="1"/>
        <v>0</v>
      </c>
      <c r="G21" s="199" t="str">
        <f t="shared" si="2"/>
        <v/>
      </c>
      <c r="H21" s="322">
        <f t="shared" si="58"/>
        <v>0</v>
      </c>
      <c r="I21" s="432">
        <f t="shared" si="3"/>
        <v>0</v>
      </c>
      <c r="J21" s="59"/>
      <c r="K21" s="293">
        <f t="shared" si="72"/>
        <v>6.1207999999999929E-2</v>
      </c>
      <c r="L21" s="369">
        <f t="shared" si="71"/>
        <v>4249.0768319999997</v>
      </c>
      <c r="M21" s="342">
        <f t="shared" si="5"/>
        <v>1045447.55</v>
      </c>
      <c r="N21" s="342">
        <f t="shared" ca="1" si="6"/>
        <v>-84213.440000000002</v>
      </c>
      <c r="O21" s="59"/>
      <c r="P21" s="195" t="str">
        <f t="shared" si="59"/>
        <v/>
      </c>
      <c r="Q21" s="287">
        <f t="shared" si="69"/>
        <v>0</v>
      </c>
      <c r="R21" s="313"/>
      <c r="S21" s="307">
        <f t="shared" ca="1" si="60"/>
        <v>0</v>
      </c>
      <c r="T21" s="280" t="str">
        <f t="shared" si="61"/>
        <v/>
      </c>
      <c r="U21" s="280" t="str">
        <f t="shared" si="62"/>
        <v/>
      </c>
      <c r="V21" s="278">
        <f>IFERROR(VLOOKUP($U21,HomeBroker!$A$30:$F$60,2,0),0)</f>
        <v>0</v>
      </c>
      <c r="W21" s="310">
        <f>IFERROR(VLOOKUP($U21,HomeBroker!$A$30:$F$60,3,0),0)</f>
        <v>0</v>
      </c>
      <c r="X21" s="364">
        <f>IFERROR(VLOOKUP($U21,HomeBroker!$A$30:$F$60,6,0),0)</f>
        <v>0</v>
      </c>
      <c r="Y21" s="309">
        <f>IFERROR(VLOOKUP($U21,HomeBroker!$A$30:$F$60,4,0),0)</f>
        <v>0</v>
      </c>
      <c r="Z21" s="278">
        <f>IFERROR(VLOOKUP($U21,HomeBroker!$A$30:$F$60,5,0),0)</f>
        <v>0</v>
      </c>
      <c r="AA21" s="281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3"/>
      <c r="AE21" s="279">
        <f t="shared" ca="1" si="64"/>
        <v>0</v>
      </c>
      <c r="AF21" s="280" t="str">
        <f t="shared" si="65"/>
        <v/>
      </c>
      <c r="AG21" s="280" t="str">
        <f t="shared" si="66"/>
        <v/>
      </c>
      <c r="AH21" s="288">
        <f>IFERROR(VLOOKUP($AG21,HomeBroker!$A$30:$F$60,2,0),0)</f>
        <v>0</v>
      </c>
      <c r="AI21" s="310">
        <f>IFERROR(VLOOKUP($AG21,HomeBroker!$A$30:$F$60,3,0),0)</f>
        <v>0</v>
      </c>
      <c r="AJ21" s="364">
        <f>IFERROR(VLOOKUP($AG21,HomeBroker!$A$30:$F$60,6,0),0)</f>
        <v>0</v>
      </c>
      <c r="AK21" s="310">
        <f>IFERROR(VLOOKUP($AG21,HomeBroker!$A$30:$F$60,4,0),0)</f>
        <v>0</v>
      </c>
      <c r="AL21" s="288">
        <f>IFERROR(VLOOKUP($AG21,HomeBroker!$A$30:$F$60,5,0),0)</f>
        <v>0</v>
      </c>
      <c r="AM21" s="312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4249.0768319999997</v>
      </c>
      <c r="DF21" s="115">
        <f t="shared" si="18"/>
        <v>564830.49599999865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564830.49599999865</v>
      </c>
      <c r="EQ21" s="116"/>
      <c r="ER21" s="123"/>
      <c r="ES21" s="119"/>
      <c r="ET21" s="120">
        <f t="shared" si="54"/>
        <v>1045447.55</v>
      </c>
      <c r="EU21" s="69"/>
      <c r="EV21" s="114">
        <f t="shared" si="55"/>
        <v>4249.0768319999997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04" t="s">
        <v>400</v>
      </c>
      <c r="B22" s="200"/>
      <c r="C22" s="197"/>
      <c r="D22" s="316"/>
      <c r="E22" s="317">
        <f t="shared" si="0"/>
        <v>0</v>
      </c>
      <c r="F22" s="318">
        <f t="shared" si="1"/>
        <v>0</v>
      </c>
      <c r="G22" s="199" t="str">
        <f t="shared" si="2"/>
        <v/>
      </c>
      <c r="H22" s="322">
        <f t="shared" si="58"/>
        <v>0</v>
      </c>
      <c r="I22" s="432">
        <f t="shared" si="3"/>
        <v>0</v>
      </c>
      <c r="J22" s="59"/>
      <c r="K22" s="293">
        <f t="shared" si="72"/>
        <v>8.2432159999999977E-2</v>
      </c>
      <c r="L22" s="369">
        <f t="shared" si="71"/>
        <v>4334.0583686399996</v>
      </c>
      <c r="M22" s="341">
        <f t="shared" si="5"/>
        <v>1555336.77</v>
      </c>
      <c r="N22" s="341">
        <f t="shared" ca="1" si="6"/>
        <v>-84213.440000000002</v>
      </c>
      <c r="O22" s="59"/>
      <c r="P22" s="195" t="str">
        <f t="shared" si="59"/>
        <v/>
      </c>
      <c r="Q22" s="287">
        <f t="shared" si="69"/>
        <v>0</v>
      </c>
      <c r="R22" s="313"/>
      <c r="S22" s="307">
        <f t="shared" ca="1" si="60"/>
        <v>0</v>
      </c>
      <c r="T22" s="280" t="str">
        <f t="shared" si="61"/>
        <v/>
      </c>
      <c r="U22" s="280" t="str">
        <f t="shared" si="62"/>
        <v/>
      </c>
      <c r="V22" s="278">
        <f>IFERROR(VLOOKUP($U22,HomeBroker!$A$30:$F$60,2,0),0)</f>
        <v>0</v>
      </c>
      <c r="W22" s="310">
        <f>IFERROR(VLOOKUP($U22,HomeBroker!$A$30:$F$60,3,0),0)</f>
        <v>0</v>
      </c>
      <c r="X22" s="364">
        <f>IFERROR(VLOOKUP($U22,HomeBroker!$A$30:$F$60,6,0),0)</f>
        <v>0</v>
      </c>
      <c r="Y22" s="309">
        <f>IFERROR(VLOOKUP($U22,HomeBroker!$A$30:$F$60,4,0),0)</f>
        <v>0</v>
      </c>
      <c r="Z22" s="278">
        <f>IFERROR(VLOOKUP($U22,HomeBroker!$A$30:$F$60,5,0),0)</f>
        <v>0</v>
      </c>
      <c r="AA22" s="281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3"/>
      <c r="AE22" s="279">
        <f t="shared" ca="1" si="64"/>
        <v>0</v>
      </c>
      <c r="AF22" s="280" t="str">
        <f t="shared" si="65"/>
        <v/>
      </c>
      <c r="AG22" s="280" t="str">
        <f t="shared" si="66"/>
        <v/>
      </c>
      <c r="AH22" s="288">
        <f>IFERROR(VLOOKUP($AG22,HomeBroker!$A$30:$F$60,2,0),0)</f>
        <v>0</v>
      </c>
      <c r="AI22" s="310">
        <f>IFERROR(VLOOKUP($AG22,HomeBroker!$A$30:$F$60,3,0),0)</f>
        <v>0</v>
      </c>
      <c r="AJ22" s="364">
        <f>IFERROR(VLOOKUP($AG22,HomeBroker!$A$30:$F$60,6,0),0)</f>
        <v>0</v>
      </c>
      <c r="AK22" s="310">
        <f>IFERROR(VLOOKUP($AG22,HomeBroker!$A$30:$F$60,4,0),0)</f>
        <v>0</v>
      </c>
      <c r="AL22" s="288">
        <f>IFERROR(VLOOKUP($AG22,HomeBroker!$A$30:$F$60,5,0),0)</f>
        <v>0</v>
      </c>
      <c r="AM22" s="312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4334.0583686399996</v>
      </c>
      <c r="DF22" s="115">
        <f t="shared" si="18"/>
        <v>819775.10591999814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819775.10591999814</v>
      </c>
      <c r="EQ22" s="116"/>
      <c r="ER22" s="123"/>
      <c r="ES22" s="119"/>
      <c r="ET22" s="120">
        <f t="shared" si="54"/>
        <v>1555336.77</v>
      </c>
      <c r="EU22" s="69"/>
      <c r="EV22" s="114">
        <f t="shared" si="55"/>
        <v>4334.0583686399996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04" t="s">
        <v>400</v>
      </c>
      <c r="B23" s="200"/>
      <c r="C23" s="197"/>
      <c r="D23" s="316"/>
      <c r="E23" s="317">
        <f t="shared" si="0"/>
        <v>0</v>
      </c>
      <c r="F23" s="318">
        <f t="shared" si="1"/>
        <v>0</v>
      </c>
      <c r="G23" s="199" t="str">
        <f t="shared" si="2"/>
        <v/>
      </c>
      <c r="H23" s="322">
        <f t="shared" si="58"/>
        <v>0</v>
      </c>
      <c r="I23" s="432">
        <f t="shared" si="3"/>
        <v>0</v>
      </c>
      <c r="J23" s="59"/>
      <c r="K23" s="293">
        <f t="shared" si="72"/>
        <v>0.10408080319999979</v>
      </c>
      <c r="L23" s="369">
        <f t="shared" si="71"/>
        <v>4420.7395360127994</v>
      </c>
      <c r="M23" s="341">
        <f t="shared" si="5"/>
        <v>2075423.77</v>
      </c>
      <c r="N23" s="341">
        <f t="shared" ca="1" si="6"/>
        <v>-84213.440000000002</v>
      </c>
      <c r="O23" s="59"/>
      <c r="P23" s="195" t="str">
        <f t="shared" si="59"/>
        <v/>
      </c>
      <c r="Q23" s="287">
        <f t="shared" si="69"/>
        <v>0</v>
      </c>
      <c r="R23" s="191"/>
      <c r="S23" s="307">
        <f t="shared" ca="1" si="60"/>
        <v>0</v>
      </c>
      <c r="T23" s="280" t="str">
        <f t="shared" si="61"/>
        <v/>
      </c>
      <c r="U23" s="280" t="str">
        <f t="shared" si="62"/>
        <v/>
      </c>
      <c r="V23" s="278">
        <f>IFERROR(VLOOKUP($U23,HomeBroker!$A$30:$F$60,2,0),0)</f>
        <v>0</v>
      </c>
      <c r="W23" s="310">
        <f>IFERROR(VLOOKUP($U23,HomeBroker!$A$30:$F$60,3,0),0)</f>
        <v>0</v>
      </c>
      <c r="X23" s="364">
        <f>IFERROR(VLOOKUP($U23,HomeBroker!$A$30:$F$60,6,0),0)</f>
        <v>0</v>
      </c>
      <c r="Y23" s="309">
        <f>IFERROR(VLOOKUP($U23,HomeBroker!$A$30:$F$60,4,0),0)</f>
        <v>0</v>
      </c>
      <c r="Z23" s="278">
        <f>IFERROR(VLOOKUP($U23,HomeBroker!$A$30:$F$60,5,0),0)</f>
        <v>0</v>
      </c>
      <c r="AA23" s="281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9">
        <f t="shared" ca="1" si="64"/>
        <v>0</v>
      </c>
      <c r="AF23" s="280" t="str">
        <f t="shared" si="65"/>
        <v/>
      </c>
      <c r="AG23" s="280" t="str">
        <f t="shared" si="66"/>
        <v/>
      </c>
      <c r="AH23" s="288">
        <f>IFERROR(VLOOKUP($AG23,HomeBroker!$A$30:$F$60,2,0),0)</f>
        <v>0</v>
      </c>
      <c r="AI23" s="310">
        <f>IFERROR(VLOOKUP($AG23,HomeBroker!$A$30:$F$60,3,0),0)</f>
        <v>0</v>
      </c>
      <c r="AJ23" s="364">
        <f>IFERROR(VLOOKUP($AG23,HomeBroker!$A$30:$F$60,6,0),0)</f>
        <v>0</v>
      </c>
      <c r="AK23" s="310">
        <f>IFERROR(VLOOKUP($AG23,HomeBroker!$A$30:$F$60,4,0),0)</f>
        <v>0</v>
      </c>
      <c r="AL23" s="288">
        <f>IFERROR(VLOOKUP($AG23,HomeBroker!$A$30:$F$60,5,0),0)</f>
        <v>0</v>
      </c>
      <c r="AM23" s="312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4420.7395360127994</v>
      </c>
      <c r="DF23" s="115">
        <f t="shared" si="18"/>
        <v>1079818.6080383975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1079818.6080383975</v>
      </c>
      <c r="EQ23" s="116"/>
      <c r="ER23" s="123"/>
      <c r="ES23" s="119"/>
      <c r="ET23" s="120">
        <f t="shared" si="54"/>
        <v>2075423.77</v>
      </c>
      <c r="EU23" s="69"/>
      <c r="EV23" s="114">
        <f t="shared" si="55"/>
        <v>4420.7395360127994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04" t="s">
        <v>400</v>
      </c>
      <c r="B24" s="200"/>
      <c r="C24" s="197"/>
      <c r="D24" s="316"/>
      <c r="E24" s="317">
        <f t="shared" si="0"/>
        <v>0</v>
      </c>
      <c r="F24" s="318">
        <f t="shared" si="1"/>
        <v>0</v>
      </c>
      <c r="G24" s="199" t="str">
        <f t="shared" si="2"/>
        <v/>
      </c>
      <c r="H24" s="322">
        <f t="shared" si="58"/>
        <v>0</v>
      </c>
      <c r="I24" s="432">
        <f t="shared" si="3"/>
        <v>0</v>
      </c>
      <c r="J24" s="59"/>
      <c r="K24" s="290">
        <f>IFERROR(+L24/$L$18-1,"")</f>
        <v>0.12616241926399985</v>
      </c>
      <c r="L24" s="368">
        <f t="shared" si="71"/>
        <v>4509.1543267330553</v>
      </c>
      <c r="M24" s="342">
        <f t="shared" si="5"/>
        <v>2605912.52</v>
      </c>
      <c r="N24" s="342">
        <f t="shared" ca="1" si="6"/>
        <v>-84213.440000000002</v>
      </c>
      <c r="O24" s="59"/>
      <c r="P24" s="195" t="str">
        <f t="shared" si="59"/>
        <v/>
      </c>
      <c r="Q24" s="287">
        <f t="shared" si="69"/>
        <v>0</v>
      </c>
      <c r="R24" s="191"/>
      <c r="S24" s="307">
        <f t="shared" ca="1" si="60"/>
        <v>0</v>
      </c>
      <c r="T24" s="280" t="str">
        <f t="shared" si="61"/>
        <v/>
      </c>
      <c r="U24" s="280" t="str">
        <f t="shared" si="62"/>
        <v/>
      </c>
      <c r="V24" s="278">
        <f>IFERROR(VLOOKUP($U24,HomeBroker!$A$30:$F$60,2,0),0)</f>
        <v>0</v>
      </c>
      <c r="W24" s="310">
        <f>IFERROR(VLOOKUP($U24,HomeBroker!$A$30:$F$60,3,0),0)</f>
        <v>0</v>
      </c>
      <c r="X24" s="364">
        <f>IFERROR(VLOOKUP($U24,HomeBroker!$A$30:$F$60,6,0),0)</f>
        <v>0</v>
      </c>
      <c r="Y24" s="309">
        <f>IFERROR(VLOOKUP($U24,HomeBroker!$A$30:$F$60,4,0),0)</f>
        <v>0</v>
      </c>
      <c r="Z24" s="278">
        <f>IFERROR(VLOOKUP($U24,HomeBroker!$A$30:$F$60,5,0),0)</f>
        <v>0</v>
      </c>
      <c r="AA24" s="281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9">
        <f t="shared" ca="1" si="64"/>
        <v>0</v>
      </c>
      <c r="AF24" s="280" t="str">
        <f t="shared" si="65"/>
        <v/>
      </c>
      <c r="AG24" s="280" t="str">
        <f t="shared" si="66"/>
        <v/>
      </c>
      <c r="AH24" s="288">
        <f>IFERROR(VLOOKUP($AG24,HomeBroker!$A$30:$F$60,2,0),0)</f>
        <v>0</v>
      </c>
      <c r="AI24" s="310">
        <f>IFERROR(VLOOKUP($AG24,HomeBroker!$A$30:$F$60,3,0),0)</f>
        <v>0</v>
      </c>
      <c r="AJ24" s="364">
        <f>IFERROR(VLOOKUP($AG24,HomeBroker!$A$30:$F$60,6,0),0)</f>
        <v>0</v>
      </c>
      <c r="AK24" s="310">
        <f>IFERROR(VLOOKUP($AG24,HomeBroker!$A$30:$F$60,4,0),0)</f>
        <v>0</v>
      </c>
      <c r="AL24" s="288">
        <f>IFERROR(VLOOKUP($AG24,HomeBroker!$A$30:$F$60,5,0),0)</f>
        <v>0</v>
      </c>
      <c r="AM24" s="312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4509.1543267330553</v>
      </c>
      <c r="DF24" s="115">
        <f t="shared" si="18"/>
        <v>1345062.9801991654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1345062.9801991654</v>
      </c>
      <c r="EQ24" s="116"/>
      <c r="ER24" s="123"/>
      <c r="ES24" s="119"/>
      <c r="ET24" s="120">
        <f t="shared" si="54"/>
        <v>2605912.52</v>
      </c>
      <c r="EU24" s="69"/>
      <c r="EV24" s="114">
        <f t="shared" si="55"/>
        <v>4509.1543267330553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04" t="s">
        <v>400</v>
      </c>
      <c r="B25" s="200"/>
      <c r="C25" s="197"/>
      <c r="D25" s="316"/>
      <c r="E25" s="317">
        <f t="shared" si="0"/>
        <v>0</v>
      </c>
      <c r="F25" s="318">
        <f t="shared" si="1"/>
        <v>0</v>
      </c>
      <c r="G25" s="199" t="str">
        <f t="shared" si="2"/>
        <v/>
      </c>
      <c r="H25" s="322">
        <f t="shared" si="58"/>
        <v>0</v>
      </c>
      <c r="I25" s="432">
        <f t="shared" si="3"/>
        <v>0</v>
      </c>
      <c r="J25" s="59"/>
      <c r="K25" s="291"/>
      <c r="L25" s="368">
        <f t="shared" si="71"/>
        <v>4599.3374132677163</v>
      </c>
      <c r="M25" s="341">
        <f t="shared" si="5"/>
        <v>3147011.04</v>
      </c>
      <c r="N25" s="341">
        <f t="shared" ca="1" si="6"/>
        <v>-84213.440000000002</v>
      </c>
      <c r="O25" s="59"/>
      <c r="P25" s="195" t="str">
        <f t="shared" si="59"/>
        <v/>
      </c>
      <c r="Q25" s="287">
        <f t="shared" si="69"/>
        <v>0</v>
      </c>
      <c r="R25" s="191"/>
      <c r="S25" s="307">
        <f t="shared" ca="1" si="60"/>
        <v>0</v>
      </c>
      <c r="T25" s="280" t="str">
        <f t="shared" si="61"/>
        <v/>
      </c>
      <c r="U25" s="280" t="str">
        <f t="shared" si="62"/>
        <v/>
      </c>
      <c r="V25" s="278">
        <f>IFERROR(VLOOKUP($U25,HomeBroker!$A$30:$F$60,2,0),0)</f>
        <v>0</v>
      </c>
      <c r="W25" s="310">
        <f>IFERROR(VLOOKUP($U25,HomeBroker!$A$30:$F$60,3,0),0)</f>
        <v>0</v>
      </c>
      <c r="X25" s="364">
        <f>IFERROR(VLOOKUP($U25,HomeBroker!$A$30:$F$60,6,0),0)</f>
        <v>0</v>
      </c>
      <c r="Y25" s="309">
        <f>IFERROR(VLOOKUP($U25,HomeBroker!$A$30:$F$60,4,0),0)</f>
        <v>0</v>
      </c>
      <c r="Z25" s="278">
        <f>IFERROR(VLOOKUP($U25,HomeBroker!$A$30:$F$60,5,0),0)</f>
        <v>0</v>
      </c>
      <c r="AA25" s="281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9">
        <f t="shared" ca="1" si="64"/>
        <v>0</v>
      </c>
      <c r="AF25" s="280" t="str">
        <f t="shared" si="65"/>
        <v/>
      </c>
      <c r="AG25" s="280" t="str">
        <f t="shared" si="66"/>
        <v/>
      </c>
      <c r="AH25" s="288">
        <f>IFERROR(VLOOKUP($AG25,HomeBroker!$A$30:$F$60,2,0),0)</f>
        <v>0</v>
      </c>
      <c r="AI25" s="310">
        <f>IFERROR(VLOOKUP($AG25,HomeBroker!$A$30:$F$60,3,0),0)</f>
        <v>0</v>
      </c>
      <c r="AJ25" s="364">
        <f>IFERROR(VLOOKUP($AG25,HomeBroker!$A$30:$F$60,6,0),0)</f>
        <v>0</v>
      </c>
      <c r="AK25" s="310">
        <f>IFERROR(VLOOKUP($AG25,HomeBroker!$A$30:$F$60,4,0),0)</f>
        <v>0</v>
      </c>
      <c r="AL25" s="288">
        <f>IFERROR(VLOOKUP($AG25,HomeBroker!$A$30:$F$60,5,0),0)</f>
        <v>0</v>
      </c>
      <c r="AM25" s="312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4599.3374132677163</v>
      </c>
      <c r="DF25" s="115">
        <f t="shared" si="18"/>
        <v>1615612.2398031484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1615612.2398031484</v>
      </c>
      <c r="EQ25" s="116"/>
      <c r="ER25" s="123"/>
      <c r="ES25" s="119"/>
      <c r="ET25" s="120">
        <f t="shared" si="54"/>
        <v>3147011.04</v>
      </c>
      <c r="EU25" s="69"/>
      <c r="EV25" s="114">
        <f t="shared" si="55"/>
        <v>4599.3374132677163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04" t="s">
        <v>400</v>
      </c>
      <c r="B26" s="200"/>
      <c r="C26" s="197"/>
      <c r="D26" s="316"/>
      <c r="E26" s="317">
        <f t="shared" si="0"/>
        <v>0</v>
      </c>
      <c r="F26" s="318">
        <f t="shared" si="1"/>
        <v>0</v>
      </c>
      <c r="G26" s="199" t="str">
        <f t="shared" si="2"/>
        <v/>
      </c>
      <c r="H26" s="322">
        <f t="shared" si="58"/>
        <v>0</v>
      </c>
      <c r="I26" s="432">
        <f t="shared" si="3"/>
        <v>0</v>
      </c>
      <c r="J26" s="59"/>
      <c r="K26" s="291"/>
      <c r="L26" s="368">
        <f t="shared" si="71"/>
        <v>4691.3241615330708</v>
      </c>
      <c r="M26" s="341">
        <f t="shared" si="5"/>
        <v>3698931.53</v>
      </c>
      <c r="N26" s="341">
        <f t="shared" ca="1" si="6"/>
        <v>-84213.440000000002</v>
      </c>
      <c r="O26" s="59"/>
      <c r="P26" s="195" t="str">
        <f t="shared" si="59"/>
        <v/>
      </c>
      <c r="Q26" s="287">
        <f t="shared" si="69"/>
        <v>0</v>
      </c>
      <c r="R26" s="191"/>
      <c r="S26" s="307">
        <f t="shared" ca="1" si="60"/>
        <v>0</v>
      </c>
      <c r="T26" s="280" t="str">
        <f t="shared" si="61"/>
        <v/>
      </c>
      <c r="U26" s="280" t="str">
        <f t="shared" si="62"/>
        <v/>
      </c>
      <c r="V26" s="278">
        <f>IFERROR(VLOOKUP($U26,HomeBroker!$A$30:$F$60,2,0),0)</f>
        <v>0</v>
      </c>
      <c r="W26" s="310">
        <f>IFERROR(VLOOKUP($U26,HomeBroker!$A$30:$F$60,3,0),0)</f>
        <v>0</v>
      </c>
      <c r="X26" s="364">
        <f>IFERROR(VLOOKUP($U26,HomeBroker!$A$30:$F$60,6,0),0)</f>
        <v>0</v>
      </c>
      <c r="Y26" s="309">
        <f>IFERROR(VLOOKUP($U26,HomeBroker!$A$30:$F$60,4,0),0)</f>
        <v>0</v>
      </c>
      <c r="Z26" s="278">
        <f>IFERROR(VLOOKUP($U26,HomeBroker!$A$30:$F$60,5,0),0)</f>
        <v>0</v>
      </c>
      <c r="AA26" s="281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9">
        <f t="shared" ca="1" si="64"/>
        <v>0</v>
      </c>
      <c r="AF26" s="280" t="str">
        <f t="shared" si="65"/>
        <v/>
      </c>
      <c r="AG26" s="280" t="str">
        <f t="shared" si="66"/>
        <v/>
      </c>
      <c r="AH26" s="288">
        <f>IFERROR(VLOOKUP($AG26,HomeBroker!$A$30:$F$60,2,0),0)</f>
        <v>0</v>
      </c>
      <c r="AI26" s="310">
        <f>IFERROR(VLOOKUP($AG26,HomeBroker!$A$30:$F$60,3,0),0)</f>
        <v>0</v>
      </c>
      <c r="AJ26" s="364">
        <f>IFERROR(VLOOKUP($AG26,HomeBroker!$A$30:$F$60,6,0),0)</f>
        <v>0</v>
      </c>
      <c r="AK26" s="310">
        <f>IFERROR(VLOOKUP($AG26,HomeBroker!$A$30:$F$60,4,0),0)</f>
        <v>0</v>
      </c>
      <c r="AL26" s="288">
        <f>IFERROR(VLOOKUP($AG26,HomeBroker!$A$30:$F$60,5,0),0)</f>
        <v>0</v>
      </c>
      <c r="AM26" s="312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4691.3241615330708</v>
      </c>
      <c r="DF26" s="115">
        <f t="shared" si="18"/>
        <v>1891572.4845992117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1891572.4845992117</v>
      </c>
      <c r="EQ26" s="116"/>
      <c r="ER26" s="123"/>
      <c r="ES26" s="119"/>
      <c r="ET26" s="120">
        <f t="shared" si="54"/>
        <v>3698931.53</v>
      </c>
      <c r="EU26" s="69"/>
      <c r="EV26" s="114">
        <f t="shared" si="55"/>
        <v>4691.3241615330708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04" t="s">
        <v>400</v>
      </c>
      <c r="B27" s="202"/>
      <c r="C27" s="197"/>
      <c r="D27" s="316"/>
      <c r="E27" s="317">
        <f t="shared" si="0"/>
        <v>0</v>
      </c>
      <c r="F27" s="318">
        <f t="shared" si="1"/>
        <v>0</v>
      </c>
      <c r="G27" s="199" t="str">
        <f t="shared" si="2"/>
        <v/>
      </c>
      <c r="H27" s="322">
        <f t="shared" si="58"/>
        <v>0</v>
      </c>
      <c r="I27" s="432">
        <f t="shared" si="3"/>
        <v>0</v>
      </c>
      <c r="J27" s="59"/>
      <c r="K27" s="291"/>
      <c r="L27" s="368">
        <f t="shared" si="71"/>
        <v>4785.1506447637321</v>
      </c>
      <c r="M27" s="342">
        <f t="shared" si="5"/>
        <v>4261890.42</v>
      </c>
      <c r="N27" s="342">
        <f t="shared" ca="1" si="6"/>
        <v>-84213.440000000002</v>
      </c>
      <c r="O27" s="59"/>
      <c r="P27" s="195" t="str">
        <f t="shared" si="59"/>
        <v/>
      </c>
      <c r="Q27" s="287">
        <f t="shared" si="69"/>
        <v>0</v>
      </c>
      <c r="R27" s="191"/>
      <c r="S27" s="307">
        <f t="shared" ca="1" si="60"/>
        <v>0</v>
      </c>
      <c r="T27" s="28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80" t="str">
        <f t="shared" si="62"/>
        <v/>
      </c>
      <c r="V27" s="278">
        <f>IFERROR(VLOOKUP($U27,HomeBroker!$A$30:$F$60,2,0),0)</f>
        <v>0</v>
      </c>
      <c r="W27" s="310">
        <f>IFERROR(VLOOKUP($U27,HomeBroker!$A$30:$F$60,3,0),0)</f>
        <v>0</v>
      </c>
      <c r="X27" s="364">
        <f>IFERROR(VLOOKUP($U27,HomeBroker!$A$30:$F$60,6,0),0)</f>
        <v>0</v>
      </c>
      <c r="Y27" s="309">
        <f>IFERROR(VLOOKUP($U27,HomeBroker!$A$30:$F$60,4,0),0)</f>
        <v>0</v>
      </c>
      <c r="Z27" s="278">
        <f>IFERROR(VLOOKUP($U27,HomeBroker!$A$30:$F$60,5,0),0)</f>
        <v>0</v>
      </c>
      <c r="AA27" s="281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9">
        <f t="shared" ca="1" si="64"/>
        <v>0</v>
      </c>
      <c r="AF27" s="28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8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8">
        <f>IFERROR(VLOOKUP($AG27,HomeBroker!$A$30:$F$60,2,0),0)</f>
        <v>0</v>
      </c>
      <c r="AI27" s="310">
        <f>IFERROR(VLOOKUP($AG27,HomeBroker!$A$30:$F$60,3,0),0)</f>
        <v>0</v>
      </c>
      <c r="AJ27" s="364">
        <f>IFERROR(VLOOKUP($AG27,HomeBroker!$A$30:$F$60,6,0),0)</f>
        <v>0</v>
      </c>
      <c r="AK27" s="310">
        <f>IFERROR(VLOOKUP($AG27,HomeBroker!$A$30:$F$60,4,0),0)</f>
        <v>0</v>
      </c>
      <c r="AL27" s="288">
        <f>IFERROR(VLOOKUP($AG27,HomeBroker!$A$30:$F$60,5,0),0)</f>
        <v>0</v>
      </c>
      <c r="AM27" s="312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4785.1506447637321</v>
      </c>
      <c r="DF27" s="115">
        <f t="shared" si="18"/>
        <v>2173051.9342911956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2173051.9342911956</v>
      </c>
      <c r="EQ27" s="116"/>
      <c r="ER27" s="123"/>
      <c r="ES27" s="119"/>
      <c r="ET27" s="120">
        <f t="shared" si="54"/>
        <v>4261890.42</v>
      </c>
      <c r="EU27" s="69"/>
      <c r="EV27" s="114">
        <f t="shared" si="55"/>
        <v>4785.1506447637321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04" t="s">
        <v>400</v>
      </c>
      <c r="B28" s="200"/>
      <c r="C28" s="197"/>
      <c r="D28" s="316"/>
      <c r="E28" s="317">
        <f t="shared" si="0"/>
        <v>0</v>
      </c>
      <c r="F28" s="318">
        <f t="shared" si="1"/>
        <v>0</v>
      </c>
      <c r="G28" s="199" t="str">
        <f t="shared" si="2"/>
        <v/>
      </c>
      <c r="H28" s="322">
        <f t="shared" si="58"/>
        <v>0</v>
      </c>
      <c r="I28" s="432">
        <f t="shared" si="3"/>
        <v>0</v>
      </c>
      <c r="J28" s="59"/>
      <c r="K28" s="294"/>
      <c r="L28" s="368">
        <f t="shared" si="71"/>
        <v>4880.8536576590068</v>
      </c>
      <c r="M28" s="341">
        <f t="shared" si="5"/>
        <v>4836108.5</v>
      </c>
      <c r="N28" s="341">
        <f t="shared" ca="1" si="6"/>
        <v>-84213.440000000002</v>
      </c>
      <c r="O28" s="59"/>
      <c r="P28" s="195" t="str">
        <f t="shared" si="59"/>
        <v/>
      </c>
      <c r="Q28" s="287">
        <f t="shared" si="69"/>
        <v>0</v>
      </c>
      <c r="R28" s="191"/>
      <c r="S28" s="307">
        <f t="shared" ca="1" si="60"/>
        <v>0</v>
      </c>
      <c r="T28" s="280" t="str">
        <f t="shared" si="73"/>
        <v/>
      </c>
      <c r="U28" s="280" t="str">
        <f t="shared" si="62"/>
        <v/>
      </c>
      <c r="V28" s="278">
        <f>IFERROR(VLOOKUP($U28,HomeBroker!$A$30:$F$60,2,0),0)</f>
        <v>0</v>
      </c>
      <c r="W28" s="310">
        <f>IFERROR(VLOOKUP($U28,HomeBroker!$A$30:$F$60,3,0),0)</f>
        <v>0</v>
      </c>
      <c r="X28" s="364">
        <f>IFERROR(VLOOKUP($U28,HomeBroker!$A$30:$F$60,6,0),0)</f>
        <v>0</v>
      </c>
      <c r="Y28" s="309">
        <f>IFERROR(VLOOKUP($U28,HomeBroker!$A$30:$F$60,4,0),0)</f>
        <v>0</v>
      </c>
      <c r="Z28" s="278">
        <f>IFERROR(VLOOKUP($U28,HomeBroker!$A$30:$F$60,5,0),0)</f>
        <v>0</v>
      </c>
      <c r="AA28" s="281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9">
        <f t="shared" ca="1" si="64"/>
        <v>0</v>
      </c>
      <c r="AF28" s="280" t="str">
        <f t="shared" si="74"/>
        <v/>
      </c>
      <c r="AG28" s="280" t="str">
        <f t="shared" si="75"/>
        <v/>
      </c>
      <c r="AH28" s="288">
        <f>IFERROR(VLOOKUP($AG28,HomeBroker!$A$30:$F$60,2,0),0)</f>
        <v>0</v>
      </c>
      <c r="AI28" s="310">
        <f>IFERROR(VLOOKUP($AG28,HomeBroker!$A$30:$F$60,3,0),0)</f>
        <v>0</v>
      </c>
      <c r="AJ28" s="364">
        <f>IFERROR(VLOOKUP($AG28,HomeBroker!$A$30:$F$60,6,0),0)</f>
        <v>0</v>
      </c>
      <c r="AK28" s="310">
        <f>IFERROR(VLOOKUP($AG28,HomeBroker!$A$30:$F$60,4,0),0)</f>
        <v>0</v>
      </c>
      <c r="AL28" s="288">
        <f>IFERROR(VLOOKUP($AG28,HomeBroker!$A$30:$F$60,5,0),0)</f>
        <v>0</v>
      </c>
      <c r="AM28" s="312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4880.8536576590068</v>
      </c>
      <c r="DF28" s="115">
        <f t="shared" si="18"/>
        <v>2460160.9729770198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2460160.9729770198</v>
      </c>
      <c r="EQ28" s="116"/>
      <c r="ER28" s="123"/>
      <c r="ES28" s="119"/>
      <c r="ET28" s="120">
        <f t="shared" si="54"/>
        <v>4836108.5</v>
      </c>
      <c r="EU28" s="69"/>
      <c r="EV28" s="114">
        <f t="shared" si="55"/>
        <v>4880.8536576590068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04" t="s">
        <v>400</v>
      </c>
      <c r="B29" s="200"/>
      <c r="C29" s="197"/>
      <c r="D29" s="316"/>
      <c r="E29" s="317">
        <f t="shared" si="0"/>
        <v>0</v>
      </c>
      <c r="F29" s="318">
        <f t="shared" si="1"/>
        <v>0</v>
      </c>
      <c r="G29" s="199" t="str">
        <f t="shared" si="2"/>
        <v/>
      </c>
      <c r="H29" s="322">
        <f t="shared" si="58"/>
        <v>0</v>
      </c>
      <c r="I29" s="432">
        <f t="shared" si="3"/>
        <v>0</v>
      </c>
      <c r="J29" s="59"/>
      <c r="K29" s="103">
        <f>IFERROR(+L29/$L$18-1,"")</f>
        <v>0.24337430839465202</v>
      </c>
      <c r="L29" s="370">
        <f t="shared" si="71"/>
        <v>4978.470730812187</v>
      </c>
      <c r="M29" s="341">
        <f t="shared" si="5"/>
        <v>5421810.9400000004</v>
      </c>
      <c r="N29" s="341">
        <f t="shared" ca="1" si="6"/>
        <v>-84213.440000000002</v>
      </c>
      <c r="O29" s="59"/>
      <c r="P29" s="195" t="str">
        <f t="shared" si="59"/>
        <v/>
      </c>
      <c r="Q29" s="287">
        <f t="shared" si="69"/>
        <v>0</v>
      </c>
      <c r="R29" s="191"/>
      <c r="S29" s="307">
        <f t="shared" ca="1" si="60"/>
        <v>0</v>
      </c>
      <c r="T29" s="280" t="str">
        <f t="shared" si="73"/>
        <v/>
      </c>
      <c r="U29" s="280" t="str">
        <f t="shared" si="62"/>
        <v/>
      </c>
      <c r="V29" s="278">
        <f>IFERROR(VLOOKUP($U29,HomeBroker!$A$30:$F$60,2,0),0)</f>
        <v>0</v>
      </c>
      <c r="W29" s="310">
        <f>IFERROR(VLOOKUP($U29,HomeBroker!$A$30:$F$60,3,0),0)</f>
        <v>0</v>
      </c>
      <c r="X29" s="364">
        <f>IFERROR(VLOOKUP($U29,HomeBroker!$A$30:$F$60,6,0),0)</f>
        <v>0</v>
      </c>
      <c r="Y29" s="309">
        <f>IFERROR(VLOOKUP($U29,HomeBroker!$A$30:$F$60,4,0),0)</f>
        <v>0</v>
      </c>
      <c r="Z29" s="278">
        <f>IFERROR(VLOOKUP($U29,HomeBroker!$A$30:$F$60,5,0),0)</f>
        <v>0</v>
      </c>
      <c r="AA29" s="281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9">
        <f t="shared" ca="1" si="64"/>
        <v>0</v>
      </c>
      <c r="AF29" s="280" t="str">
        <f t="shared" si="74"/>
        <v/>
      </c>
      <c r="AG29" s="280" t="str">
        <f t="shared" si="75"/>
        <v/>
      </c>
      <c r="AH29" s="288">
        <f>IFERROR(VLOOKUP($AG29,HomeBroker!$A$30:$F$60,2,0),0)</f>
        <v>0</v>
      </c>
      <c r="AI29" s="310">
        <f>IFERROR(VLOOKUP($AG29,HomeBroker!$A$30:$F$60,3,0),0)</f>
        <v>0</v>
      </c>
      <c r="AJ29" s="364">
        <f>IFERROR(VLOOKUP($AG29,HomeBroker!$A$30:$F$60,6,0),0)</f>
        <v>0</v>
      </c>
      <c r="AK29" s="310">
        <f>IFERROR(VLOOKUP($AG29,HomeBroker!$A$30:$F$60,4,0),0)</f>
        <v>0</v>
      </c>
      <c r="AL29" s="288">
        <f>IFERROR(VLOOKUP($AG29,HomeBroker!$A$30:$F$60,5,0),0)</f>
        <v>0</v>
      </c>
      <c r="AM29" s="312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4978.470730812187</v>
      </c>
      <c r="DF29" s="115">
        <f t="shared" si="18"/>
        <v>2753012.1924365605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2753012.1924365605</v>
      </c>
      <c r="EQ29" s="116"/>
      <c r="ER29" s="123"/>
      <c r="ES29" s="119"/>
      <c r="ET29" s="120">
        <f t="shared" si="54"/>
        <v>5421810.9400000004</v>
      </c>
      <c r="EU29" s="69"/>
      <c r="EV29" s="114">
        <f t="shared" si="55"/>
        <v>4978.470730812187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04" t="s">
        <v>400</v>
      </c>
      <c r="B30" s="200"/>
      <c r="C30" s="197"/>
      <c r="D30" s="316"/>
      <c r="E30" s="317">
        <f t="shared" si="0"/>
        <v>0</v>
      </c>
      <c r="F30" s="318">
        <f t="shared" si="1"/>
        <v>0</v>
      </c>
      <c r="G30" s="199" t="str">
        <f t="shared" si="2"/>
        <v/>
      </c>
      <c r="H30" s="322">
        <f t="shared" si="58"/>
        <v>0</v>
      </c>
      <c r="I30" s="432">
        <f t="shared" si="3"/>
        <v>0</v>
      </c>
      <c r="J30" s="59"/>
      <c r="K30" s="103"/>
      <c r="L30" s="370">
        <f t="shared" si="71"/>
        <v>5078.0401454284311</v>
      </c>
      <c r="M30" s="342">
        <f t="shared" si="5"/>
        <v>6019227.4299999997</v>
      </c>
      <c r="N30" s="342">
        <f t="shared" ca="1" si="6"/>
        <v>-84213.440000000002</v>
      </c>
      <c r="O30" s="59"/>
      <c r="P30" s="195" t="str">
        <f t="shared" si="59"/>
        <v/>
      </c>
      <c r="Q30" s="287">
        <f t="shared" si="69"/>
        <v>0</v>
      </c>
      <c r="R30" s="191"/>
      <c r="S30" s="307">
        <f t="shared" ca="1" si="60"/>
        <v>0</v>
      </c>
      <c r="T30" s="280" t="str">
        <f t="shared" si="73"/>
        <v/>
      </c>
      <c r="U30" s="280" t="str">
        <f t="shared" si="62"/>
        <v/>
      </c>
      <c r="V30" s="278">
        <f>IFERROR(VLOOKUP($U30,HomeBroker!$A$30:$F$60,2,0),0)</f>
        <v>0</v>
      </c>
      <c r="W30" s="310">
        <f>IFERROR(VLOOKUP($U30,HomeBroker!$A$30:$F$60,3,0),0)</f>
        <v>0</v>
      </c>
      <c r="X30" s="364">
        <f>IFERROR(VLOOKUP($U30,HomeBroker!$A$30:$F$60,6,0),0)</f>
        <v>0</v>
      </c>
      <c r="Y30" s="309">
        <f>IFERROR(VLOOKUP($U30,HomeBroker!$A$30:$F$60,4,0),0)</f>
        <v>0</v>
      </c>
      <c r="Z30" s="278">
        <f>IFERROR(VLOOKUP($U30,HomeBroker!$A$30:$F$60,5,0),0)</f>
        <v>0</v>
      </c>
      <c r="AA30" s="281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9">
        <f t="shared" ca="1" si="64"/>
        <v>0</v>
      </c>
      <c r="AF30" s="280" t="str">
        <f t="shared" si="74"/>
        <v/>
      </c>
      <c r="AG30" s="280" t="str">
        <f t="shared" si="75"/>
        <v/>
      </c>
      <c r="AH30" s="288">
        <f>IFERROR(VLOOKUP($AG30,HomeBroker!$A$30:$F$60,2,0),0)</f>
        <v>0</v>
      </c>
      <c r="AI30" s="310">
        <f>IFERROR(VLOOKUP($AG30,HomeBroker!$A$30:$F$60,3,0),0)</f>
        <v>0</v>
      </c>
      <c r="AJ30" s="364">
        <f>IFERROR(VLOOKUP($AG30,HomeBroker!$A$30:$F$60,6,0),0)</f>
        <v>0</v>
      </c>
      <c r="AK30" s="310">
        <f>IFERROR(VLOOKUP($AG30,HomeBroker!$A$30:$F$60,4,0),0)</f>
        <v>0</v>
      </c>
      <c r="AL30" s="288">
        <f>IFERROR(VLOOKUP($AG30,HomeBroker!$A$30:$F$60,5,0),0)</f>
        <v>0</v>
      </c>
      <c r="AM30" s="312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5078.0401454284311</v>
      </c>
      <c r="DF30" s="115">
        <f t="shared" si="18"/>
        <v>3051720.4362852927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3051720.4362852927</v>
      </c>
      <c r="EQ30" s="116"/>
      <c r="ER30" s="123"/>
      <c r="ES30" s="119"/>
      <c r="ET30" s="120">
        <f t="shared" si="54"/>
        <v>6019227.4299999997</v>
      </c>
      <c r="EU30" s="69"/>
      <c r="EV30" s="114">
        <f t="shared" si="55"/>
        <v>5078.0401454284311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04" t="s">
        <v>400</v>
      </c>
      <c r="B31" s="200"/>
      <c r="C31" s="197"/>
      <c r="D31" s="316"/>
      <c r="E31" s="317">
        <f t="shared" si="0"/>
        <v>0</v>
      </c>
      <c r="F31" s="318">
        <f t="shared" si="1"/>
        <v>0</v>
      </c>
      <c r="G31" s="199" t="str">
        <f t="shared" si="2"/>
        <v/>
      </c>
      <c r="H31" s="322">
        <f t="shared" si="58"/>
        <v>0</v>
      </c>
      <c r="I31" s="432">
        <f t="shared" si="3"/>
        <v>0</v>
      </c>
      <c r="J31" s="59"/>
      <c r="K31" s="103"/>
      <c r="L31" s="370">
        <f t="shared" si="71"/>
        <v>5179.6009483369999</v>
      </c>
      <c r="M31" s="341">
        <f t="shared" si="5"/>
        <v>6628592.25</v>
      </c>
      <c r="N31" s="341">
        <f t="shared" ca="1" si="6"/>
        <v>-84213.440000000002</v>
      </c>
      <c r="O31" s="59"/>
      <c r="P31" s="195" t="str">
        <f t="shared" si="59"/>
        <v/>
      </c>
      <c r="Q31" s="287">
        <f t="shared" si="69"/>
        <v>0</v>
      </c>
      <c r="R31" s="191"/>
      <c r="S31" s="307">
        <f t="shared" ca="1" si="60"/>
        <v>0</v>
      </c>
      <c r="T31" s="280" t="str">
        <f t="shared" si="73"/>
        <v/>
      </c>
      <c r="U31" s="280" t="str">
        <f t="shared" si="62"/>
        <v/>
      </c>
      <c r="V31" s="278">
        <f>IFERROR(VLOOKUP($U31,HomeBroker!$A$30:$F$60,2,0),0)</f>
        <v>0</v>
      </c>
      <c r="W31" s="310">
        <f>IFERROR(VLOOKUP($U31,HomeBroker!$A$30:$F$60,3,0),0)</f>
        <v>0</v>
      </c>
      <c r="X31" s="364">
        <f>IFERROR(VLOOKUP($U31,HomeBroker!$A$30:$F$60,6,0),0)</f>
        <v>0</v>
      </c>
      <c r="Y31" s="309">
        <f>IFERROR(VLOOKUP($U31,HomeBroker!$A$30:$F$60,4,0),0)</f>
        <v>0</v>
      </c>
      <c r="Z31" s="278">
        <f>IFERROR(VLOOKUP($U31,HomeBroker!$A$30:$F$60,5,0),0)</f>
        <v>0</v>
      </c>
      <c r="AA31" s="281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9">
        <f t="shared" ca="1" si="64"/>
        <v>0</v>
      </c>
      <c r="AF31" s="280" t="str">
        <f t="shared" si="74"/>
        <v/>
      </c>
      <c r="AG31" s="280" t="str">
        <f t="shared" si="75"/>
        <v/>
      </c>
      <c r="AH31" s="288">
        <f>IFERROR(VLOOKUP($AG31,HomeBroker!$A$30:$F$60,2,0),0)</f>
        <v>0</v>
      </c>
      <c r="AI31" s="310">
        <f>IFERROR(VLOOKUP($AG31,HomeBroker!$A$30:$F$60,3,0),0)</f>
        <v>0</v>
      </c>
      <c r="AJ31" s="364">
        <f>IFERROR(VLOOKUP($AG31,HomeBroker!$A$30:$F$60,6,0),0)</f>
        <v>0</v>
      </c>
      <c r="AK31" s="310">
        <f>IFERROR(VLOOKUP($AG31,HomeBroker!$A$30:$F$60,4,0),0)</f>
        <v>0</v>
      </c>
      <c r="AL31" s="288">
        <f>IFERROR(VLOOKUP($AG31,HomeBroker!$A$30:$F$60,5,0),0)</f>
        <v>0</v>
      </c>
      <c r="AM31" s="312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5179.6009483369999</v>
      </c>
      <c r="DF31" s="115">
        <f t="shared" si="18"/>
        <v>3356402.8450109991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3356402.8450109991</v>
      </c>
      <c r="EQ31" s="116"/>
      <c r="ER31" s="123"/>
      <c r="ES31" s="119"/>
      <c r="ET31" s="120">
        <f t="shared" si="54"/>
        <v>6628592.25</v>
      </c>
      <c r="EU31" s="69"/>
      <c r="EV31" s="114">
        <f t="shared" si="55"/>
        <v>5179.6009483369999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04" t="s">
        <v>400</v>
      </c>
      <c r="B32" s="200"/>
      <c r="C32" s="197"/>
      <c r="D32" s="316"/>
      <c r="E32" s="317">
        <f t="shared" si="0"/>
        <v>0</v>
      </c>
      <c r="F32" s="318">
        <f t="shared" si="1"/>
        <v>0</v>
      </c>
      <c r="G32" s="199" t="str">
        <f t="shared" si="2"/>
        <v/>
      </c>
      <c r="H32" s="322">
        <f t="shared" si="58"/>
        <v>0</v>
      </c>
      <c r="I32" s="432">
        <f t="shared" si="3"/>
        <v>0</v>
      </c>
      <c r="J32" s="59"/>
      <c r="K32" s="103"/>
      <c r="L32" s="370">
        <f t="shared" si="71"/>
        <v>5283.1929673037403</v>
      </c>
      <c r="M32" s="341">
        <f t="shared" si="5"/>
        <v>7250144.3600000003</v>
      </c>
      <c r="N32" s="341">
        <f t="shared" ca="1" si="6"/>
        <v>-84213.440000000002</v>
      </c>
      <c r="O32" s="59"/>
      <c r="P32" s="195" t="str">
        <f t="shared" si="59"/>
        <v/>
      </c>
      <c r="Q32" s="287">
        <f t="shared" si="69"/>
        <v>0</v>
      </c>
      <c r="R32" s="191"/>
      <c r="S32" s="307">
        <f t="shared" ca="1" si="60"/>
        <v>0</v>
      </c>
      <c r="T32" s="280" t="str">
        <f t="shared" si="73"/>
        <v/>
      </c>
      <c r="U32" s="280" t="str">
        <f t="shared" si="62"/>
        <v/>
      </c>
      <c r="V32" s="278">
        <f>IFERROR(VLOOKUP($U32,HomeBroker!$A$30:$F$60,2,0),0)</f>
        <v>0</v>
      </c>
      <c r="W32" s="310">
        <f>IFERROR(VLOOKUP($U32,HomeBroker!$A$30:$F$60,3,0),0)</f>
        <v>0</v>
      </c>
      <c r="X32" s="364">
        <f>IFERROR(VLOOKUP($U32,HomeBroker!$A$30:$F$60,6,0),0)</f>
        <v>0</v>
      </c>
      <c r="Y32" s="309">
        <f>IFERROR(VLOOKUP($U32,HomeBroker!$A$30:$F$60,4,0),0)</f>
        <v>0</v>
      </c>
      <c r="Z32" s="278">
        <f>IFERROR(VLOOKUP($U32,HomeBroker!$A$30:$F$60,5,0),0)</f>
        <v>0</v>
      </c>
      <c r="AA32" s="281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9">
        <f t="shared" ca="1" si="64"/>
        <v>0</v>
      </c>
      <c r="AF32" s="280" t="str">
        <f t="shared" si="74"/>
        <v/>
      </c>
      <c r="AG32" s="280" t="str">
        <f t="shared" si="75"/>
        <v/>
      </c>
      <c r="AH32" s="288">
        <f>IFERROR(VLOOKUP($AG32,HomeBroker!$A$30:$F$60,2,0),0)</f>
        <v>0</v>
      </c>
      <c r="AI32" s="310">
        <f>IFERROR(VLOOKUP($AG32,HomeBroker!$A$30:$F$60,3,0),0)</f>
        <v>0</v>
      </c>
      <c r="AJ32" s="364">
        <f>IFERROR(VLOOKUP($AG32,HomeBroker!$A$30:$F$60,6,0),0)</f>
        <v>0</v>
      </c>
      <c r="AK32" s="310">
        <f>IFERROR(VLOOKUP($AG32,HomeBroker!$A$30:$F$60,4,0),0)</f>
        <v>0</v>
      </c>
      <c r="AL32" s="288">
        <f>IFERROR(VLOOKUP($AG32,HomeBroker!$A$30:$F$60,5,0),0)</f>
        <v>0</v>
      </c>
      <c r="AM32" s="312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5283.1929673037403</v>
      </c>
      <c r="DF32" s="115">
        <f t="shared" si="18"/>
        <v>3667178.90191122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3667178.90191122</v>
      </c>
      <c r="EQ32" s="116"/>
      <c r="ER32" s="123"/>
      <c r="ES32" s="119"/>
      <c r="ET32" s="120">
        <f t="shared" si="54"/>
        <v>7250144.3600000003</v>
      </c>
      <c r="EU32" s="69"/>
      <c r="EV32" s="114">
        <f t="shared" si="55"/>
        <v>5283.1929673037403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04" t="s">
        <v>400</v>
      </c>
      <c r="B33" s="200"/>
      <c r="C33" s="197"/>
      <c r="D33" s="316"/>
      <c r="E33" s="317">
        <f t="shared" si="0"/>
        <v>0</v>
      </c>
      <c r="F33" s="318">
        <f t="shared" si="1"/>
        <v>0</v>
      </c>
      <c r="G33" s="199" t="str">
        <f t="shared" si="2"/>
        <v/>
      </c>
      <c r="H33" s="322">
        <f t="shared" si="58"/>
        <v>0</v>
      </c>
      <c r="I33" s="432">
        <f t="shared" si="3"/>
        <v>0</v>
      </c>
      <c r="J33" s="59"/>
      <c r="K33" s="103"/>
      <c r="L33" s="370">
        <f t="shared" si="71"/>
        <v>5388.856826649815</v>
      </c>
      <c r="M33" s="342">
        <f t="shared" si="5"/>
        <v>7884127.5199999996</v>
      </c>
      <c r="N33" s="342">
        <f t="shared" ca="1" si="6"/>
        <v>-84213.440000000002</v>
      </c>
      <c r="O33" s="59"/>
      <c r="P33" s="195" t="str">
        <f t="shared" si="59"/>
        <v/>
      </c>
      <c r="Q33" s="287">
        <f t="shared" si="69"/>
        <v>0</v>
      </c>
      <c r="R33" s="191"/>
      <c r="S33" s="307">
        <f t="shared" ca="1" si="60"/>
        <v>0</v>
      </c>
      <c r="T33" s="280" t="str">
        <f t="shared" si="73"/>
        <v/>
      </c>
      <c r="U33" s="280" t="str">
        <f t="shared" si="62"/>
        <v/>
      </c>
      <c r="V33" s="278">
        <f>IFERROR(VLOOKUP($U33,HomeBroker!$A$30:$F$60,2,0),0)</f>
        <v>0</v>
      </c>
      <c r="W33" s="310">
        <f>IFERROR(VLOOKUP($U33,HomeBroker!$A$30:$F$60,3,0),0)</f>
        <v>0</v>
      </c>
      <c r="X33" s="364">
        <f>IFERROR(VLOOKUP($U33,HomeBroker!$A$30:$F$60,6,0),0)</f>
        <v>0</v>
      </c>
      <c r="Y33" s="309">
        <f>IFERROR(VLOOKUP($U33,HomeBroker!$A$30:$F$60,4,0),0)</f>
        <v>0</v>
      </c>
      <c r="Z33" s="278">
        <f>IFERROR(VLOOKUP($U33,HomeBroker!$A$30:$F$60,5,0),0)</f>
        <v>0</v>
      </c>
      <c r="AA33" s="281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9">
        <f t="shared" ca="1" si="64"/>
        <v>0</v>
      </c>
      <c r="AF33" s="280" t="str">
        <f t="shared" si="74"/>
        <v/>
      </c>
      <c r="AG33" s="280" t="str">
        <f t="shared" si="75"/>
        <v/>
      </c>
      <c r="AH33" s="288">
        <f>IFERROR(VLOOKUP($AG33,HomeBroker!$A$30:$F$60,2,0),0)</f>
        <v>0</v>
      </c>
      <c r="AI33" s="310">
        <f>IFERROR(VLOOKUP($AG33,HomeBroker!$A$30:$F$60,3,0),0)</f>
        <v>0</v>
      </c>
      <c r="AJ33" s="364">
        <f>IFERROR(VLOOKUP($AG33,HomeBroker!$A$30:$F$60,6,0),0)</f>
        <v>0</v>
      </c>
      <c r="AK33" s="310">
        <f>IFERROR(VLOOKUP($AG33,HomeBroker!$A$30:$F$60,4,0),0)</f>
        <v>0</v>
      </c>
      <c r="AL33" s="288">
        <f>IFERROR(VLOOKUP($AG33,HomeBroker!$A$30:$F$60,5,0),0)</f>
        <v>0</v>
      </c>
      <c r="AM33" s="312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5388.856826649815</v>
      </c>
      <c r="DF33" s="115">
        <f t="shared" si="18"/>
        <v>3984170.4799494445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3984170.4799494445</v>
      </c>
      <c r="EQ33" s="116"/>
      <c r="ER33" s="123"/>
      <c r="ES33" s="119"/>
      <c r="ET33" s="120">
        <f t="shared" si="54"/>
        <v>7884127.5199999996</v>
      </c>
      <c r="EU33" s="69"/>
      <c r="EV33" s="114">
        <f t="shared" si="55"/>
        <v>5388.856826649815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04" t="s">
        <v>400</v>
      </c>
      <c r="B34" s="200"/>
      <c r="C34" s="197"/>
      <c r="D34" s="316"/>
      <c r="E34" s="317">
        <f t="shared" si="0"/>
        <v>0</v>
      </c>
      <c r="F34" s="318">
        <f t="shared" si="1"/>
        <v>0</v>
      </c>
      <c r="G34" s="199" t="str">
        <f t="shared" si="2"/>
        <v/>
      </c>
      <c r="H34" s="322">
        <f t="shared" si="58"/>
        <v>0</v>
      </c>
      <c r="I34" s="432">
        <f t="shared" si="3"/>
        <v>0</v>
      </c>
      <c r="J34" s="59"/>
      <c r="K34" s="130"/>
      <c r="L34" s="371">
        <f t="shared" si="71"/>
        <v>5496.6339631828114</v>
      </c>
      <c r="M34" s="343">
        <f t="shared" si="5"/>
        <v>8530790.3399999999</v>
      </c>
      <c r="N34" s="343">
        <f t="shared" ca="1" si="6"/>
        <v>-84213.440000000002</v>
      </c>
      <c r="O34" s="131"/>
      <c r="P34" s="195" t="str">
        <f t="shared" si="59"/>
        <v/>
      </c>
      <c r="Q34" s="287">
        <f t="shared" si="69"/>
        <v>0</v>
      </c>
      <c r="R34" s="191"/>
      <c r="S34" s="307">
        <f t="shared" ca="1" si="60"/>
        <v>0</v>
      </c>
      <c r="T34" s="280" t="str">
        <f t="shared" si="73"/>
        <v/>
      </c>
      <c r="U34" s="280" t="str">
        <f t="shared" si="62"/>
        <v/>
      </c>
      <c r="V34" s="278">
        <f>IFERROR(VLOOKUP($U34,HomeBroker!$A$30:$F$60,2,0),0)</f>
        <v>0</v>
      </c>
      <c r="W34" s="310">
        <f>IFERROR(VLOOKUP($U34,HomeBroker!$A$30:$F$60,3,0),0)</f>
        <v>0</v>
      </c>
      <c r="X34" s="364">
        <f>IFERROR(VLOOKUP($U34,HomeBroker!$A$30:$F$60,6,0),0)</f>
        <v>0</v>
      </c>
      <c r="Y34" s="309">
        <f>IFERROR(VLOOKUP($U34,HomeBroker!$A$30:$F$60,4,0),0)</f>
        <v>0</v>
      </c>
      <c r="Z34" s="278">
        <f>IFERROR(VLOOKUP($U34,HomeBroker!$A$30:$F$60,5,0),0)</f>
        <v>0</v>
      </c>
      <c r="AA34" s="281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9">
        <f t="shared" ca="1" si="64"/>
        <v>0</v>
      </c>
      <c r="AF34" s="280" t="str">
        <f t="shared" si="74"/>
        <v/>
      </c>
      <c r="AG34" s="280" t="str">
        <f t="shared" si="75"/>
        <v/>
      </c>
      <c r="AH34" s="288">
        <f>IFERROR(VLOOKUP($AG34,HomeBroker!$A$30:$F$60,2,0),0)</f>
        <v>0</v>
      </c>
      <c r="AI34" s="310">
        <f>IFERROR(VLOOKUP($AG34,HomeBroker!$A$30:$F$60,3,0),0)</f>
        <v>0</v>
      </c>
      <c r="AJ34" s="364">
        <f>IFERROR(VLOOKUP($AG34,HomeBroker!$A$30:$F$60,6,0),0)</f>
        <v>0</v>
      </c>
      <c r="AK34" s="310">
        <f>IFERROR(VLOOKUP($AG34,HomeBroker!$A$30:$F$60,4,0),0)</f>
        <v>0</v>
      </c>
      <c r="AL34" s="288">
        <f>IFERROR(VLOOKUP($AG34,HomeBroker!$A$30:$F$60,5,0),0)</f>
        <v>0</v>
      </c>
      <c r="AM34" s="312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5496.6339631828114</v>
      </c>
      <c r="DF34" s="115">
        <f t="shared" si="18"/>
        <v>4307501.8895484339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4307501.8895484339</v>
      </c>
      <c r="EQ34" s="116"/>
      <c r="ER34" s="132"/>
      <c r="ES34" s="133"/>
      <c r="ET34" s="134">
        <f t="shared" si="54"/>
        <v>8530790.3399999999</v>
      </c>
      <c r="EU34" s="69"/>
      <c r="EV34" s="114">
        <f t="shared" si="55"/>
        <v>5496.6339631828114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04" t="s">
        <v>400</v>
      </c>
      <c r="B35" s="200"/>
      <c r="C35" s="197"/>
      <c r="D35" s="316"/>
      <c r="E35" s="317">
        <f t="shared" si="0"/>
        <v>0</v>
      </c>
      <c r="F35" s="318">
        <f t="shared" ref="F35:F66" si="76">IF(B35&gt;0,+B35*D35*(1+($N$53+0.002)*1.21)*-100,B35*D35*(1-($N$53+0.002)*1.21)*-100)</f>
        <v>0</v>
      </c>
      <c r="G35" s="199" t="str">
        <f t="shared" si="2"/>
        <v/>
      </c>
      <c r="H35" s="322">
        <f t="shared" si="58"/>
        <v>0</v>
      </c>
      <c r="I35" s="432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7">
        <f t="shared" si="69"/>
        <v>0</v>
      </c>
      <c r="R35" s="191"/>
      <c r="S35" s="307">
        <f t="shared" ca="1" si="60"/>
        <v>0</v>
      </c>
      <c r="T35" s="280" t="str">
        <f t="shared" si="73"/>
        <v/>
      </c>
      <c r="U35" s="280" t="str">
        <f t="shared" si="62"/>
        <v/>
      </c>
      <c r="V35" s="278">
        <f>IFERROR(VLOOKUP($U35,HomeBroker!$A$30:$F$60,2,0),0)</f>
        <v>0</v>
      </c>
      <c r="W35" s="310">
        <f>IFERROR(VLOOKUP($U35,HomeBroker!$A$30:$F$60,3,0),0)</f>
        <v>0</v>
      </c>
      <c r="X35" s="364">
        <f>IFERROR(VLOOKUP($U35,HomeBroker!$A$30:$F$60,6,0),0)</f>
        <v>0</v>
      </c>
      <c r="Y35" s="309">
        <f>IFERROR(VLOOKUP($U35,HomeBroker!$A$30:$F$60,4,0),0)</f>
        <v>0</v>
      </c>
      <c r="Z35" s="278">
        <f>IFERROR(VLOOKUP($U35,HomeBroker!$A$30:$F$60,5,0),0)</f>
        <v>0</v>
      </c>
      <c r="AA35" s="281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9">
        <f t="shared" ca="1" si="64"/>
        <v>0</v>
      </c>
      <c r="AF35" s="280" t="str">
        <f t="shared" si="74"/>
        <v/>
      </c>
      <c r="AG35" s="280" t="str">
        <f t="shared" si="75"/>
        <v/>
      </c>
      <c r="AH35" s="288">
        <f>IFERROR(VLOOKUP($AG35,HomeBroker!$A$30:$F$60,2,0),0)</f>
        <v>0</v>
      </c>
      <c r="AI35" s="310">
        <f>IFERROR(VLOOKUP($AG35,HomeBroker!$A$30:$F$60,3,0),0)</f>
        <v>0</v>
      </c>
      <c r="AJ35" s="364">
        <f>IFERROR(VLOOKUP($AG35,HomeBroker!$A$30:$F$60,6,0),0)</f>
        <v>0</v>
      </c>
      <c r="AK35" s="310">
        <f>IFERROR(VLOOKUP($AG35,HomeBroker!$A$30:$F$60,4,0),0)</f>
        <v>0</v>
      </c>
      <c r="AL35" s="288">
        <f>IFERROR(VLOOKUP($AG35,HomeBroker!$A$30:$F$60,5,0),0)</f>
        <v>0</v>
      </c>
      <c r="AM35" s="312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4" t="s">
        <v>400</v>
      </c>
      <c r="B36" s="200"/>
      <c r="C36" s="197"/>
      <c r="D36" s="316"/>
      <c r="E36" s="317">
        <f t="shared" si="0"/>
        <v>0</v>
      </c>
      <c r="F36" s="318">
        <f t="shared" si="76"/>
        <v>0</v>
      </c>
      <c r="G36" s="199" t="str">
        <f t="shared" si="2"/>
        <v/>
      </c>
      <c r="H36" s="322">
        <f t="shared" si="58"/>
        <v>0</v>
      </c>
      <c r="I36" s="432">
        <f t="shared" si="3"/>
        <v>0</v>
      </c>
      <c r="J36" s="59"/>
      <c r="K36" s="836" t="s">
        <v>441</v>
      </c>
      <c r="L36" s="815"/>
      <c r="M36" s="816"/>
      <c r="N36" s="295">
        <f>SUM(AY:AY)+SUM(BE:BE)+SUM(BJ:BJ)+$F$76</f>
        <v>-84213.443999999989</v>
      </c>
      <c r="O36" s="59"/>
      <c r="P36" s="195" t="str">
        <f t="shared" si="59"/>
        <v/>
      </c>
      <c r="Q36" s="287">
        <f t="shared" si="69"/>
        <v>0</v>
      </c>
      <c r="R36" s="191"/>
      <c r="S36" s="307">
        <f t="shared" ca="1" si="60"/>
        <v>0</v>
      </c>
      <c r="T36" s="280" t="str">
        <f t="shared" si="73"/>
        <v/>
      </c>
      <c r="U36" s="280" t="str">
        <f t="shared" si="62"/>
        <v/>
      </c>
      <c r="V36" s="278">
        <f>IFERROR(VLOOKUP($U36,HomeBroker!$A$30:$F$60,2,0),0)</f>
        <v>0</v>
      </c>
      <c r="W36" s="310">
        <f>IFERROR(VLOOKUP($U36,HomeBroker!$A$30:$F$60,3,0),0)</f>
        <v>0</v>
      </c>
      <c r="X36" s="364">
        <f>IFERROR(VLOOKUP($U36,HomeBroker!$A$30:$F$60,6,0),0)</f>
        <v>0</v>
      </c>
      <c r="Y36" s="309">
        <f>IFERROR(VLOOKUP($U36,HomeBroker!$A$30:$F$60,4,0),0)</f>
        <v>0</v>
      </c>
      <c r="Z36" s="278">
        <f>IFERROR(VLOOKUP($U36,HomeBroker!$A$30:$F$60,5,0),0)</f>
        <v>0</v>
      </c>
      <c r="AA36" s="281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9">
        <f t="shared" ca="1" si="64"/>
        <v>0</v>
      </c>
      <c r="AF36" s="280" t="str">
        <f t="shared" si="74"/>
        <v/>
      </c>
      <c r="AG36" s="280" t="str">
        <f t="shared" si="75"/>
        <v/>
      </c>
      <c r="AH36" s="288">
        <f>IFERROR(VLOOKUP($AG36,HomeBroker!$A$30:$F$60,2,0),0)</f>
        <v>0</v>
      </c>
      <c r="AI36" s="310">
        <f>IFERROR(VLOOKUP($AG36,HomeBroker!$A$30:$F$60,3,0),0)</f>
        <v>0</v>
      </c>
      <c r="AJ36" s="364">
        <f>IFERROR(VLOOKUP($AG36,HomeBroker!$A$30:$F$60,6,0),0)</f>
        <v>0</v>
      </c>
      <c r="AK36" s="310">
        <f>IFERROR(VLOOKUP($AG36,HomeBroker!$A$30:$F$60,4,0),0)</f>
        <v>0</v>
      </c>
      <c r="AL36" s="288">
        <f>IFERROR(VLOOKUP($AG36,HomeBroker!$A$30:$F$60,5,0),0)</f>
        <v>0</v>
      </c>
      <c r="AM36" s="312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2957.2306869921972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2957.2306869921972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5" t="s">
        <v>400</v>
      </c>
      <c r="B37" s="297"/>
      <c r="C37" s="298"/>
      <c r="D37" s="319"/>
      <c r="E37" s="320">
        <f t="shared" si="0"/>
        <v>0</v>
      </c>
      <c r="F37" s="321">
        <f t="shared" si="76"/>
        <v>0</v>
      </c>
      <c r="G37" s="299" t="str">
        <f t="shared" si="2"/>
        <v/>
      </c>
      <c r="H37" s="323">
        <f t="shared" si="58"/>
        <v>0</v>
      </c>
      <c r="I37" s="433">
        <f t="shared" si="3"/>
        <v>0</v>
      </c>
      <c r="J37" s="59"/>
      <c r="K37" s="836" t="s">
        <v>442</v>
      </c>
      <c r="L37" s="815"/>
      <c r="M37" s="816"/>
      <c r="N37" s="29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1157786.5559999999</v>
      </c>
      <c r="O37" s="59"/>
      <c r="P37" s="195" t="str">
        <f t="shared" si="59"/>
        <v/>
      </c>
      <c r="Q37" s="287">
        <f t="shared" si="69"/>
        <v>0</v>
      </c>
      <c r="R37" s="191"/>
      <c r="S37" s="307">
        <f t="shared" ca="1" si="60"/>
        <v>0</v>
      </c>
      <c r="T37" s="280" t="str">
        <f t="shared" si="73"/>
        <v/>
      </c>
      <c r="U37" s="280" t="str">
        <f t="shared" si="62"/>
        <v/>
      </c>
      <c r="V37" s="278">
        <f>IFERROR(VLOOKUP($U37,HomeBroker!$A$30:$F$60,2,0),0)</f>
        <v>0</v>
      </c>
      <c r="W37" s="310">
        <f>IFERROR(VLOOKUP($U37,HomeBroker!$A$30:$F$60,3,0),0)</f>
        <v>0</v>
      </c>
      <c r="X37" s="364">
        <f>IFERROR(VLOOKUP($U37,HomeBroker!$A$30:$F$60,6,0),0)</f>
        <v>0</v>
      </c>
      <c r="Y37" s="309">
        <f>IFERROR(VLOOKUP($U37,HomeBroker!$A$30:$F$60,4,0),0)</f>
        <v>0</v>
      </c>
      <c r="Z37" s="278">
        <f>IFERROR(VLOOKUP($U37,HomeBroker!$A$30:$F$60,5,0),0)</f>
        <v>0</v>
      </c>
      <c r="AA37" s="281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9">
        <f t="shared" ca="1" si="64"/>
        <v>0</v>
      </c>
      <c r="AF37" s="280" t="str">
        <f t="shared" si="74"/>
        <v/>
      </c>
      <c r="AG37" s="280" t="str">
        <f t="shared" si="75"/>
        <v/>
      </c>
      <c r="AH37" s="288">
        <f>IFERROR(VLOOKUP($AG37,HomeBroker!$A$30:$F$60,2,0),0)</f>
        <v>0</v>
      </c>
      <c r="AI37" s="310">
        <f>IFERROR(VLOOKUP($AG37,HomeBroker!$A$30:$F$60,3,0),0)</f>
        <v>0</v>
      </c>
      <c r="AJ37" s="364">
        <f>IFERROR(VLOOKUP($AG37,HomeBroker!$A$30:$F$60,6,0),0)</f>
        <v>0</v>
      </c>
      <c r="AK37" s="310">
        <f>IFERROR(VLOOKUP($AG37,HomeBroker!$A$30:$F$60,4,0),0)</f>
        <v>0</v>
      </c>
      <c r="AL37" s="288">
        <f>IFERROR(VLOOKUP($AG37,HomeBroker!$A$30:$F$60,5,0),0)</f>
        <v>0</v>
      </c>
      <c r="AM37" s="312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3017.5823336655076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3017.5823336655076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6" t="s">
        <v>400</v>
      </c>
      <c r="B38" s="141"/>
      <c r="C38" s="197"/>
      <c r="D38" s="198"/>
      <c r="E38" s="324">
        <f t="shared" si="0"/>
        <v>0</v>
      </c>
      <c r="F38" s="325">
        <f t="shared" si="76"/>
        <v>0</v>
      </c>
      <c r="G38" s="199" t="str">
        <f>IFERROR(VLOOKUP(C38,$AD$3:$AM$50,7,0),"")</f>
        <v/>
      </c>
      <c r="H38" s="334">
        <f t="shared" si="58"/>
        <v>0</v>
      </c>
      <c r="I38" s="435">
        <f t="shared" si="3"/>
        <v>0</v>
      </c>
      <c r="J38" s="59"/>
      <c r="K38" s="837" t="s">
        <v>443</v>
      </c>
      <c r="L38" s="815"/>
      <c r="M38" s="816"/>
      <c r="N38" s="142">
        <f>SUM(Q3:Q42)</f>
        <v>30</v>
      </c>
      <c r="O38" s="59"/>
      <c r="P38" s="195" t="str">
        <f t="shared" si="59"/>
        <v/>
      </c>
      <c r="Q38" s="287">
        <f t="shared" si="69"/>
        <v>0</v>
      </c>
      <c r="R38" s="191"/>
      <c r="S38" s="307">
        <f t="shared" ca="1" si="60"/>
        <v>0</v>
      </c>
      <c r="T38" s="280" t="str">
        <f t="shared" si="73"/>
        <v/>
      </c>
      <c r="U38" s="280" t="str">
        <f t="shared" si="62"/>
        <v/>
      </c>
      <c r="V38" s="278">
        <f>IFERROR(VLOOKUP($U38,HomeBroker!$A$30:$F$60,2,0),0)</f>
        <v>0</v>
      </c>
      <c r="W38" s="310">
        <f>IFERROR(VLOOKUP($U38,HomeBroker!$A$30:$F$60,3,0),0)</f>
        <v>0</v>
      </c>
      <c r="X38" s="364">
        <f>IFERROR(VLOOKUP($U38,HomeBroker!$A$30:$F$60,6,0),0)</f>
        <v>0</v>
      </c>
      <c r="Y38" s="309">
        <f>IFERROR(VLOOKUP($U38,HomeBroker!$A$30:$F$60,4,0),0)</f>
        <v>0</v>
      </c>
      <c r="Z38" s="278">
        <f>IFERROR(VLOOKUP($U38,HomeBroker!$A$30:$F$60,5,0),0)</f>
        <v>0</v>
      </c>
      <c r="AA38" s="281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9">
        <f t="shared" ca="1" si="64"/>
        <v>0</v>
      </c>
      <c r="AF38" s="280" t="str">
        <f t="shared" si="74"/>
        <v/>
      </c>
      <c r="AG38" s="280" t="str">
        <f t="shared" si="75"/>
        <v/>
      </c>
      <c r="AH38" s="288">
        <f>IFERROR(VLOOKUP($AG38,HomeBroker!$A$30:$F$60,2,0),0)</f>
        <v>0</v>
      </c>
      <c r="AI38" s="310">
        <f>IFERROR(VLOOKUP($AG38,HomeBroker!$A$30:$F$60,3,0),0)</f>
        <v>0</v>
      </c>
      <c r="AJ38" s="364">
        <f>IFERROR(VLOOKUP($AG38,HomeBroker!$A$30:$F$60,6,0),0)</f>
        <v>0</v>
      </c>
      <c r="AK38" s="310">
        <f>IFERROR(VLOOKUP($AG38,HomeBroker!$A$30:$F$60,4,0),0)</f>
        <v>0</v>
      </c>
      <c r="AL38" s="288">
        <f>IFERROR(VLOOKUP($AG38,HomeBroker!$A$30:$F$60,5,0),0)</f>
        <v>0</v>
      </c>
      <c r="AM38" s="312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3079.165646597457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3079.165646597457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6" t="s">
        <v>400</v>
      </c>
      <c r="B39" s="141"/>
      <c r="C39" s="197"/>
      <c r="D39" s="198"/>
      <c r="E39" s="324">
        <f t="shared" si="0"/>
        <v>0</v>
      </c>
      <c r="F39" s="325">
        <f t="shared" si="76"/>
        <v>0</v>
      </c>
      <c r="G39" s="199" t="str">
        <f>IFERROR(VLOOKUP(C39,$AD$3:$AM$50,7,0),"")</f>
        <v/>
      </c>
      <c r="H39" s="334">
        <f t="shared" si="58"/>
        <v>0</v>
      </c>
      <c r="I39" s="435">
        <f t="shared" si="3"/>
        <v>0</v>
      </c>
      <c r="J39" s="59"/>
      <c r="K39" s="838" t="s">
        <v>444</v>
      </c>
      <c r="L39" s="815"/>
      <c r="M39" s="816"/>
      <c r="N39" s="147">
        <f>SUM(AC3:AC42)</f>
        <v>0</v>
      </c>
      <c r="O39" s="59"/>
      <c r="P39" s="195" t="str">
        <f t="shared" si="59"/>
        <v/>
      </c>
      <c r="Q39" s="287">
        <f t="shared" si="69"/>
        <v>0</v>
      </c>
      <c r="R39" s="191"/>
      <c r="S39" s="307">
        <f t="shared" ca="1" si="60"/>
        <v>0</v>
      </c>
      <c r="T39" s="280" t="str">
        <f t="shared" si="73"/>
        <v/>
      </c>
      <c r="U39" s="280" t="str">
        <f t="shared" si="62"/>
        <v/>
      </c>
      <c r="V39" s="278">
        <f>IFERROR(VLOOKUP($U39,HomeBroker!$A$30:$F$60,2,0),0)</f>
        <v>0</v>
      </c>
      <c r="W39" s="310">
        <f>IFERROR(VLOOKUP($U39,HomeBroker!$A$30:$F$60,3,0),0)</f>
        <v>0</v>
      </c>
      <c r="X39" s="364">
        <f>IFERROR(VLOOKUP($U39,HomeBroker!$A$30:$F$60,6,0),0)</f>
        <v>0</v>
      </c>
      <c r="Y39" s="309">
        <f>IFERROR(VLOOKUP($U39,HomeBroker!$A$30:$F$60,4,0),0)</f>
        <v>0</v>
      </c>
      <c r="Z39" s="278">
        <f>IFERROR(VLOOKUP($U39,HomeBroker!$A$30:$F$60,5,0),0)</f>
        <v>0</v>
      </c>
      <c r="AA39" s="281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9">
        <f t="shared" ca="1" si="64"/>
        <v>0</v>
      </c>
      <c r="AF39" s="280" t="str">
        <f t="shared" si="74"/>
        <v/>
      </c>
      <c r="AG39" s="280" t="str">
        <f t="shared" si="75"/>
        <v/>
      </c>
      <c r="AH39" s="288">
        <f>IFERROR(VLOOKUP($AG39,HomeBroker!$A$30:$F$60,2,0),0)</f>
        <v>0</v>
      </c>
      <c r="AI39" s="310">
        <f>IFERROR(VLOOKUP($AG39,HomeBroker!$A$30:$F$60,3,0),0)</f>
        <v>0</v>
      </c>
      <c r="AJ39" s="364">
        <f>IFERROR(VLOOKUP($AG39,HomeBroker!$A$30:$F$60,6,0),0)</f>
        <v>0</v>
      </c>
      <c r="AK39" s="310">
        <f>IFERROR(VLOOKUP($AG39,HomeBroker!$A$30:$F$60,4,0),0)</f>
        <v>0</v>
      </c>
      <c r="AL39" s="288">
        <f>IFERROR(VLOOKUP($AG39,HomeBroker!$A$30:$F$60,5,0),0)</f>
        <v>0</v>
      </c>
      <c r="AM39" s="312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3142.0057618341398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3142.0057618341398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6" t="s">
        <v>400</v>
      </c>
      <c r="B40" s="141"/>
      <c r="C40" s="197"/>
      <c r="D40" s="198"/>
      <c r="E40" s="324">
        <f t="shared" si="0"/>
        <v>0</v>
      </c>
      <c r="F40" s="325">
        <f t="shared" si="76"/>
        <v>0</v>
      </c>
      <c r="G40" s="199" t="str">
        <f t="shared" ref="G40:G72" si="124">IFERROR(VLOOKUP(C40,$AD$3:$AM$42,7,0),"")</f>
        <v/>
      </c>
      <c r="H40" s="334">
        <f t="shared" si="58"/>
        <v>0</v>
      </c>
      <c r="I40" s="435">
        <f t="shared" si="3"/>
        <v>0</v>
      </c>
      <c r="J40" s="59"/>
      <c r="K40" s="835" t="s">
        <v>0</v>
      </c>
      <c r="L40" s="815"/>
      <c r="M40" s="816"/>
      <c r="N40" s="148">
        <f>AB43+SUM(B73:B75)</f>
        <v>0</v>
      </c>
      <c r="O40" s="59"/>
      <c r="P40" s="195" t="str">
        <f t="shared" si="59"/>
        <v/>
      </c>
      <c r="Q40" s="287">
        <f t="shared" si="69"/>
        <v>0</v>
      </c>
      <c r="R40" s="191"/>
      <c r="S40" s="307">
        <f t="shared" ca="1" si="60"/>
        <v>0</v>
      </c>
      <c r="T40" s="280" t="str">
        <f t="shared" si="73"/>
        <v/>
      </c>
      <c r="U40" s="280" t="str">
        <f t="shared" si="62"/>
        <v/>
      </c>
      <c r="V40" s="278">
        <f>IFERROR(VLOOKUP($U40,HomeBroker!$A$30:$F$60,2,0),0)</f>
        <v>0</v>
      </c>
      <c r="W40" s="310">
        <f>IFERROR(VLOOKUP($U40,HomeBroker!$A$30:$F$60,3,0),0)</f>
        <v>0</v>
      </c>
      <c r="X40" s="364">
        <f>IFERROR(VLOOKUP($U40,HomeBroker!$A$30:$F$60,6,0),0)</f>
        <v>0</v>
      </c>
      <c r="Y40" s="309">
        <f>IFERROR(VLOOKUP($U40,HomeBroker!$A$30:$F$60,4,0),0)</f>
        <v>0</v>
      </c>
      <c r="Z40" s="278">
        <f>IFERROR(VLOOKUP($U40,HomeBroker!$A$30:$F$60,5,0),0)</f>
        <v>0</v>
      </c>
      <c r="AA40" s="281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9">
        <f t="shared" ca="1" si="64"/>
        <v>0</v>
      </c>
      <c r="AF40" s="280" t="str">
        <f t="shared" si="74"/>
        <v/>
      </c>
      <c r="AG40" s="280" t="str">
        <f t="shared" si="75"/>
        <v/>
      </c>
      <c r="AH40" s="288">
        <f>IFERROR(VLOOKUP($AG40,HomeBroker!$A$30:$F$60,2,0),0)</f>
        <v>0</v>
      </c>
      <c r="AI40" s="310">
        <f>IFERROR(VLOOKUP($AG40,HomeBroker!$A$30:$F$60,3,0),0)</f>
        <v>0</v>
      </c>
      <c r="AJ40" s="364">
        <f>IFERROR(VLOOKUP($AG40,HomeBroker!$A$30:$F$60,6,0),0)</f>
        <v>0</v>
      </c>
      <c r="AK40" s="310">
        <f>IFERROR(VLOOKUP($AG40,HomeBroker!$A$30:$F$60,4,0),0)</f>
        <v>0</v>
      </c>
      <c r="AL40" s="288">
        <f>IFERROR(VLOOKUP($AG40,HomeBroker!$A$30:$F$60,5,0),0)</f>
        <v>0</v>
      </c>
      <c r="AM40" s="312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3206.1283284021833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3206.1283284021833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6" t="s">
        <v>400</v>
      </c>
      <c r="B41" s="141"/>
      <c r="C41" s="197"/>
      <c r="D41" s="198"/>
      <c r="E41" s="324">
        <f t="shared" si="0"/>
        <v>0</v>
      </c>
      <c r="F41" s="325">
        <f t="shared" si="76"/>
        <v>0</v>
      </c>
      <c r="G41" s="199" t="str">
        <f t="shared" si="124"/>
        <v/>
      </c>
      <c r="H41" s="334">
        <f t="shared" si="58"/>
        <v>0</v>
      </c>
      <c r="I41" s="435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7">
        <f t="shared" si="69"/>
        <v>0</v>
      </c>
      <c r="R41" s="191"/>
      <c r="S41" s="307">
        <f t="shared" ca="1" si="60"/>
        <v>0</v>
      </c>
      <c r="T41" s="280" t="str">
        <f t="shared" si="73"/>
        <v/>
      </c>
      <c r="U41" s="280" t="str">
        <f t="shared" si="62"/>
        <v/>
      </c>
      <c r="V41" s="278">
        <f>IFERROR(VLOOKUP($U41,HomeBroker!$A$30:$F$60,2,0),0)</f>
        <v>0</v>
      </c>
      <c r="W41" s="310">
        <f>IFERROR(VLOOKUP($U41,HomeBroker!$A$30:$F$60,3,0),0)</f>
        <v>0</v>
      </c>
      <c r="X41" s="364">
        <f>IFERROR(VLOOKUP($U41,HomeBroker!$A$30:$F$60,6,0),0)</f>
        <v>0</v>
      </c>
      <c r="Y41" s="309">
        <f>IFERROR(VLOOKUP($U41,HomeBroker!$A$30:$F$60,4,0),0)</f>
        <v>0</v>
      </c>
      <c r="Z41" s="278">
        <f>IFERROR(VLOOKUP($U41,HomeBroker!$A$30:$F$60,5,0),0)</f>
        <v>0</v>
      </c>
      <c r="AA41" s="281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9">
        <f t="shared" ca="1" si="64"/>
        <v>0</v>
      </c>
      <c r="AF41" s="280" t="str">
        <f t="shared" si="74"/>
        <v/>
      </c>
      <c r="AG41" s="280" t="str">
        <f t="shared" si="75"/>
        <v/>
      </c>
      <c r="AH41" s="288">
        <f>IFERROR(VLOOKUP($AG41,HomeBroker!$A$30:$F$60,2,0),0)</f>
        <v>0</v>
      </c>
      <c r="AI41" s="310">
        <f>IFERROR(VLOOKUP($AG41,HomeBroker!$A$30:$F$60,3,0),0)</f>
        <v>0</v>
      </c>
      <c r="AJ41" s="364">
        <f>IFERROR(VLOOKUP($AG41,HomeBroker!$A$30:$F$60,6,0),0)</f>
        <v>0</v>
      </c>
      <c r="AK41" s="310">
        <f>IFERROR(VLOOKUP($AG41,HomeBroker!$A$30:$F$60,4,0),0)</f>
        <v>0</v>
      </c>
      <c r="AL41" s="288">
        <f>IFERROR(VLOOKUP($AG41,HomeBroker!$A$30:$F$60,5,0),0)</f>
        <v>0</v>
      </c>
      <c r="AM41" s="312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3271.559518777738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3271.559518777738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6" t="s">
        <v>400</v>
      </c>
      <c r="B42" s="141"/>
      <c r="C42" s="197"/>
      <c r="D42" s="198"/>
      <c r="E42" s="324">
        <f t="shared" si="0"/>
        <v>0</v>
      </c>
      <c r="F42" s="325">
        <f t="shared" si="76"/>
        <v>0</v>
      </c>
      <c r="G42" s="199" t="str">
        <f t="shared" si="124"/>
        <v/>
      </c>
      <c r="H42" s="334">
        <f t="shared" si="58"/>
        <v>0</v>
      </c>
      <c r="I42" s="435">
        <f t="shared" si="3"/>
        <v>0</v>
      </c>
      <c r="J42" s="59"/>
      <c r="K42" s="819" t="s">
        <v>445</v>
      </c>
      <c r="L42" s="815"/>
      <c r="M42" s="816"/>
      <c r="N42" s="150">
        <v>0.02</v>
      </c>
      <c r="O42" s="59"/>
      <c r="P42" s="195" t="str">
        <f t="shared" si="59"/>
        <v/>
      </c>
      <c r="Q42" s="287">
        <f t="shared" si="69"/>
        <v>0</v>
      </c>
      <c r="R42" s="191"/>
      <c r="S42" s="307">
        <f t="shared" ca="1" si="60"/>
        <v>0</v>
      </c>
      <c r="T42" s="280" t="str">
        <f t="shared" si="73"/>
        <v/>
      </c>
      <c r="U42" s="280" t="str">
        <f t="shared" si="62"/>
        <v/>
      </c>
      <c r="V42" s="278">
        <f>IFERROR(VLOOKUP($U42,HomeBroker!$A$30:$F$60,2,0),0)</f>
        <v>0</v>
      </c>
      <c r="W42" s="310">
        <f>IFERROR(VLOOKUP($U42,HomeBroker!$A$30:$F$60,3,0),0)</f>
        <v>0</v>
      </c>
      <c r="X42" s="364">
        <f>IFERROR(VLOOKUP($U42,HomeBroker!$A$30:$F$60,6,0),0)</f>
        <v>0</v>
      </c>
      <c r="Y42" s="309">
        <f>IFERROR(VLOOKUP($U42,HomeBroker!$A$30:$F$60,4,0),0)</f>
        <v>0</v>
      </c>
      <c r="Z42" s="278">
        <f>IFERROR(VLOOKUP($U42,HomeBroker!$A$30:$F$60,5,0),0)</f>
        <v>0</v>
      </c>
      <c r="AA42" s="281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9">
        <f t="shared" ca="1" si="64"/>
        <v>0</v>
      </c>
      <c r="AF42" s="280" t="str">
        <f t="shared" si="74"/>
        <v/>
      </c>
      <c r="AG42" s="280" t="str">
        <f t="shared" si="75"/>
        <v/>
      </c>
      <c r="AH42" s="288">
        <f>IFERROR(VLOOKUP($AG42,HomeBroker!$A$30:$F$60,2,0),0)</f>
        <v>0</v>
      </c>
      <c r="AI42" s="310">
        <f>IFERROR(VLOOKUP($AG42,HomeBroker!$A$30:$F$60,3,0),0)</f>
        <v>0</v>
      </c>
      <c r="AJ42" s="364">
        <f>IFERROR(VLOOKUP($AG42,HomeBroker!$A$30:$F$60,6,0),0)</f>
        <v>0</v>
      </c>
      <c r="AK42" s="310">
        <f>IFERROR(VLOOKUP($AG42,HomeBroker!$A$30:$F$60,4,0),0)</f>
        <v>0</v>
      </c>
      <c r="AL42" s="288">
        <f>IFERROR(VLOOKUP($AG42,HomeBroker!$A$30:$F$60,5,0),0)</f>
        <v>0</v>
      </c>
      <c r="AM42" s="312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3338.3260395691204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3338.3260395691204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6" t="s">
        <v>400</v>
      </c>
      <c r="B43" s="141"/>
      <c r="C43" s="197"/>
      <c r="D43" s="198"/>
      <c r="E43" s="324">
        <f t="shared" si="0"/>
        <v>0</v>
      </c>
      <c r="F43" s="325">
        <f t="shared" si="76"/>
        <v>0</v>
      </c>
      <c r="G43" s="199" t="str">
        <f t="shared" si="124"/>
        <v/>
      </c>
      <c r="H43" s="334">
        <f t="shared" si="58"/>
        <v>0</v>
      </c>
      <c r="I43" s="435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625</v>
      </c>
      <c r="O43" s="59"/>
      <c r="P43" s="820"/>
      <c r="Q43" s="821"/>
      <c r="R43" s="821"/>
      <c r="S43" s="821"/>
      <c r="T43" s="821"/>
      <c r="U43" s="821"/>
      <c r="V43" s="821"/>
      <c r="W43" s="821"/>
      <c r="X43" s="821"/>
      <c r="Y43" s="821"/>
      <c r="Z43" s="821"/>
      <c r="AA43" s="822"/>
      <c r="AB43" s="826"/>
      <c r="AC43" s="826"/>
      <c r="AD43" s="826"/>
      <c r="AE43" s="826"/>
      <c r="AF43" s="826"/>
      <c r="AG43" s="826"/>
      <c r="AH43" s="826"/>
      <c r="AI43" s="826"/>
      <c r="AJ43" s="826"/>
      <c r="AK43" s="826"/>
      <c r="AL43" s="826"/>
      <c r="AM43" s="827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3406.4551424174697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3406.4551424174697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6" t="s">
        <v>400</v>
      </c>
      <c r="B44" s="141"/>
      <c r="C44" s="197"/>
      <c r="D44" s="198"/>
      <c r="E44" s="324">
        <f t="shared" si="0"/>
        <v>0</v>
      </c>
      <c r="F44" s="325">
        <f t="shared" si="76"/>
        <v>0</v>
      </c>
      <c r="G44" s="199" t="str">
        <f t="shared" si="124"/>
        <v/>
      </c>
      <c r="H44" s="334">
        <f t="shared" si="58"/>
        <v>0</v>
      </c>
      <c r="I44" s="435">
        <f t="shared" si="3"/>
        <v>0</v>
      </c>
      <c r="J44" s="59"/>
      <c r="K44" s="817" t="s">
        <v>449</v>
      </c>
      <c r="L44" s="815"/>
      <c r="M44" s="816"/>
      <c r="N44" s="154"/>
      <c r="O44" s="59"/>
      <c r="P44" s="823"/>
      <c r="Q44" s="824"/>
      <c r="R44" s="824"/>
      <c r="S44" s="824"/>
      <c r="T44" s="824"/>
      <c r="U44" s="824"/>
      <c r="V44" s="824"/>
      <c r="W44" s="824"/>
      <c r="X44" s="824"/>
      <c r="Y44" s="824"/>
      <c r="Z44" s="824"/>
      <c r="AA44" s="825"/>
      <c r="AB44" s="828"/>
      <c r="AC44" s="828"/>
      <c r="AD44" s="828"/>
      <c r="AE44" s="828"/>
      <c r="AF44" s="828"/>
      <c r="AG44" s="828"/>
      <c r="AH44" s="828"/>
      <c r="AI44" s="828"/>
      <c r="AJ44" s="828"/>
      <c r="AK44" s="828"/>
      <c r="AL44" s="828"/>
      <c r="AM44" s="829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3475.9746351198669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3475.9746351198669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6" t="s">
        <v>400</v>
      </c>
      <c r="B45" s="141"/>
      <c r="C45" s="197"/>
      <c r="D45" s="198"/>
      <c r="E45" s="324">
        <f t="shared" si="0"/>
        <v>0</v>
      </c>
      <c r="F45" s="325">
        <f t="shared" si="76"/>
        <v>0</v>
      </c>
      <c r="G45" s="199" t="str">
        <f t="shared" si="124"/>
        <v/>
      </c>
      <c r="H45" s="334">
        <f t="shared" si="58"/>
        <v>0</v>
      </c>
      <c r="I45" s="435">
        <f t="shared" si="3"/>
        <v>0</v>
      </c>
      <c r="J45" s="59"/>
      <c r="K45" s="830" t="s">
        <v>450</v>
      </c>
      <c r="L45" s="815"/>
      <c r="M45" s="816"/>
      <c r="N45" s="300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3546.912892979456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3546.912892979456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6" t="s">
        <v>400</v>
      </c>
      <c r="B46" s="141"/>
      <c r="C46" s="197"/>
      <c r="D46" s="198"/>
      <c r="E46" s="324">
        <f t="shared" si="0"/>
        <v>0</v>
      </c>
      <c r="F46" s="325">
        <f t="shared" si="76"/>
        <v>0</v>
      </c>
      <c r="G46" s="199" t="str">
        <f t="shared" si="124"/>
        <v/>
      </c>
      <c r="H46" s="334">
        <f t="shared" si="58"/>
        <v>0</v>
      </c>
      <c r="I46" s="435">
        <f t="shared" si="3"/>
        <v>0</v>
      </c>
      <c r="J46" s="59"/>
      <c r="K46" s="834" t="s">
        <v>451</v>
      </c>
      <c r="L46" s="815"/>
      <c r="M46" s="816"/>
      <c r="N46" s="426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3619.2988703872002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3619.2988703872002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6" t="s">
        <v>400</v>
      </c>
      <c r="B47" s="141"/>
      <c r="C47" s="197"/>
      <c r="D47" s="198"/>
      <c r="E47" s="324">
        <f t="shared" si="0"/>
        <v>0</v>
      </c>
      <c r="F47" s="325">
        <f t="shared" si="76"/>
        <v>0</v>
      </c>
      <c r="G47" s="199" t="str">
        <f t="shared" si="124"/>
        <v/>
      </c>
      <c r="H47" s="334">
        <f t="shared" si="58"/>
        <v>0</v>
      </c>
      <c r="I47" s="435">
        <f t="shared" si="3"/>
        <v>0</v>
      </c>
      <c r="J47" s="59"/>
      <c r="K47" s="814" t="s">
        <v>452</v>
      </c>
      <c r="L47" s="815"/>
      <c r="M47" s="816"/>
      <c r="N47" s="426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3693.16211264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3693.16211264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6" t="s">
        <v>400</v>
      </c>
      <c r="B48" s="141"/>
      <c r="C48" s="197"/>
      <c r="D48" s="198"/>
      <c r="E48" s="324">
        <f t="shared" si="0"/>
        <v>0</v>
      </c>
      <c r="F48" s="325">
        <f t="shared" si="76"/>
        <v>0</v>
      </c>
      <c r="G48" s="199" t="str">
        <f t="shared" si="124"/>
        <v/>
      </c>
      <c r="H48" s="334">
        <f t="shared" si="58"/>
        <v>0</v>
      </c>
      <c r="I48" s="435">
        <f t="shared" si="3"/>
        <v>0</v>
      </c>
      <c r="J48" s="59"/>
      <c r="K48" s="817" t="s">
        <v>453</v>
      </c>
      <c r="L48" s="815"/>
      <c r="M48" s="816"/>
      <c r="N48" s="426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3768.532768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3768.532768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6" t="s">
        <v>400</v>
      </c>
      <c r="B49" s="141"/>
      <c r="C49" s="197"/>
      <c r="D49" s="198"/>
      <c r="E49" s="324">
        <f t="shared" si="0"/>
        <v>0</v>
      </c>
      <c r="F49" s="325">
        <f t="shared" si="76"/>
        <v>0</v>
      </c>
      <c r="G49" s="199" t="str">
        <f t="shared" si="124"/>
        <v/>
      </c>
      <c r="H49" s="334">
        <f t="shared" si="58"/>
        <v>0</v>
      </c>
      <c r="I49" s="435">
        <f t="shared" si="3"/>
        <v>0</v>
      </c>
      <c r="J49" s="59"/>
      <c r="K49" s="818" t="s">
        <v>454</v>
      </c>
      <c r="L49" s="815"/>
      <c r="M49" s="816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3845.4416000000001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3845.4416000000001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6" t="s">
        <v>400</v>
      </c>
      <c r="B50" s="141"/>
      <c r="C50" s="197"/>
      <c r="D50" s="198"/>
      <c r="E50" s="324">
        <f t="shared" si="0"/>
        <v>0</v>
      </c>
      <c r="F50" s="325">
        <f t="shared" si="76"/>
        <v>0</v>
      </c>
      <c r="G50" s="199" t="str">
        <f t="shared" si="124"/>
        <v/>
      </c>
      <c r="H50" s="334">
        <f t="shared" si="58"/>
        <v>0</v>
      </c>
      <c r="I50" s="435">
        <f t="shared" si="3"/>
        <v>0</v>
      </c>
      <c r="J50" s="59"/>
      <c r="K50" s="818" t="s">
        <v>455</v>
      </c>
      <c r="L50" s="815"/>
      <c r="M50" s="816"/>
      <c r="N50" s="160">
        <f ca="1">N49-TODAY()-N44</f>
        <v>26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3923.92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3923.92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6" t="s">
        <v>400</v>
      </c>
      <c r="B51" s="141"/>
      <c r="C51" s="197"/>
      <c r="D51" s="198"/>
      <c r="E51" s="324">
        <f t="shared" si="0"/>
        <v>0</v>
      </c>
      <c r="F51" s="325">
        <f t="shared" si="76"/>
        <v>0</v>
      </c>
      <c r="G51" s="199" t="str">
        <f t="shared" si="124"/>
        <v/>
      </c>
      <c r="H51" s="334">
        <f t="shared" si="58"/>
        <v>0</v>
      </c>
      <c r="I51" s="435">
        <f t="shared" si="3"/>
        <v>0</v>
      </c>
      <c r="J51" s="59"/>
      <c r="K51" s="818" t="s">
        <v>456</v>
      </c>
      <c r="L51" s="815"/>
      <c r="M51" s="816"/>
      <c r="N51" s="161">
        <f ca="1">N50/365</f>
        <v>7.1232876712328766E-2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4004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4004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6" t="s">
        <v>400</v>
      </c>
      <c r="B52" s="141"/>
      <c r="C52" s="197"/>
      <c r="D52" s="198"/>
      <c r="E52" s="324">
        <f t="shared" si="0"/>
        <v>0</v>
      </c>
      <c r="F52" s="325">
        <f t="shared" si="76"/>
        <v>0</v>
      </c>
      <c r="G52" s="199" t="str">
        <f t="shared" si="124"/>
        <v/>
      </c>
      <c r="H52" s="334">
        <f t="shared" si="58"/>
        <v>0</v>
      </c>
      <c r="I52" s="435">
        <f t="shared" si="3"/>
        <v>0</v>
      </c>
      <c r="J52" s="59"/>
      <c r="K52" s="819" t="s">
        <v>0</v>
      </c>
      <c r="L52" s="815"/>
      <c r="M52" s="816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4084.08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4084.08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6" t="s">
        <v>400</v>
      </c>
      <c r="B53" s="141"/>
      <c r="C53" s="197"/>
      <c r="D53" s="198"/>
      <c r="E53" s="324">
        <f t="shared" si="0"/>
        <v>0</v>
      </c>
      <c r="F53" s="325">
        <f t="shared" si="76"/>
        <v>0</v>
      </c>
      <c r="G53" s="199" t="str">
        <f t="shared" si="124"/>
        <v/>
      </c>
      <c r="H53" s="334">
        <f t="shared" si="58"/>
        <v>0</v>
      </c>
      <c r="I53" s="435">
        <f t="shared" si="3"/>
        <v>0</v>
      </c>
      <c r="J53" s="59"/>
      <c r="K53" s="831" t="s">
        <v>1</v>
      </c>
      <c r="L53" s="832"/>
      <c r="M53" s="833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4165.7615999999998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4165.7615999999998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6" t="s">
        <v>400</v>
      </c>
      <c r="B54" s="141"/>
      <c r="C54" s="197"/>
      <c r="D54" s="198"/>
      <c r="E54" s="324">
        <f t="shared" si="0"/>
        <v>0</v>
      </c>
      <c r="F54" s="325">
        <f t="shared" si="76"/>
        <v>0</v>
      </c>
      <c r="G54" s="199" t="str">
        <f t="shared" si="124"/>
        <v/>
      </c>
      <c r="H54" s="334">
        <f t="shared" si="58"/>
        <v>0</v>
      </c>
      <c r="I54" s="435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4249.0768319999997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4249.0768319999997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6" t="s">
        <v>400</v>
      </c>
      <c r="B55" s="141"/>
      <c r="C55" s="197"/>
      <c r="D55" s="198"/>
      <c r="E55" s="324">
        <f t="shared" si="0"/>
        <v>0</v>
      </c>
      <c r="F55" s="325">
        <f t="shared" si="76"/>
        <v>0</v>
      </c>
      <c r="G55" s="199" t="str">
        <f t="shared" si="124"/>
        <v/>
      </c>
      <c r="H55" s="334">
        <f t="shared" si="58"/>
        <v>0</v>
      </c>
      <c r="I55" s="435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4334.0583686399996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4334.0583686399996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6" t="s">
        <v>400</v>
      </c>
      <c r="B56" s="141"/>
      <c r="C56" s="197"/>
      <c r="D56" s="198"/>
      <c r="E56" s="324">
        <f t="shared" si="0"/>
        <v>0</v>
      </c>
      <c r="F56" s="325">
        <f t="shared" si="76"/>
        <v>0</v>
      </c>
      <c r="G56" s="199" t="str">
        <f t="shared" si="124"/>
        <v/>
      </c>
      <c r="H56" s="334">
        <f t="shared" si="58"/>
        <v>0</v>
      </c>
      <c r="I56" s="435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4420.7395360127994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4420.7395360127994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6" t="s">
        <v>400</v>
      </c>
      <c r="B57" s="141"/>
      <c r="C57" s="197"/>
      <c r="D57" s="198"/>
      <c r="E57" s="324">
        <f t="shared" si="0"/>
        <v>0</v>
      </c>
      <c r="F57" s="325">
        <f t="shared" si="76"/>
        <v>0</v>
      </c>
      <c r="G57" s="199" t="str">
        <f t="shared" si="124"/>
        <v/>
      </c>
      <c r="H57" s="334">
        <f t="shared" si="58"/>
        <v>0</v>
      </c>
      <c r="I57" s="435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4509.1543267330553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4509.1543267330553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6" t="s">
        <v>400</v>
      </c>
      <c r="B58" s="141"/>
      <c r="C58" s="197"/>
      <c r="D58" s="198"/>
      <c r="E58" s="324">
        <f t="shared" si="0"/>
        <v>0</v>
      </c>
      <c r="F58" s="325">
        <f t="shared" si="76"/>
        <v>0</v>
      </c>
      <c r="G58" s="199" t="str">
        <f t="shared" si="124"/>
        <v/>
      </c>
      <c r="H58" s="334">
        <f t="shared" si="58"/>
        <v>0</v>
      </c>
      <c r="I58" s="435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4599.3374132677163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4599.3374132677163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6" t="s">
        <v>400</v>
      </c>
      <c r="B59" s="141"/>
      <c r="C59" s="197"/>
      <c r="D59" s="198"/>
      <c r="E59" s="324">
        <f t="shared" si="0"/>
        <v>0</v>
      </c>
      <c r="F59" s="325">
        <f t="shared" si="76"/>
        <v>0</v>
      </c>
      <c r="G59" s="199" t="str">
        <f t="shared" si="124"/>
        <v/>
      </c>
      <c r="H59" s="334">
        <f t="shared" si="58"/>
        <v>0</v>
      </c>
      <c r="I59" s="435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4691.3241615330708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4691.3241615330708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6" t="s">
        <v>400</v>
      </c>
      <c r="B60" s="141"/>
      <c r="C60" s="197"/>
      <c r="D60" s="198"/>
      <c r="E60" s="324">
        <f t="shared" si="0"/>
        <v>0</v>
      </c>
      <c r="F60" s="325">
        <f t="shared" si="76"/>
        <v>0</v>
      </c>
      <c r="G60" s="199" t="str">
        <f t="shared" si="124"/>
        <v/>
      </c>
      <c r="H60" s="334">
        <f t="shared" si="58"/>
        <v>0</v>
      </c>
      <c r="I60" s="435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4785.1506447637321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4785.1506447637321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6" t="s">
        <v>400</v>
      </c>
      <c r="B61" s="141"/>
      <c r="C61" s="197"/>
      <c r="D61" s="198"/>
      <c r="E61" s="324">
        <f t="shared" si="0"/>
        <v>0</v>
      </c>
      <c r="F61" s="325">
        <f t="shared" si="76"/>
        <v>0</v>
      </c>
      <c r="G61" s="199" t="str">
        <f t="shared" si="124"/>
        <v/>
      </c>
      <c r="H61" s="334">
        <f t="shared" si="58"/>
        <v>0</v>
      </c>
      <c r="I61" s="435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4880.8536576590068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4880.8536576590068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6" t="s">
        <v>400</v>
      </c>
      <c r="B62" s="141"/>
      <c r="C62" s="197"/>
      <c r="D62" s="198"/>
      <c r="E62" s="324">
        <f t="shared" si="0"/>
        <v>0</v>
      </c>
      <c r="F62" s="325">
        <f t="shared" si="76"/>
        <v>0</v>
      </c>
      <c r="G62" s="199" t="str">
        <f t="shared" si="124"/>
        <v/>
      </c>
      <c r="H62" s="334">
        <f t="shared" si="58"/>
        <v>0</v>
      </c>
      <c r="I62" s="435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4978.470730812187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4978.470730812187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6" t="s">
        <v>400</v>
      </c>
      <c r="B63" s="141"/>
      <c r="C63" s="197"/>
      <c r="D63" s="198"/>
      <c r="E63" s="324">
        <f t="shared" si="0"/>
        <v>0</v>
      </c>
      <c r="F63" s="325">
        <f t="shared" si="76"/>
        <v>0</v>
      </c>
      <c r="G63" s="199" t="str">
        <f t="shared" si="124"/>
        <v/>
      </c>
      <c r="H63" s="334">
        <f t="shared" si="58"/>
        <v>0</v>
      </c>
      <c r="I63" s="435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5078.0401454284311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5078.0401454284311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6" t="s">
        <v>400</v>
      </c>
      <c r="B64" s="141"/>
      <c r="C64" s="197"/>
      <c r="D64" s="198"/>
      <c r="E64" s="324">
        <f t="shared" si="0"/>
        <v>0</v>
      </c>
      <c r="F64" s="325">
        <f t="shared" si="76"/>
        <v>0</v>
      </c>
      <c r="G64" s="199" t="str">
        <f t="shared" si="124"/>
        <v/>
      </c>
      <c r="H64" s="334">
        <f t="shared" si="58"/>
        <v>0</v>
      </c>
      <c r="I64" s="435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5179.6009483369999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5179.6009483369999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6" t="s">
        <v>400</v>
      </c>
      <c r="B65" s="141"/>
      <c r="C65" s="197"/>
      <c r="D65" s="198"/>
      <c r="E65" s="324">
        <f t="shared" si="0"/>
        <v>0</v>
      </c>
      <c r="F65" s="325">
        <f t="shared" si="76"/>
        <v>0</v>
      </c>
      <c r="G65" s="199" t="str">
        <f t="shared" si="124"/>
        <v/>
      </c>
      <c r="H65" s="334">
        <f t="shared" si="58"/>
        <v>0</v>
      </c>
      <c r="I65" s="435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5283.1929673037403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5283.1929673037403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6" t="s">
        <v>400</v>
      </c>
      <c r="B66" s="141"/>
      <c r="C66" s="197"/>
      <c r="D66" s="198"/>
      <c r="E66" s="324">
        <f t="shared" si="0"/>
        <v>0</v>
      </c>
      <c r="F66" s="325">
        <f t="shared" si="76"/>
        <v>0</v>
      </c>
      <c r="G66" s="199" t="str">
        <f t="shared" si="124"/>
        <v/>
      </c>
      <c r="H66" s="334">
        <f t="shared" si="58"/>
        <v>0</v>
      </c>
      <c r="I66" s="435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5388.856826649815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5388.856826649815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6" t="s">
        <v>400</v>
      </c>
      <c r="B67" s="141"/>
      <c r="C67" s="197"/>
      <c r="D67" s="198"/>
      <c r="E67" s="324">
        <f t="shared" si="0"/>
        <v>0</v>
      </c>
      <c r="F67" s="325">
        <f t="shared" ref="F67:F72" si="125">IF(B67&gt;0,+B67*D67*(1+($N$53+0.002)*1.21)*-100,B67*D67*(1-($N$53+0.002)*1.21)*-100)</f>
        <v>0</v>
      </c>
      <c r="G67" s="199" t="str">
        <f t="shared" si="124"/>
        <v/>
      </c>
      <c r="H67" s="334">
        <f t="shared" si="58"/>
        <v>0</v>
      </c>
      <c r="I67" s="435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5496.6339631828114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5496.6339631828114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6" t="s">
        <v>400</v>
      </c>
      <c r="B68" s="141"/>
      <c r="C68" s="197"/>
      <c r="D68" s="198"/>
      <c r="E68" s="324">
        <f t="shared" si="0"/>
        <v>0</v>
      </c>
      <c r="F68" s="325">
        <f t="shared" si="125"/>
        <v>0</v>
      </c>
      <c r="G68" s="199" t="str">
        <f t="shared" si="124"/>
        <v/>
      </c>
      <c r="H68" s="334">
        <f>IFERROR(+G68*B68*-100,0)</f>
        <v>0</v>
      </c>
      <c r="I68" s="435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6" t="s">
        <v>400</v>
      </c>
      <c r="B69" s="141"/>
      <c r="C69" s="197"/>
      <c r="D69" s="198"/>
      <c r="E69" s="324">
        <f t="shared" si="0"/>
        <v>0</v>
      </c>
      <c r="F69" s="325">
        <f t="shared" si="125"/>
        <v>0</v>
      </c>
      <c r="G69" s="199" t="str">
        <f t="shared" si="124"/>
        <v/>
      </c>
      <c r="H69" s="334">
        <f>IFERROR(+G69*B69*-100,0)</f>
        <v>0</v>
      </c>
      <c r="I69" s="435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6" t="s">
        <v>400</v>
      </c>
      <c r="B70" s="141"/>
      <c r="C70" s="197"/>
      <c r="D70" s="198"/>
      <c r="E70" s="324">
        <f t="shared" si="0"/>
        <v>0</v>
      </c>
      <c r="F70" s="325">
        <f t="shared" si="125"/>
        <v>0</v>
      </c>
      <c r="G70" s="199" t="str">
        <f t="shared" si="124"/>
        <v/>
      </c>
      <c r="H70" s="334">
        <f>IFERROR(+G70*B70*-100,0)</f>
        <v>0</v>
      </c>
      <c r="I70" s="435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2957.2306869921972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2957.2306869921972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6" t="s">
        <v>400</v>
      </c>
      <c r="B71" s="141"/>
      <c r="C71" s="197"/>
      <c r="D71" s="198"/>
      <c r="E71" s="324">
        <f t="shared" si="0"/>
        <v>0</v>
      </c>
      <c r="F71" s="325">
        <f t="shared" si="125"/>
        <v>0</v>
      </c>
      <c r="G71" s="199" t="str">
        <f t="shared" si="124"/>
        <v/>
      </c>
      <c r="H71" s="334">
        <f>IFERROR(+G71*B71*-100,0)</f>
        <v>0</v>
      </c>
      <c r="I71" s="435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3017.5823336655076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3017.5823336655076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6" t="s">
        <v>400</v>
      </c>
      <c r="B72" s="175"/>
      <c r="C72" s="204"/>
      <c r="D72" s="205"/>
      <c r="E72" s="326">
        <f t="shared" si="0"/>
        <v>0</v>
      </c>
      <c r="F72" s="327">
        <f t="shared" si="125"/>
        <v>0</v>
      </c>
      <c r="G72" s="203" t="str">
        <f t="shared" si="124"/>
        <v/>
      </c>
      <c r="H72" s="335">
        <f>IFERROR(+G72*B72*-100,0)</f>
        <v>0</v>
      </c>
      <c r="I72" s="436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3079.165646597457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3079.165646597457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11" t="s">
        <v>402</v>
      </c>
      <c r="B73" s="176"/>
      <c r="C73" s="177"/>
      <c r="D73" s="178"/>
      <c r="E73" s="328">
        <f>-C73*B73</f>
        <v>0</v>
      </c>
      <c r="F73" s="329">
        <f>IF(B73&gt;0,-C73*(1+($N$52+0.0008)*1.21)*B73,-C73*(1-($N$52+0.0008)*1.21)*B73)</f>
        <v>0</v>
      </c>
      <c r="G73" s="207">
        <f>B76</f>
        <v>4004</v>
      </c>
      <c r="H73" s="336">
        <f>-G73*B73</f>
        <v>0</v>
      </c>
      <c r="I73" s="437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3142.0057618341398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3142.0057618341398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12"/>
      <c r="B74" s="141"/>
      <c r="C74" s="122"/>
      <c r="D74" s="179"/>
      <c r="E74" s="330">
        <f>-C74*B74</f>
        <v>0</v>
      </c>
      <c r="F74" s="331">
        <f>IF(B74&gt;0,-C74*(1+($N$52+0.0008)*1.21)*B74,-C74*(1-($N$52+0.0008)*1.21)*B74)</f>
        <v>0</v>
      </c>
      <c r="G74" s="207">
        <f>G73</f>
        <v>4004</v>
      </c>
      <c r="H74" s="336">
        <f>-G74*B74</f>
        <v>0</v>
      </c>
      <c r="I74" s="437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3206.1283284021833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3206.1283284021833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13"/>
      <c r="B75" s="175"/>
      <c r="C75" s="180"/>
      <c r="D75" s="181"/>
      <c r="E75" s="332">
        <f>-C75*B75</f>
        <v>0</v>
      </c>
      <c r="F75" s="333">
        <f>IF(B75&gt;0,-C75*(1+($N$52+0.0008)*1.21)*B75,-C75*(1-($N$52+0.0008)*1.21)*B75)</f>
        <v>0</v>
      </c>
      <c r="G75" s="208">
        <f>G74</f>
        <v>4004</v>
      </c>
      <c r="H75" s="337">
        <f>-G75*B75</f>
        <v>0</v>
      </c>
      <c r="I75" s="438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3271.559518777738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3271.559518777738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3">
        <f>IFERROR(VLOOKUP("GGAL - 48hs",HomeBroker!$A$18:$F$104,6,0),0)</f>
        <v>4004</v>
      </c>
      <c r="C76" s="183"/>
      <c r="D76" s="184" t="s">
        <v>458</v>
      </c>
      <c r="E76" s="301">
        <f>SUM(E3:E75)</f>
        <v>-84000</v>
      </c>
      <c r="F76" s="302">
        <f>SUM(F3:F75)</f>
        <v>-84213.443999999989</v>
      </c>
      <c r="G76" s="185"/>
      <c r="H76" s="186"/>
      <c r="I76" s="434">
        <f>SUM(I3:I75)</f>
        <v>536786.55599999998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3338.3260395691204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3338.3260395691204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3406.4551424174697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3406.4551424174697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3475.9746351198669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3475.9746351198669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3546.912892979456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3546.912892979456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3619.2988703872002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3619.2988703872002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3693.16211264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3693.16211264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3768.532768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3768.532768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3845.4416000000001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3845.4416000000001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3923.92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3923.92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4004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4004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4084.08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69839.999999999243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69839.999999999243</v>
      </c>
      <c r="EU86" s="69"/>
      <c r="EV86" s="114">
        <f t="shared" si="168"/>
        <v>4084.08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4165.7615999999998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314884.79999999888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314884.79999999888</v>
      </c>
      <c r="EU87" s="69"/>
      <c r="EV87" s="114">
        <f t="shared" si="168"/>
        <v>4165.7615999999998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4249.0768319999997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564830.49599999865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564830.49599999865</v>
      </c>
      <c r="EU88" s="69"/>
      <c r="EV88" s="114">
        <f t="shared" si="168"/>
        <v>4249.0768319999997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4334.0583686399996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819775.10591999814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819775.10591999814</v>
      </c>
      <c r="EU89" s="69"/>
      <c r="EV89" s="114">
        <f t="shared" si="168"/>
        <v>4334.0583686399996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4420.7395360127994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1079818.6080383975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1079818.6080383975</v>
      </c>
      <c r="EU90" s="69"/>
      <c r="EV90" s="114">
        <f t="shared" si="168"/>
        <v>4420.7395360127994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4509.1543267330553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1345062.9801991654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1345062.9801991654</v>
      </c>
      <c r="EU91" s="69"/>
      <c r="EV91" s="114">
        <f t="shared" si="168"/>
        <v>4509.1543267330553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4599.3374132677163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1615612.2398031484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1615612.2398031484</v>
      </c>
      <c r="EU92" s="69"/>
      <c r="EV92" s="114">
        <f t="shared" si="168"/>
        <v>4599.3374132677163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4691.3241615330708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1891572.4845992117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1891572.4845992117</v>
      </c>
      <c r="EU93" s="69"/>
      <c r="EV93" s="114">
        <f t="shared" si="168"/>
        <v>4691.3241615330708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4785.1506447637321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2173051.9342911956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2173051.9342911956</v>
      </c>
      <c r="EU94" s="69"/>
      <c r="EV94" s="114">
        <f t="shared" si="168"/>
        <v>4785.1506447637321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4880.8536576590068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2460160.9729770198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2460160.9729770198</v>
      </c>
      <c r="EU95" s="69"/>
      <c r="EV95" s="114">
        <f t="shared" si="168"/>
        <v>4880.8536576590068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4978.470730812187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2753012.1924365605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2753012.1924365605</v>
      </c>
      <c r="EU96" s="69"/>
      <c r="EV96" s="114">
        <f t="shared" si="168"/>
        <v>4978.470730812187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5078.0401454284311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3051720.4362852927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3051720.4362852927</v>
      </c>
      <c r="EU97" s="69"/>
      <c r="EV97" s="114">
        <f t="shared" si="168"/>
        <v>5078.0401454284311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5179.6009483369999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3356402.8450109991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3356402.8450109991</v>
      </c>
      <c r="EU98" s="69"/>
      <c r="EV98" s="114">
        <f t="shared" si="168"/>
        <v>5179.6009483369999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5283.1929673037403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3667178.90191122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3667178.90191122</v>
      </c>
      <c r="EU99" s="69"/>
      <c r="EV99" s="114">
        <f t="shared" si="168"/>
        <v>5283.1929673037403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5388.856826649815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3984170.4799494445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3984170.4799494445</v>
      </c>
      <c r="EU100" s="69"/>
      <c r="EV100" s="114">
        <f t="shared" si="168"/>
        <v>5388.856826649815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5496.6339631828114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4307501.8895484339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4307501.8895484339</v>
      </c>
      <c r="EU101" s="69"/>
      <c r="EV101" s="114">
        <f t="shared" si="168"/>
        <v>5496.6339631828114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2957.2306869921972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2957.2306869921972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3017.5823336655076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3017.5823336655076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3079.165646597457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3079.165646597457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3142.0057618341398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3142.0057618341398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3206.1283284021833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3206.1283284021833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3271.559518777738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3271.559518777738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3338.3260395691204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3338.3260395691204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3406.4551424174697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3406.4551424174697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3475.9746351198669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3475.9746351198669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3546.912892979456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3546.912892979456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3619.2988703872002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3619.2988703872002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3693.16211264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3693.16211264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3768.532768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3768.532768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3845.4416000000001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3845.4416000000001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3923.92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3923.92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4004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4004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4084.08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4084.08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4165.7615999999998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4165.7615999999998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4249.0768319999997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4249.0768319999997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4334.0583686399996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4334.0583686399996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4420.7395360127994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4420.7395360127994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4509.1543267330553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4509.1543267330553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4599.3374132677163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4599.3374132677163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4691.3241615330708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4691.3241615330708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4785.1506447637321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4785.1506447637321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4880.8536576590068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4880.8536576590068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4978.470730812187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4978.470730812187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5078.0401454284311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5078.0401454284311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5179.6009483369999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5179.6009483369999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5283.1929673037403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5283.1929673037403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5388.856826649815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5388.856826649815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5496.6339631828114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5496.6339631828114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7" sqref="E1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627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628</v>
      </c>
      <c r="B3" s="19"/>
      <c r="C3" s="18"/>
      <c r="D3" s="19"/>
      <c r="E3" s="18" t="s">
        <v>335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629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630</v>
      </c>
      <c r="B5" s="19"/>
      <c r="C5" s="18"/>
      <c r="D5" s="19"/>
      <c r="E5" s="18" t="s">
        <v>2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631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632</v>
      </c>
      <c r="B7" s="19"/>
      <c r="C7" s="18"/>
      <c r="D7" s="19"/>
      <c r="E7" s="18" t="s">
        <v>3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633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634</v>
      </c>
      <c r="B9" s="19"/>
      <c r="C9" s="18"/>
      <c r="D9" s="19"/>
      <c r="E9" s="18" t="s">
        <v>4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635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51" t="s">
        <v>636</v>
      </c>
      <c r="B11" s="19"/>
      <c r="C11" s="18"/>
      <c r="D11" s="19"/>
      <c r="E11" s="18" t="s">
        <v>5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637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638</v>
      </c>
      <c r="B13" s="19"/>
      <c r="C13" s="18"/>
      <c r="D13" s="19"/>
      <c r="E13" s="18" t="s">
        <v>6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639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640</v>
      </c>
      <c r="B15" s="19"/>
      <c r="C15" s="18"/>
      <c r="D15" s="19"/>
      <c r="E15" s="18" t="s">
        <v>7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641</v>
      </c>
      <c r="B16" s="19"/>
      <c r="C16" s="18"/>
      <c r="D16" s="19"/>
      <c r="E16" s="18" t="s">
        <v>657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642</v>
      </c>
      <c r="B17" s="19"/>
      <c r="C17" s="18"/>
      <c r="D17" s="19"/>
      <c r="E17" s="18" t="s">
        <v>658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643</v>
      </c>
      <c r="B18" s="19"/>
      <c r="C18" s="18"/>
      <c r="D18" s="19"/>
      <c r="E18" s="18" t="s">
        <v>659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644</v>
      </c>
      <c r="B19" s="19"/>
      <c r="C19" s="18"/>
      <c r="D19" s="19"/>
      <c r="E19" s="18" t="s">
        <v>660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645</v>
      </c>
      <c r="B20" s="19"/>
      <c r="C20" s="18"/>
      <c r="D20" s="19"/>
      <c r="E20" s="18" t="s">
        <v>661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50" t="s">
        <v>646</v>
      </c>
      <c r="B21" s="19"/>
      <c r="C21" s="18"/>
      <c r="D21" s="19"/>
      <c r="E21" s="18" t="s">
        <v>662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652</v>
      </c>
      <c r="B22" s="19"/>
      <c r="C22" s="18"/>
      <c r="D22" s="19"/>
      <c r="E22" s="18" t="s">
        <v>663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653</v>
      </c>
      <c r="B23" s="528"/>
      <c r="C23" s="18"/>
      <c r="D23" s="19"/>
      <c r="E23" s="18" t="s">
        <v>664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654</v>
      </c>
      <c r="B24" s="19"/>
      <c r="C24" s="18"/>
      <c r="D24" s="19"/>
      <c r="E24" s="18" t="s">
        <v>665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655</v>
      </c>
      <c r="B25" s="19"/>
      <c r="C25" s="18"/>
      <c r="D25" s="19"/>
      <c r="E25" s="18" t="s">
        <v>666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656</v>
      </c>
      <c r="B26" s="19"/>
      <c r="C26" s="18"/>
      <c r="D26" s="19"/>
      <c r="E26" s="18" t="s">
        <v>667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647</v>
      </c>
      <c r="B27" s="19"/>
      <c r="C27" s="18"/>
      <c r="D27" s="19"/>
      <c r="E27" s="18" t="s">
        <v>668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648</v>
      </c>
      <c r="B28" s="19"/>
      <c r="C28" s="18"/>
      <c r="D28" s="19"/>
      <c r="E28" s="18" t="s">
        <v>546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649</v>
      </c>
      <c r="B29" s="19"/>
      <c r="C29" s="18"/>
      <c r="D29" s="19"/>
      <c r="E29" s="18" t="s">
        <v>182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650</v>
      </c>
      <c r="B30" s="19"/>
      <c r="C30" s="18"/>
      <c r="D30" s="19"/>
      <c r="E30" s="18" t="s">
        <v>547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51" t="s">
        <v>651</v>
      </c>
      <c r="B31" s="19"/>
      <c r="C31" s="18"/>
      <c r="D31" s="19"/>
      <c r="E31" s="18" t="s">
        <v>229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548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230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540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185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541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237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542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238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543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183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544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239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545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240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549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184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550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241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551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242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552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186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553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554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555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163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556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219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557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220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561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562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233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563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234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558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559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235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560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236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564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188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565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275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566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276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567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568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570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571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572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536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538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539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573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574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575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576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577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578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580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581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582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583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584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585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589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590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591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592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593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594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595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596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597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598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599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600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601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602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603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604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605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606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607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608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609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610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611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612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613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614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615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616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617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618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619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620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623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624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621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622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2024-05-24T20:01:03Z</dcterms:modified>
</cp:coreProperties>
</file>