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DB8381B2-5F2C-4DF5-B978-07B9051EBAB4}" xr6:coauthVersionLast="47" xr6:coauthVersionMax="47" xr10:uidLastSave="{00000000-0000-0000-0000-000000000000}"/>
  <bookViews>
    <workbookView xWindow="630" yWindow="63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9" i="38" l="1"/>
  <c r="Y48" i="38"/>
  <c r="Y47" i="38"/>
  <c r="Y42" i="38"/>
  <c r="Y41" i="38"/>
  <c r="Y40" i="38"/>
  <c r="AA61" i="38"/>
  <c r="AA59" i="38"/>
  <c r="AA58" i="38"/>
  <c r="AA57" i="38"/>
  <c r="AA56" i="38"/>
  <c r="AA55" i="38"/>
  <c r="AA54" i="38"/>
  <c r="AA53" i="38"/>
  <c r="AA52" i="38"/>
  <c r="AA51" i="38"/>
  <c r="AA50" i="38"/>
  <c r="AA42" i="38"/>
  <c r="AA38" i="38"/>
  <c r="AA37" i="38"/>
  <c r="AA36" i="38"/>
  <c r="AA34" i="38"/>
  <c r="AA33" i="38"/>
  <c r="AA31" i="38"/>
  <c r="Z39" i="38"/>
  <c r="AA39" i="38" s="1"/>
  <c r="Z38" i="38"/>
  <c r="Z37" i="38"/>
  <c r="Z36" i="38"/>
  <c r="Z35" i="38"/>
  <c r="AA35" i="38" s="1"/>
  <c r="Z34" i="38"/>
  <c r="Z33" i="38"/>
  <c r="Z32" i="38"/>
  <c r="AA32" i="38" s="1"/>
  <c r="Z31" i="38"/>
  <c r="Z30" i="38"/>
  <c r="AA30" i="38" s="1"/>
  <c r="Z49" i="38"/>
  <c r="AA49" i="38" s="1"/>
  <c r="Z48" i="38"/>
  <c r="AA48" i="38" s="1"/>
  <c r="Z47" i="38"/>
  <c r="AA47" i="38" s="1"/>
  <c r="Z46" i="38"/>
  <c r="AA46" i="38" s="1"/>
  <c r="Z45" i="38"/>
  <c r="AA45" i="38" s="1"/>
  <c r="Z44" i="38"/>
  <c r="AA44" i="38" s="1"/>
  <c r="Z43" i="38"/>
  <c r="AA43" i="38" s="1"/>
  <c r="Z42" i="38"/>
  <c r="Z41" i="38"/>
  <c r="AA41" i="38" s="1"/>
  <c r="Z40" i="38"/>
  <c r="AA40" i="38" s="1"/>
  <c r="AB30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Z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B1" i="38" s="1"/>
  <c r="Z67" i="38" s="1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59" i="38"/>
  <c r="AB58" i="38"/>
  <c r="AB57" i="38"/>
  <c r="AB56" i="38"/>
  <c r="AB55" i="38"/>
  <c r="AB54" i="38"/>
  <c r="AB53" i="38"/>
  <c r="AB52" i="38"/>
  <c r="AB51" i="38"/>
  <c r="AB50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31" i="38"/>
  <c r="AB32" i="38"/>
  <c r="AB33" i="38"/>
  <c r="AB34" i="38"/>
  <c r="AB35" i="38"/>
  <c r="AB36" i="38"/>
  <c r="AB37" i="38"/>
  <c r="AB38" i="38"/>
  <c r="AB39" i="38"/>
  <c r="AB41" i="38"/>
  <c r="AB42" i="38"/>
  <c r="AB43" i="38"/>
  <c r="AB44" i="38"/>
  <c r="AB45" i="38"/>
  <c r="AB46" i="38"/>
  <c r="AB47" i="38"/>
  <c r="AB48" i="38"/>
  <c r="AB49" i="38"/>
  <c r="AB40" i="38"/>
  <c r="AD1" i="38"/>
  <c r="AE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Y59" i="38"/>
  <c r="Y58" i="38"/>
  <c r="Y57" i="38"/>
  <c r="Y56" i="38"/>
  <c r="Y55" i="38"/>
  <c r="Y54" i="38"/>
  <c r="Y53" i="38"/>
  <c r="Y52" i="38"/>
  <c r="Y51" i="38"/>
  <c r="Y50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88" i="38" l="1"/>
  <c r="AA27" i="38"/>
  <c r="AA26" i="38"/>
  <c r="Z101" i="38"/>
  <c r="Z26" i="38"/>
  <c r="Z160" i="38"/>
  <c r="Z119" i="38"/>
  <c r="Z95" i="38"/>
  <c r="Z161" i="38"/>
  <c r="Z118" i="38"/>
  <c r="Z85" i="38"/>
  <c r="Z142" i="38"/>
  <c r="Z106" i="38"/>
  <c r="Z107" i="38"/>
  <c r="Z143" i="38"/>
  <c r="Z79" i="38"/>
  <c r="Z77" i="38"/>
  <c r="Z108" i="38"/>
  <c r="Z71" i="38"/>
  <c r="Z84" i="38"/>
  <c r="Z64" i="38"/>
  <c r="Z96" i="38"/>
  <c r="Z138" i="38"/>
  <c r="Z156" i="38"/>
  <c r="Z76" i="38"/>
  <c r="Z78" i="38"/>
  <c r="Z70" i="38"/>
  <c r="Z72" i="38"/>
  <c r="Z90" i="38"/>
  <c r="Z102" i="38"/>
  <c r="Z114" i="38"/>
  <c r="Z120" i="38"/>
  <c r="Z126" i="38"/>
  <c r="Z132" i="38"/>
  <c r="Z144" i="38"/>
  <c r="Z150" i="38"/>
  <c r="Z162" i="38"/>
  <c r="Z73" i="38"/>
  <c r="Z91" i="38"/>
  <c r="Z97" i="38"/>
  <c r="Z103" i="38"/>
  <c r="Z109" i="38"/>
  <c r="Z115" i="38"/>
  <c r="Z121" i="38"/>
  <c r="Z127" i="38"/>
  <c r="Z133" i="38"/>
  <c r="Z139" i="38"/>
  <c r="Z145" i="38"/>
  <c r="Z151" i="38"/>
  <c r="Z157" i="38"/>
  <c r="Z163" i="38"/>
  <c r="Z66" i="38"/>
  <c r="Z65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23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Y19" i="38"/>
  <c r="Y20" i="38" s="1"/>
  <c r="Z20" i="38" s="1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<sst xmlns="http://schemas.openxmlformats.org/spreadsheetml/2006/main" count="1532" uniqueCount="671">
  <si>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</si>
  <si>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</si>
  <si>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</si>
  <si>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</si>
  <si>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</si>
  <si>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</si>
  <si>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</si>
  <si>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</si>
  <si>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</si>
  <si>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</si>
  <si>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</si>
  <si>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</si>
  <si>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</si>
  <si>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</si>
  <si>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</si>
  <si>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</si>
  <si>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</si>
  <si>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</si>
  <si>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</si>
  <si>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</si>
  <si>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</si>
  <si>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</si>
  <si>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</si>
  <si>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</si>
  <si>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</si>
  <si>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</si>
  <si>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</si>
  <si>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</si>
  <si>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</si>
  <si>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</si>
  <si>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</si>
  <si>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</si>
  <si>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</si>
  <si>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</si>
  <si>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</si>
  <si>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</si>
  <si>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</si>
  <si>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</si>
  <si>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</si>
  <si>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</si>
  <si>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</si>
  <si>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</si>
  <si>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</si>
  <si>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</si>
  <si>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</si>
  <si>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</si>
  <si>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</si>
  <si>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</si>
  <si>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</si>
  <si>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</si>
  <si>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</si>
  <si>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</si>
  <si>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</si>
  <si>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</si>
  <si>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</si>
  <si>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</si>
  <si>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</si>
  <si>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</si>
  <si>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</si>
  <si>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</si>
  <si>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</si>
  <si>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</si>
  <si>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</si>
  <si>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</si>
  <si>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</si>
  <si>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</si>
  <si>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</si>
  <si>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</si>
  <si>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</si>
  <si>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</si>
  <si>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</si>
  <si>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</si>
  <si>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</si>
  <si>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</si>
  <si>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</si>
  <si>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</si>
  <si>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</si>
  <si>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</si>
  <si>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</si>
  <si>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</si>
  <si>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</si>
  <si>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</si>
  <si>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</si>
  <si>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</si>
  <si>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</si>
  <si>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</si>
  <si>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</si>
  <si>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</si>
  <si>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</si>
  <si>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</si>
  <si>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</si>
  <si>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</si>
  <si>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</si>
  <si>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</si>
  <si>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</si>
  <si>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</si>
  <si>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</si>
  <si>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</si>
  <si>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</si>
  <si>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</si>
  <si>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</si>
  <si>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</si>
  <si>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</si>
  <si>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</si>
  <si>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</si>
  <si>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</si>
  <si>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</si>
  <si>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</si>
  <si>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</si>
  <si>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</si>
  <si>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</si>
  <si>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</si>
  <si>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</si>
  <si>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</si>
  <si>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</si>
  <si>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</si>
  <si>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</si>
  <si>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</si>
  <si>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</si>
  <si>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</si>
  <si>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</si>
  <si>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</si>
  <si>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</si>
  <si>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</si>
  <si>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</si>
  <si>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</si>
  <si>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</si>
  <si>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</si>
  <si>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</si>
  <si>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</si>
  <si>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</si>
  <si>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</si>
  <si>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</si>
  <si>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</si>
  <si>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</si>
  <si>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</si>
  <si>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</si>
  <si>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</si>
  <si>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</si>
  <si>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</si>
  <si>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</si>
  <si>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</si>
  <si>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</si>
  <si>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</si>
  <si>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</si>
  <si>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</si>
  <si>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</si>
  <si>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</si>
  <si>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</si>
  <si>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</si>
  <si>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</si>
  <si>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</si>
  <si>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</si>
  <si>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</si>
  <si>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</si>
  <si>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</si>
  <si>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</si>
  <si>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</si>
  <si>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</si>
  <si>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</si>
  <si>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</si>
  <si>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</si>
  <si>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</si>
  <si>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</si>
  <si>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</si>
  <si>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</si>
  <si>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</si>
  <si>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</si>
  <si>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</si>
  <si>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</si>
  <si>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</si>
  <si>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</si>
  <si>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</si>
  <si>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</si>
  <si>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</si>
  <si>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</si>
  <si>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</si>
  <si>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</si>
  <si>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</si>
  <si>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</si>
  <si>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</si>
  <si>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</si>
  <si>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</si>
  <si>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</si>
  <si>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</si>
  <si>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</si>
  <si>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</si>
  <si>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</si>
  <si>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</si>
  <si>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</si>
  <si>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</si>
  <si>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</si>
  <si>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</si>
  <si>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</si>
  <si>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</si>
  <si>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</si>
  <si>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</si>
  <si>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</si>
  <si>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</si>
  <si>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</si>
  <si>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</si>
  <si>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</si>
  <si>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</si>
  <si>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</si>
  <si>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</si>
  <si>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</si>
  <si>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</si>
  <si>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</si>
  <si>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</si>
  <si>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</si>
  <si>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</si>
  <si>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</si>
  <si>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</si>
  <si>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</si>
  <si>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</si>
  <si>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</si>
  <si>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</si>
  <si>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</si>
  <si>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</si>
  <si>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</si>
  <si>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</si>
  <si>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</si>
  <si>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</si>
  <si>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</si>
  <si>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</si>
  <si>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</si>
  <si>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</si>
  <si>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</si>
  <si>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</si>
  <si>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</si>
  <si>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</si>
  <si>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</si>
  <si>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</si>
  <si>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</si>
  <si>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</si>
  <si>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</si>
  <si>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</si>
  <si>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</si>
  <si>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</si>
  <si>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</si>
  <si>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</si>
  <si>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</si>
  <si>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</si>
  <si>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</si>
  <si>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</si>
  <si>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</si>
  <si>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</si>
  <si>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</si>
  <si>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</si>
  <si>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</si>
  <si>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</si>
  <si>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</si>
  <si>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</si>
  <si>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</si>
  <si>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</si>
  <si>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</si>
  <si>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</si>
  <si>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</si>
  <si>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</si>
  <si>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</si>
  <si>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</si>
  <si>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</si>
  <si>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</si>
  <si>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</si>
  <si>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</si>
  <si>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</si>
  <si>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</si>
  <si>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</si>
  <si>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</si>
  <si>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</si>
  <si>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</si>
  <si>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</si>
  <si>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</si>
  <si>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</si>
  <si>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</si>
  <si>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</si>
  <si>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</si>
  <si>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</si>
  <si>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</si>
  <si>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</si>
  <si>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</si>
  <si>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</si>
  <si>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</si>
  <si>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</si>
  <si>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</si>
  <si>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</si>
  <si>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</si>
  <si>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</si>
  <si>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</si>
  <si>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</si>
  <si>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</si>
  <si>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</si>
  <si>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</si>
  <si>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</si>
  <si>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</si>
  <si>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</si>
  <si>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</si>
  <si>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</si>
  <si>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</si>
  <si>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</si>
  <si>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</si>
  <si>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</si>
  <si>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</si>
  <si>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</si>
  <si>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</si>
  <si>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</si>
  <si>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</si>
  <si>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</si>
  <si>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</si>
  <si>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</si>
  <si>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</si>
  <si>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</si>
  <si>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</si>
  <si>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</si>
  <si>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</si>
  <si>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</si>
  <si>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</si>
  <si>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</si>
  <si>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</si>
  <si>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</si>
  <si>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</si>
  <si>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</si>
  <si>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</si>
  <si>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</si>
  <si>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</si>
  <si>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</si>
  <si>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</si>
  <si>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</si>
  <si>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</si>
  <si>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</si>
  <si>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</si>
  <si>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</si>
  <si>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</si>
  <si>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</si>
  <si>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</si>
  <si>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</si>
  <si>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</si>
  <si>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</si>
  <si>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</si>
  <si>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</si>
  <si>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</si>
  <si>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</si>
  <si>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</si>
  <si>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</si>
  <si>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</si>
  <si>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</si>
  <si>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</si>
  <si>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</si>
  <si>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</si>
  <si>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</si>
  <si>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</si>
  <si>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</si>
  <si>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</si>
  <si>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</si>
  <si>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</si>
  <si>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</si>
  <si>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</si>
  <si>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</si>
  <si>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</si>
  <si>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</si>
  <si>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</si>
  <si>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</si>
  <si>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</si>
  <si>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</si>
  <si>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</si>
  <si>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</si>
  <si>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</si>
  <si>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</si>
  <si>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</si>
  <si>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</si>
  <si>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</si>
  <si>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</si>
  <si>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</si>
  <si>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</si>
  <si>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</si>
  <si>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</si>
  <si>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</si>
  <si>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</si>
  <si>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</si>
  <si>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</si>
  <si>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</si>
  <si>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</si>
  <si>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</si>
  <si>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</si>
  <si>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</si>
  <si>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</si>
  <si>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</si>
  <si>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</si>
  <si>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</si>
  <si>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</si>
  <si>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</si>
  <si>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</si>
  <si>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</si>
  <si>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</si>
  <si>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</si>
  <si>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</si>
  <si>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</si>
  <si>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</si>
  <si>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</si>
  <si>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</si>
  <si>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</si>
  <si>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</si>
  <si>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</si>
  <si>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</si>
  <si>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</si>
  <si>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</si>
  <si>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</si>
  <si>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</si>
  <si>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</si>
  <si>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</si>
  <si>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</si>
  <si>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</si>
  <si>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</si>
  <si>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</si>
  <si>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</si>
  <si>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</si>
  <si>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</si>
  <si>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</si>
  <si>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</si>
  <si>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</si>
  <si>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</si>
  <si>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</si>
  <si>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</si>
  <si>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</si>
  <si>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</si>
  <si>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</si>
  <si>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</si>
  <si>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</si>
  <si>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</si>
  <si>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</si>
  <si>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</si>
  <si>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</si>
  <si>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</si>
  <si>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</si>
  <si>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</si>
  <si>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</si>
  <si>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</si>
  <si>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</si>
  <si>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</si>
  <si>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</si>
  <si>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</si>
  <si>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</si>
  <si>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</si>
  <si>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</si>
  <si>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</si>
  <si>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</si>
  <si>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</si>
  <si>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</si>
  <si>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</si>
  <si>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</si>
  <si>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</si>
  <si>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</si>
  <si>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</si>
  <si>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</si>
  <si>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</si>
  <si>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</si>
  <si>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</si>
  <si>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</si>
  <si>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</si>
  <si>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</si>
  <si>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</si>
  <si>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</si>
  <si>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</si>
  <si>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</si>
  <si>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</si>
  <si>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</si>
  <si>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</si>
  <si>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</si>
  <si>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</si>
  <si>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</si>
  <si>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</si>
  <si>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</si>
  <si>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</si>
  <si>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</si>
  <si>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</si>
  <si>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</si>
  <si>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</si>
  <si>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</si>
  <si>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</si>
  <si>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</si>
  <si>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</si>
  <si>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</si>
  <si>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</si>
  <si>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</si>
  <si>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</si>
  <si>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</si>
  <si>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</si>
  <si>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</si>
  <si>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</si>
  <si>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</si>
  <si>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</si>
  <si>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</si>
  <si>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</si>
  <si>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</si>
  <si>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</si>
  <si>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</si>
  <si>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</si>
  <si>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</si>
  <si>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</si>
  <si>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</si>
  <si>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</si>
  <si>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</si>
  <si>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</si>
  <si>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</si>
  <si>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</si>
  <si>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</si>
  <si>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</si>
  <si>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</si>
  <si>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</si>
  <si>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</si>
  <si>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</si>
  <si>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</si>
  <si>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</si>
  <si>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</si>
  <si>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</si>
  <si>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</si>
  <si>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</si>
  <si>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</si>
  <si>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</si>
  <si>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</si>
  <si>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</si>
  <si>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</si>
  <si>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</si>
  <si>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</si>
  <si>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</si>
  <si>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</si>
  <si>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</si>
  <si>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</si>
  <si>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</si>
  <si>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</si>
  <si>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</si>
  <si>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</si>
  <si>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</si>
  <si>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</si>
  <si>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</si>
  <si>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</si>
  <si>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</si>
  <si>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</si>
  <si>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</si>
  <si>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</si>
  <si>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</si>
  <si>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</si>
  <si>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</si>
  <si>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</si>
  <si>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</si>
  <si>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</si>
  <si>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</si>
  <si>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</si>
  <si>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</si>
  <si>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</si>
  <si>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</si>
  <si>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</si>
  <si>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</si>
  <si>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</si>
  <si>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</si>
  <si>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</si>
  <si>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</si>
  <si>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</si>
  <si>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</si>
  <si>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</si>
  <si>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</si>
  <si>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</si>
  <si>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</si>
  <si>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</si>
  <si>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</si>
  <si>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</si>
  <si>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</si>
  <si>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</si>
  <si>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</si>
  <si>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</si>
  <si>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</si>
  <si>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</si>
  <si>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</si>
  <si>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</si>
  <si>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</si>
  <si>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</si>
  <si>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</si>
  <si>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</si>
  <si>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</si>
  <si>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</si>
  <si>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XY4C - spot</t>
  </si>
  <si>
    <t>XY4C - 48hs</t>
  </si>
  <si>
    <t>XY4D - spot</t>
  </si>
  <si>
    <t>XY4D - 48hs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</si>
  <si>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</si>
  <si>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</si>
  <si>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</si>
  <si>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</si>
  <si>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</si>
  <si>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</si>
  <si>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</si>
  <si>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</si>
  <si>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</si>
  <si>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</si>
  <si>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</si>
  <si>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</si>
  <si>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</si>
  <si>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</si>
  <si>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</si>
  <si>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</si>
  <si>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</si>
  <si>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</si>
  <si>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</si>
  <si>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</si>
  <si>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</si>
  <si>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</si>
  <si>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</si>
  <si>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</si>
  <si>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</si>
  <si>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</si>
  <si>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</si>
  <si>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</si>
  <si>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</si>
  <si>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</si>
  <si>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</si>
  <si>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</si>
  <si>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</si>
  <si>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</si>
  <si>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</si>
  <si>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</si>
  <si>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</si>
  <si>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</si>
  <si>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</si>
  <si>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</si>
  <si>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</si>
  <si>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</si>
  <si>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</si>
  <si>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</si>
  <si>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</si>
  <si>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</si>
  <si>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</si>
  <si>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</si>
  <si>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</si>
  <si>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</si>
  <si>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</si>
  <si>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</si>
  <si>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X20Y4 - 48hs</t>
  </si>
  <si>
    <t>S31E5 - 48hs</t>
  </si>
  <si>
    <t>STOP</t>
  </si>
  <si>
    <t>TRAILING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</si>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</sst>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"/>
    <numFmt numFmtId="168" formatCode="#,##0.0000"/>
    <numFmt numFmtId="169" formatCode="0.0000%"/>
    <numFmt numFmtId="170" formatCode="0.000"/>
  </numFmts>
  <fonts count="12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6"/>
      <color rgb="FF970E03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sz val="8"/>
      <color rgb="FF002060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6"/>
      <color theme="4" tint="-0.499984740745262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8"/>
      <color theme="0" tint="-0.499984740745262"/>
      <name val="Arial"/>
      <family val="2"/>
    </font>
    <font>
      <sz val="7"/>
      <color theme="1" tint="0.499984740745262"/>
      <name val="Arial"/>
      <family val="2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u/>
      <sz val="7"/>
      <color theme="1" tint="0.1499984740745262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1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8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5" fillId="10" borderId="101" xfId="0" applyFont="1" applyFill="1" applyBorder="1" applyAlignment="1">
      <alignment horizontal="right" vertical="center"/>
    </xf>
    <xf numFmtId="0" fontId="33" fillId="10" borderId="101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4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3" fillId="10" borderId="103" xfId="0" applyFont="1" applyFill="1" applyBorder="1" applyAlignment="1">
      <alignment horizontal="right" vertical="center"/>
    </xf>
    <xf numFmtId="3" fontId="33" fillId="10" borderId="103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3" fontId="33" fillId="10" borderId="101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4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111" xfId="0" applyFont="1" applyFill="1" applyBorder="1" applyAlignment="1">
      <alignment horizontal="right" vertical="center"/>
    </xf>
    <xf numFmtId="0" fontId="35" fillId="10" borderId="10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0" xfId="0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0" fontId="13" fillId="12" borderId="114" xfId="15" applyFont="1" applyFill="1" applyBorder="1" applyAlignment="1">
      <alignment horizontal="center" vertical="center"/>
    </xf>
    <xf numFmtId="166" fontId="33" fillId="10" borderId="115" xfId="55" applyNumberFormat="1" applyFont="1" applyFill="1" applyBorder="1" applyAlignment="1">
      <alignment horizontal="right" vertical="center"/>
    </xf>
    <xf numFmtId="10" fontId="29" fillId="10" borderId="115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7" xfId="55" applyNumberFormat="1" applyFont="1" applyFill="1" applyBorder="1" applyAlignment="1">
      <alignment horizontal="right" vertical="center"/>
    </xf>
    <xf numFmtId="2" fontId="68" fillId="9" borderId="108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0" fontId="73" fillId="10" borderId="91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0" fontId="73" fillId="10" borderId="101" xfId="0" applyFont="1" applyFill="1" applyBorder="1" applyAlignment="1">
      <alignment horizontal="right" vertical="center"/>
    </xf>
    <xf numFmtId="0" fontId="73" fillId="10" borderId="111" xfId="0" applyFont="1" applyFill="1" applyBorder="1" applyAlignment="1">
      <alignment horizontal="right" vertical="center"/>
    </xf>
    <xf numFmtId="0" fontId="74" fillId="10" borderId="101" xfId="0" applyFont="1" applyFill="1" applyBorder="1" applyAlignment="1">
      <alignment horizontal="right" vertical="center"/>
    </xf>
    <xf numFmtId="3" fontId="74" fillId="10" borderId="101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0" fontId="73" fillId="10" borderId="110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3" fillId="10" borderId="89" xfId="0" applyFont="1" applyFill="1" applyBorder="1" applyAlignment="1">
      <alignment horizontal="right" vertical="center"/>
    </xf>
    <xf numFmtId="0" fontId="73" fillId="10" borderId="96" xfId="0" applyFont="1" applyFill="1" applyBorder="1" applyAlignment="1">
      <alignment horizontal="right" vertical="center"/>
    </xf>
    <xf numFmtId="0" fontId="73" fillId="10" borderId="90" xfId="0" applyFont="1" applyFill="1" applyBorder="1" applyAlignment="1">
      <alignment horizontal="right" vertical="center"/>
    </xf>
    <xf numFmtId="0" fontId="74" fillId="10" borderId="96" xfId="0" applyFont="1" applyFill="1" applyBorder="1" applyAlignment="1">
      <alignment horizontal="right" vertical="center"/>
    </xf>
    <xf numFmtId="3" fontId="74" fillId="10" borderId="96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9" xfId="0" applyNumberFormat="1" applyFont="1" applyFill="1" applyBorder="1" applyAlignment="1">
      <alignment horizontal="center" vertical="center"/>
    </xf>
    <xf numFmtId="3" fontId="71" fillId="7" borderId="119" xfId="0" applyNumberFormat="1" applyFont="1" applyFill="1" applyBorder="1" applyAlignment="1">
      <alignment horizontal="center" vertical="center"/>
    </xf>
    <xf numFmtId="3" fontId="71" fillId="7" borderId="120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30" xfId="0" applyFont="1" applyFill="1" applyBorder="1" applyAlignment="1">
      <alignment horizontal="center" vertical="center"/>
    </xf>
    <xf numFmtId="0" fontId="50" fillId="21" borderId="131" xfId="0" applyFont="1" applyFill="1" applyBorder="1" applyAlignment="1">
      <alignment horizontal="center" vertical="center"/>
    </xf>
    <xf numFmtId="0" fontId="50" fillId="22" borderId="130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29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4" xfId="0" applyFont="1" applyFill="1" applyBorder="1" applyAlignment="1">
      <alignment horizontal="center" vertical="center"/>
    </xf>
    <xf numFmtId="0" fontId="75" fillId="25" borderId="135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2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3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31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2" xfId="0" applyFont="1" applyFill="1" applyBorder="1" applyAlignment="1">
      <alignment horizontal="left" vertical="center"/>
    </xf>
    <xf numFmtId="0" fontId="45" fillId="17" borderId="136" xfId="0" applyFont="1" applyFill="1" applyBorder="1" applyAlignment="1">
      <alignment horizontal="center" vertical="center"/>
    </xf>
    <xf numFmtId="0" fontId="45" fillId="15" borderId="137" xfId="0" applyFont="1" applyFill="1" applyBorder="1" applyAlignment="1">
      <alignment horizontal="center" vertical="center"/>
    </xf>
    <xf numFmtId="3" fontId="33" fillId="10" borderId="109" xfId="0" applyNumberFormat="1" applyFont="1" applyFill="1" applyBorder="1" applyAlignment="1">
      <alignment horizontal="right" vertical="center"/>
    </xf>
    <xf numFmtId="3" fontId="33" fillId="10" borderId="118" xfId="0" applyNumberFormat="1" applyFont="1" applyFill="1" applyBorder="1" applyAlignment="1">
      <alignment horizontal="right" vertical="center"/>
    </xf>
    <xf numFmtId="3" fontId="33" fillId="10" borderId="124" xfId="0" applyNumberFormat="1" applyFont="1" applyFill="1" applyBorder="1" applyAlignment="1">
      <alignment horizontal="right" vertical="center"/>
    </xf>
    <xf numFmtId="0" fontId="35" fillId="10" borderId="138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0" fontId="35" fillId="10" borderId="139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8" xfId="55" applyNumberFormat="1" applyFont="1" applyFill="1" applyBorder="1" applyAlignment="1">
      <alignment horizontal="center" vertical="center"/>
    </xf>
    <xf numFmtId="0" fontId="77" fillId="9" borderId="127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127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top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2" fontId="68" fillId="9" borderId="117" xfId="55" applyNumberFormat="1" applyFont="1" applyFill="1" applyBorder="1" applyAlignment="1">
      <alignment horizontal="left" vertical="center"/>
    </xf>
    <xf numFmtId="2" fontId="68" fillId="9" borderId="142" xfId="55" applyNumberFormat="1" applyFont="1" applyFill="1" applyBorder="1" applyAlignment="1">
      <alignment horizontal="left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center" vertical="center"/>
    </xf>
    <xf numFmtId="166" fontId="70" fillId="9" borderId="127" xfId="55" applyNumberFormat="1" applyFont="1" applyFill="1" applyBorder="1" applyAlignment="1">
      <alignment horizontal="center" vertical="center"/>
    </xf>
    <xf numFmtId="0" fontId="70" fillId="9" borderId="125" xfId="55" applyNumberFormat="1" applyFont="1" applyFill="1" applyBorder="1" applyAlignment="1">
      <alignment horizontal="center" vertical="center"/>
    </xf>
    <xf numFmtId="2" fontId="70" fillId="9" borderId="121" xfId="55" applyNumberFormat="1" applyFont="1" applyFill="1" applyBorder="1" applyAlignment="1">
      <alignment horizontal="center" vertical="center"/>
    </xf>
    <xf numFmtId="0" fontId="93" fillId="9" borderId="112" xfId="0" applyFont="1" applyFill="1" applyBorder="1" applyAlignment="1">
      <alignment vertical="center"/>
    </xf>
    <xf numFmtId="1" fontId="70" fillId="9" borderId="118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6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6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7" xfId="0" applyNumberFormat="1" applyFont="1" applyFill="1" applyBorder="1" applyAlignment="1">
      <alignment horizontal="center" vertical="center"/>
    </xf>
    <xf numFmtId="1" fontId="23" fillId="9" borderId="149" xfId="0" applyNumberFormat="1" applyFont="1" applyFill="1" applyBorder="1" applyAlignment="1">
      <alignment horizontal="center" vertical="center"/>
    </xf>
    <xf numFmtId="1" fontId="23" fillId="9" borderId="151" xfId="0" applyNumberFormat="1" applyFont="1" applyFill="1" applyBorder="1" applyAlignment="1">
      <alignment horizontal="center" vertical="center"/>
    </xf>
    <xf numFmtId="0" fontId="70" fillId="9" borderId="152" xfId="55" applyNumberFormat="1" applyFont="1" applyFill="1" applyBorder="1" applyAlignment="1">
      <alignment horizontal="center" vertical="center"/>
    </xf>
    <xf numFmtId="0" fontId="70" fillId="9" borderId="118" xfId="0" applyNumberFormat="1" applyFont="1" applyFill="1" applyBorder="1" applyAlignment="1">
      <alignment horizontal="center" vertical="center"/>
    </xf>
    <xf numFmtId="0" fontId="70" fillId="9" borderId="124" xfId="0" applyNumberFormat="1" applyFont="1" applyFill="1" applyBorder="1" applyAlignment="1">
      <alignment horizontal="center" vertical="center"/>
    </xf>
    <xf numFmtId="0" fontId="70" fillId="9" borderId="109" xfId="55" applyNumberFormat="1" applyFont="1" applyFill="1" applyBorder="1" applyAlignment="1">
      <alignment horizontal="center" vertical="center"/>
    </xf>
    <xf numFmtId="0" fontId="70" fillId="9" borderId="153" xfId="0" applyNumberFormat="1" applyFont="1" applyFill="1" applyBorder="1" applyAlignment="1">
      <alignment horizontal="center" vertical="center"/>
    </xf>
    <xf numFmtId="0" fontId="70" fillId="9" borderId="150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center"/>
    </xf>
    <xf numFmtId="0" fontId="70" fillId="9" borderId="151" xfId="0" applyNumberFormat="1" applyFont="1" applyFill="1" applyBorder="1" applyAlignment="1">
      <alignment horizontal="center" vertical="center"/>
    </xf>
    <xf numFmtId="0" fontId="70" fillId="9" borderId="154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right" vertical="center"/>
    </xf>
    <xf numFmtId="0" fontId="73" fillId="10" borderId="106" xfId="0" applyFont="1" applyFill="1" applyBorder="1" applyAlignment="1">
      <alignment horizontal="right" vertical="center"/>
    </xf>
    <xf numFmtId="0" fontId="74" fillId="10" borderId="103" xfId="0" applyFont="1" applyFill="1" applyBorder="1" applyAlignment="1">
      <alignment horizontal="right" vertical="center"/>
    </xf>
    <xf numFmtId="3" fontId="74" fillId="10" borderId="103" xfId="0" applyNumberFormat="1" applyFont="1" applyFill="1" applyBorder="1" applyAlignment="1">
      <alignment horizontal="right" vertical="center"/>
    </xf>
    <xf numFmtId="0" fontId="26" fillId="9" borderId="106" xfId="0" applyFont="1" applyFill="1" applyBorder="1" applyAlignment="1">
      <alignment horizontal="center" vertical="center"/>
    </xf>
    <xf numFmtId="0" fontId="80" fillId="9" borderId="156" xfId="0" applyNumberFormat="1" applyFont="1" applyFill="1" applyBorder="1" applyAlignment="1">
      <alignment horizontal="center" vertical="center"/>
    </xf>
    <xf numFmtId="0" fontId="70" fillId="9" borderId="148" xfId="0" applyNumberFormat="1" applyFont="1" applyFill="1" applyBorder="1" applyAlignment="1">
      <alignment horizontal="center" vertical="center"/>
    </xf>
    <xf numFmtId="3" fontId="94" fillId="7" borderId="119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18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4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09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165" fontId="33" fillId="10" borderId="158" xfId="0" applyNumberFormat="1" applyFont="1" applyFill="1" applyBorder="1" applyAlignment="1">
      <alignment horizontal="center" vertical="center"/>
    </xf>
    <xf numFmtId="0" fontId="26" fillId="9" borderId="159" xfId="0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167" fontId="98" fillId="9" borderId="140" xfId="0" applyNumberFormat="1" applyFont="1" applyFill="1" applyBorder="1" applyAlignment="1">
      <alignment horizontal="center" vertical="center" wrapText="1"/>
    </xf>
    <xf numFmtId="1" fontId="25" fillId="9" borderId="104" xfId="0" applyNumberFormat="1" applyFont="1" applyFill="1" applyBorder="1" applyAlignment="1">
      <alignment horizontal="center" vertical="center"/>
    </xf>
    <xf numFmtId="166" fontId="33" fillId="10" borderId="95" xfId="55" applyNumberFormat="1" applyFont="1" applyFill="1" applyBorder="1" applyAlignment="1">
      <alignment horizontal="right" vertical="center"/>
    </xf>
    <xf numFmtId="0" fontId="70" fillId="9" borderId="160" xfId="0" applyNumberFormat="1" applyFont="1" applyFill="1" applyBorder="1" applyAlignment="1">
      <alignment horizontal="center" vertical="center"/>
    </xf>
    <xf numFmtId="0" fontId="70" fillId="9" borderId="146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8" xfId="55" applyNumberFormat="1" applyFont="1" applyFill="1" applyBorder="1" applyAlignment="1">
      <alignment horizontal="center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45" xfId="55" applyNumberFormat="1" applyFont="1" applyFill="1" applyBorder="1" applyAlignment="1">
      <alignment horizontal="center" vertical="center"/>
    </xf>
    <xf numFmtId="2" fontId="69" fillId="9" borderId="105" xfId="55" applyNumberFormat="1" applyFont="1" applyFill="1" applyBorder="1" applyAlignment="1">
      <alignment horizontal="center" vertical="center"/>
    </xf>
    <xf numFmtId="2" fontId="62" fillId="9" borderId="105" xfId="0" applyNumberFormat="1" applyFont="1" applyFill="1" applyBorder="1" applyAlignment="1">
      <alignment horizontal="center" vertical="center"/>
    </xf>
    <xf numFmtId="0" fontId="33" fillId="10" borderId="104" xfId="0" applyFont="1" applyFill="1" applyBorder="1" applyAlignment="1">
      <alignment horizontal="right" vertical="center"/>
    </xf>
    <xf numFmtId="169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3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63" xfId="0" applyFont="1" applyFill="1" applyBorder="1" applyAlignment="1">
      <alignment horizontal="left" vertical="center"/>
    </xf>
    <xf numFmtId="0" fontId="35" fillId="10" borderId="167" xfId="0" applyFont="1" applyFill="1" applyBorder="1" applyAlignment="1">
      <alignment horizontal="right" vertical="center"/>
    </xf>
    <xf numFmtId="0" fontId="35" fillId="10" borderId="165" xfId="0" applyFont="1" applyFill="1" applyBorder="1" applyAlignment="1">
      <alignment horizontal="right" vertical="center"/>
    </xf>
    <xf numFmtId="0" fontId="35" fillId="10" borderId="164" xfId="0" applyFont="1" applyFill="1" applyBorder="1" applyAlignment="1">
      <alignment horizontal="right" vertical="center"/>
    </xf>
    <xf numFmtId="0" fontId="33" fillId="10" borderId="165" xfId="0" applyFont="1" applyFill="1" applyBorder="1" applyAlignment="1">
      <alignment horizontal="right" vertical="center"/>
    </xf>
    <xf numFmtId="3" fontId="33" fillId="10" borderId="165" xfId="0" applyNumberFormat="1" applyFont="1" applyFill="1" applyBorder="1" applyAlignment="1">
      <alignment horizontal="right" vertical="center"/>
    </xf>
    <xf numFmtId="165" fontId="33" fillId="10" borderId="167" xfId="0" applyNumberFormat="1" applyFont="1" applyFill="1" applyBorder="1" applyAlignment="1">
      <alignment horizontal="center" vertical="center"/>
    </xf>
    <xf numFmtId="0" fontId="23" fillId="9" borderId="165" xfId="0" applyFont="1" applyFill="1" applyBorder="1" applyAlignment="1">
      <alignment horizontal="center" vertical="center"/>
    </xf>
    <xf numFmtId="1" fontId="23" fillId="9" borderId="168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0" fontId="70" fillId="9" borderId="171" xfId="0" applyNumberFormat="1" applyFont="1" applyFill="1" applyBorder="1" applyAlignment="1">
      <alignment horizontal="center" vertical="center"/>
    </xf>
    <xf numFmtId="0" fontId="90" fillId="9" borderId="169" xfId="55" applyNumberFormat="1" applyFont="1" applyFill="1" applyBorder="1" applyAlignment="1">
      <alignment horizontal="center" vertical="center"/>
    </xf>
    <xf numFmtId="2" fontId="69" fillId="9" borderId="166" xfId="55" applyNumberFormat="1" applyFont="1" applyFill="1" applyBorder="1" applyAlignment="1">
      <alignment horizontal="center" vertical="center"/>
    </xf>
    <xf numFmtId="2" fontId="62" fillId="9" borderId="166" xfId="0" applyNumberFormat="1" applyFont="1" applyFill="1" applyBorder="1" applyAlignment="1">
      <alignment horizontal="center" vertical="center"/>
    </xf>
    <xf numFmtId="3" fontId="33" fillId="10" borderId="166" xfId="0" applyNumberFormat="1" applyFont="1" applyFill="1" applyBorder="1" applyAlignment="1">
      <alignment horizontal="right" vertical="center"/>
    </xf>
    <xf numFmtId="0" fontId="33" fillId="10" borderId="167" xfId="0" applyFont="1" applyFill="1" applyBorder="1" applyAlignment="1">
      <alignment horizontal="right" vertical="center"/>
    </xf>
    <xf numFmtId="0" fontId="61" fillId="10" borderId="162" xfId="0" applyFont="1" applyFill="1" applyBorder="1" applyAlignment="1">
      <alignment horizontal="right" vertical="center"/>
    </xf>
    <xf numFmtId="0" fontId="99" fillId="10" borderId="162" xfId="0" applyFont="1" applyFill="1" applyBorder="1" applyAlignment="1">
      <alignment horizontal="right" vertical="center"/>
    </xf>
    <xf numFmtId="0" fontId="99" fillId="10" borderId="122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4" xfId="55" applyNumberFormat="1" applyFont="1" applyFill="1" applyBorder="1" applyAlignment="1">
      <alignment horizontal="center" vertical="center"/>
    </xf>
    <xf numFmtId="1" fontId="91" fillId="38" borderId="172" xfId="77" applyNumberFormat="1" applyFont="1" applyFill="1" applyBorder="1" applyAlignment="1">
      <alignment horizontal="center" vertical="center"/>
    </xf>
    <xf numFmtId="1" fontId="91" fillId="38" borderId="173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05" xfId="0" applyFont="1" applyFill="1" applyBorder="1" applyAlignment="1">
      <alignment horizontal="center" vertical="center"/>
    </xf>
    <xf numFmtId="0" fontId="61" fillId="9" borderId="166" xfId="0" applyFont="1" applyFill="1" applyBorder="1" applyAlignment="1">
      <alignment horizontal="center" vertical="center"/>
    </xf>
    <xf numFmtId="0" fontId="80" fillId="9" borderId="144" xfId="0" applyNumberFormat="1" applyFont="1" applyFill="1" applyBorder="1" applyAlignment="1">
      <alignment horizontal="center" vertical="center"/>
    </xf>
    <xf numFmtId="1" fontId="91" fillId="38" borderId="174" xfId="77" applyNumberFormat="1" applyFont="1" applyFill="1" applyBorder="1" applyAlignment="1">
      <alignment horizontal="center" vertical="center"/>
    </xf>
    <xf numFmtId="1" fontId="91" fillId="38" borderId="175" xfId="77" applyNumberFormat="1" applyFont="1" applyFill="1" applyBorder="1" applyAlignment="1">
      <alignment horizontal="center" vertical="center"/>
    </xf>
    <xf numFmtId="166" fontId="70" fillId="9" borderId="109" xfId="55" applyNumberFormat="1" applyFont="1" applyFill="1" applyBorder="1" applyAlignment="1">
      <alignment horizontal="left" vertical="center"/>
    </xf>
    <xf numFmtId="166" fontId="70" fillId="9" borderId="127" xfId="55" applyNumberFormat="1" applyFont="1" applyFill="1" applyBorder="1" applyAlignment="1">
      <alignment horizontal="left" vertical="center"/>
    </xf>
    <xf numFmtId="166" fontId="100" fillId="9" borderId="90" xfId="55" applyNumberFormat="1" applyFont="1" applyFill="1" applyBorder="1" applyAlignment="1">
      <alignment horizontal="right"/>
    </xf>
    <xf numFmtId="166" fontId="100" fillId="9" borderId="0" xfId="55" applyNumberFormat="1" applyFont="1" applyFill="1" applyAlignment="1">
      <alignment horizontal="left"/>
    </xf>
    <xf numFmtId="166" fontId="100" fillId="9" borderId="90" xfId="55" applyNumberFormat="1" applyFont="1" applyFill="1" applyBorder="1" applyAlignment="1">
      <alignment horizontal="left"/>
    </xf>
    <xf numFmtId="10" fontId="101" fillId="10" borderId="95" xfId="114" applyNumberFormat="1" applyFont="1" applyFill="1" applyBorder="1" applyAlignment="1">
      <alignment horizontal="center" vertical="center"/>
    </xf>
    <xf numFmtId="10" fontId="101" fillId="10" borderId="96" xfId="114" applyNumberFormat="1" applyFont="1" applyFill="1" applyBorder="1" applyAlignment="1">
      <alignment horizontal="center" vertical="center"/>
    </xf>
    <xf numFmtId="10" fontId="101" fillId="10" borderId="105" xfId="114" applyNumberFormat="1" applyFont="1" applyFill="1" applyBorder="1" applyAlignment="1">
      <alignment horizontal="center" vertical="center"/>
    </xf>
    <xf numFmtId="10" fontId="101" fillId="10" borderId="166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57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3" fillId="10" borderId="100" xfId="0" applyFont="1" applyFill="1" applyBorder="1" applyAlignment="1">
      <alignment horizontal="right" vertical="center"/>
    </xf>
    <xf numFmtId="166" fontId="33" fillId="10" borderId="94" xfId="55" applyNumberFormat="1" applyFont="1" applyFill="1" applyBorder="1" applyAlignment="1">
      <alignment horizontal="right" vertical="center"/>
    </xf>
    <xf numFmtId="166" fontId="33" fillId="10" borderId="92" xfId="55" applyNumberFormat="1" applyFont="1" applyFill="1" applyBorder="1" applyAlignment="1">
      <alignment horizontal="right" vertical="center"/>
    </xf>
    <xf numFmtId="0" fontId="72" fillId="0" borderId="0" xfId="0" applyFont="1" applyAlignment="1">
      <alignment horizontal="right"/>
    </xf>
    <xf numFmtId="166" fontId="100" fillId="9" borderId="91" xfId="55" applyNumberFormat="1" applyFont="1" applyFill="1" applyBorder="1" applyAlignment="1">
      <alignment horizontal="right"/>
    </xf>
    <xf numFmtId="166" fontId="100" fillId="9" borderId="98" xfId="55" applyNumberFormat="1" applyFont="1" applyFill="1" applyBorder="1" applyAlignment="1">
      <alignment horizontal="right"/>
    </xf>
    <xf numFmtId="166" fontId="100" fillId="9" borderId="98" xfId="55" applyNumberFormat="1" applyFont="1" applyFill="1" applyBorder="1" applyAlignment="1">
      <alignment horizontal="left"/>
    </xf>
    <xf numFmtId="0" fontId="77" fillId="9" borderId="109" xfId="0" applyNumberFormat="1" applyFont="1" applyFill="1" applyBorder="1" applyAlignment="1">
      <alignment horizontal="center" vertical="center"/>
    </xf>
    <xf numFmtId="0" fontId="102" fillId="9" borderId="109" xfId="0" applyNumberFormat="1" applyFont="1" applyFill="1" applyBorder="1" applyAlignment="1">
      <alignment horizontal="center" vertical="center"/>
    </xf>
    <xf numFmtId="2" fontId="103" fillId="9" borderId="118" xfId="0" applyNumberFormat="1" applyFont="1" applyFill="1" applyBorder="1" applyAlignment="1">
      <alignment horizontal="center" vertical="center"/>
    </xf>
    <xf numFmtId="0" fontId="76" fillId="9" borderId="109" xfId="0" applyNumberFormat="1" applyFont="1" applyFill="1" applyBorder="1" applyAlignment="1">
      <alignment horizontal="center" vertical="center"/>
    </xf>
    <xf numFmtId="2" fontId="69" fillId="9" borderId="170" xfId="0" applyNumberFormat="1" applyFont="1" applyFill="1" applyBorder="1" applyAlignment="1">
      <alignment horizontal="center" vertical="center"/>
    </xf>
    <xf numFmtId="2" fontId="69" fillId="9" borderId="156" xfId="0" applyNumberFormat="1" applyFont="1" applyFill="1" applyBorder="1" applyAlignment="1">
      <alignment horizontal="center" vertical="center"/>
    </xf>
    <xf numFmtId="0" fontId="77" fillId="9" borderId="109" xfId="0" applyNumberFormat="1" applyFont="1" applyFill="1" applyBorder="1" applyAlignment="1">
      <alignment vertical="center"/>
    </xf>
    <xf numFmtId="0" fontId="102" fillId="9" borderId="109" xfId="0" applyNumberFormat="1" applyFont="1" applyFill="1" applyBorder="1" applyAlignment="1">
      <alignment vertical="center"/>
    </xf>
    <xf numFmtId="2" fontId="103" fillId="9" borderId="118" xfId="0" applyNumberFormat="1" applyFont="1" applyFill="1" applyBorder="1" applyAlignment="1">
      <alignment vertical="center"/>
    </xf>
    <xf numFmtId="0" fontId="76" fillId="9" borderId="109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horizontal="center" vertical="top"/>
    </xf>
    <xf numFmtId="2" fontId="104" fillId="9" borderId="156" xfId="0" applyNumberFormat="1" applyFont="1" applyFill="1" applyBorder="1" applyAlignment="1">
      <alignment vertical="center"/>
    </xf>
    <xf numFmtId="2" fontId="69" fillId="9" borderId="156" xfId="0" applyNumberFormat="1" applyFont="1" applyFill="1" applyBorder="1" applyAlignment="1">
      <alignment vertical="center"/>
    </xf>
    <xf numFmtId="0" fontId="72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2" xfId="0" applyNumberFormat="1" applyFont="1" applyFill="1" applyBorder="1" applyAlignment="1">
      <alignment horizontal="center" vertical="center"/>
    </xf>
    <xf numFmtId="165" fontId="33" fillId="10" borderId="138" xfId="0" applyNumberFormat="1" applyFont="1" applyFill="1" applyBorder="1" applyAlignment="1">
      <alignment horizontal="center" vertical="center"/>
    </xf>
    <xf numFmtId="3" fontId="95" fillId="10" borderId="178" xfId="0" applyNumberFormat="1" applyFont="1" applyFill="1" applyBorder="1" applyAlignment="1">
      <alignment horizontal="right" vertical="center"/>
    </xf>
    <xf numFmtId="3" fontId="95" fillId="10" borderId="179" xfId="0" applyNumberFormat="1" applyFont="1" applyFill="1" applyBorder="1" applyAlignment="1">
      <alignment horizontal="right" vertical="center"/>
    </xf>
    <xf numFmtId="3" fontId="95" fillId="10" borderId="180" xfId="0" applyNumberFormat="1" applyFont="1" applyFill="1" applyBorder="1" applyAlignment="1">
      <alignment horizontal="right" vertical="center"/>
    </xf>
    <xf numFmtId="3" fontId="95" fillId="10" borderId="181" xfId="0" applyNumberFormat="1" applyFont="1" applyFill="1" applyBorder="1" applyAlignment="1">
      <alignment horizontal="right" vertical="center"/>
    </xf>
    <xf numFmtId="3" fontId="95" fillId="10" borderId="182" xfId="0" applyNumberFormat="1" applyFont="1" applyFill="1" applyBorder="1" applyAlignment="1">
      <alignment horizontal="right" vertical="center"/>
    </xf>
    <xf numFmtId="3" fontId="95" fillId="10" borderId="183" xfId="0" applyNumberFormat="1" applyFont="1" applyFill="1" applyBorder="1" applyAlignment="1">
      <alignment horizontal="right" vertical="center"/>
    </xf>
    <xf numFmtId="3" fontId="95" fillId="10" borderId="177" xfId="0" applyNumberFormat="1" applyFont="1" applyFill="1" applyBorder="1" applyAlignment="1">
      <alignment horizontal="right" vertical="center"/>
    </xf>
    <xf numFmtId="3" fontId="95" fillId="10" borderId="184" xfId="0" applyNumberFormat="1" applyFont="1" applyFill="1" applyBorder="1" applyAlignment="1">
      <alignment horizontal="right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0" fontId="15" fillId="39" borderId="186" xfId="55" applyNumberFormat="1" applyFont="1" applyFill="1" applyBorder="1" applyAlignment="1">
      <alignment horizontal="center" vertical="center"/>
    </xf>
    <xf numFmtId="0" fontId="15" fillId="39" borderId="187" xfId="55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91" fillId="38" borderId="198" xfId="77" applyNumberFormat="1" applyFont="1" applyFill="1" applyBorder="1" applyAlignment="1">
      <alignment horizontal="center" vertical="center"/>
    </xf>
    <xf numFmtId="0" fontId="15" fillId="39" borderId="199" xfId="55" applyNumberFormat="1" applyFont="1" applyFill="1" applyBorder="1" applyAlignment="1">
      <alignment horizontal="center" vertical="center"/>
    </xf>
    <xf numFmtId="0" fontId="15" fillId="39" borderId="200" xfId="55" applyNumberFormat="1" applyFont="1" applyFill="1" applyBorder="1" applyAlignment="1">
      <alignment horizontal="center" vertical="center"/>
    </xf>
    <xf numFmtId="3" fontId="105" fillId="10" borderId="141" xfId="0" applyNumberFormat="1" applyFont="1" applyFill="1" applyBorder="1" applyAlignment="1">
      <alignment horizontal="center" vertical="center"/>
    </xf>
    <xf numFmtId="0" fontId="69" fillId="9" borderId="109" xfId="55" applyNumberFormat="1" applyFont="1" applyFill="1" applyBorder="1" applyAlignment="1">
      <alignment horizontal="center" vertical="center"/>
    </xf>
    <xf numFmtId="0" fontId="69" fillId="9" borderId="127" xfId="55" applyNumberFormat="1" applyFont="1" applyFill="1" applyBorder="1" applyAlignment="1">
      <alignment horizontal="center" vertical="center"/>
    </xf>
    <xf numFmtId="0" fontId="69" fillId="9" borderId="124" xfId="55" applyNumberFormat="1" applyFont="1" applyFill="1" applyBorder="1" applyAlignment="1">
      <alignment horizontal="center" vertical="center"/>
    </xf>
    <xf numFmtId="0" fontId="69" fillId="9" borderId="156" xfId="55" applyNumberFormat="1" applyFont="1" applyFill="1" applyBorder="1" applyAlignment="1">
      <alignment horizontal="center" vertical="center"/>
    </xf>
    <xf numFmtId="0" fontId="61" fillId="10" borderId="204" xfId="0" applyFont="1" applyFill="1" applyBorder="1" applyAlignment="1">
      <alignment horizontal="right" vertical="center"/>
    </xf>
    <xf numFmtId="0" fontId="26" fillId="9" borderId="165" xfId="0" applyFont="1" applyFill="1" applyBorder="1" applyAlignment="1">
      <alignment horizontal="center" vertical="center"/>
    </xf>
    <xf numFmtId="0" fontId="61" fillId="10" borderId="128" xfId="0" applyFont="1" applyFill="1" applyBorder="1" applyAlignment="1">
      <alignment horizontal="left" vertical="center"/>
    </xf>
    <xf numFmtId="0" fontId="107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6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109" fillId="40" borderId="0" xfId="0" applyFont="1" applyFill="1" applyAlignment="1">
      <alignment horizontal="center"/>
    </xf>
    <xf numFmtId="2" fontId="110" fillId="41" borderId="3" xfId="0" applyNumberFormat="1" applyFont="1" applyFill="1" applyBorder="1" applyAlignment="1">
      <alignment horizontal="center" vertical="center"/>
    </xf>
    <xf numFmtId="0" fontId="15" fillId="42" borderId="201" xfId="55" applyNumberFormat="1" applyFont="1" applyFill="1" applyBorder="1" applyAlignment="1">
      <alignment horizontal="center" vertical="center"/>
    </xf>
    <xf numFmtId="0" fontId="15" fillId="42" borderId="202" xfId="55" applyNumberFormat="1" applyFont="1" applyFill="1" applyBorder="1" applyAlignment="1">
      <alignment horizontal="center" vertical="center"/>
    </xf>
    <xf numFmtId="0" fontId="15" fillId="42" borderId="189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203" xfId="55" applyNumberFormat="1" applyFont="1" applyFill="1" applyBorder="1" applyAlignment="1">
      <alignment horizontal="center" vertical="center"/>
    </xf>
    <xf numFmtId="0" fontId="15" fillId="42" borderId="210" xfId="55" applyNumberFormat="1" applyFont="1" applyFill="1" applyBorder="1" applyAlignment="1">
      <alignment horizontal="center" vertical="center"/>
    </xf>
    <xf numFmtId="0" fontId="111" fillId="9" borderId="109" xfId="0" applyNumberFormat="1" applyFont="1" applyFill="1" applyBorder="1" applyAlignment="1">
      <alignment horizontal="center" vertical="center"/>
    </xf>
    <xf numFmtId="0" fontId="111" fillId="9" borderId="118" xfId="0" applyNumberFormat="1" applyFont="1" applyFill="1" applyBorder="1" applyAlignment="1">
      <alignment horizontal="center" vertical="center"/>
    </xf>
    <xf numFmtId="0" fontId="111" fillId="9" borderId="124" xfId="0" applyNumberFormat="1" applyFont="1" applyFill="1" applyBorder="1" applyAlignment="1">
      <alignment horizontal="center" vertical="center"/>
    </xf>
    <xf numFmtId="0" fontId="111" fillId="9" borderId="12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12" fillId="10" borderId="123" xfId="0" applyNumberFormat="1" applyFont="1" applyFill="1" applyBorder="1" applyAlignment="1">
      <alignment horizontal="center" vertical="center"/>
    </xf>
    <xf numFmtId="0" fontId="8" fillId="4" borderId="211" xfId="65" applyFont="1" applyFill="1" applyBorder="1" applyAlignment="1">
      <alignment horizontal="center"/>
    </xf>
    <xf numFmtId="0" fontId="8" fillId="4" borderId="211" xfId="31" applyFont="1" applyFill="1" applyBorder="1" applyAlignment="1">
      <alignment horizontal="center"/>
    </xf>
    <xf numFmtId="0" fontId="61" fillId="10" borderId="128" xfId="0" applyFont="1" applyFill="1" applyBorder="1" applyAlignment="1">
      <alignment horizontal="right" vertical="center"/>
    </xf>
    <xf numFmtId="0" fontId="61" fillId="9" borderId="161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1" fillId="10" borderId="94" xfId="114" applyNumberFormat="1" applyFont="1" applyFill="1" applyBorder="1" applyAlignment="1">
      <alignment horizontal="center" vertical="center"/>
    </xf>
    <xf numFmtId="0" fontId="61" fillId="10" borderId="204" xfId="0" applyFont="1" applyFill="1" applyBorder="1" applyAlignment="1">
      <alignment horizontal="lef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0" fontId="61" fillId="10" borderId="95" xfId="0" applyFont="1" applyFill="1" applyBorder="1" applyAlignment="1">
      <alignment horizontal="center" vertical="center"/>
    </xf>
    <xf numFmtId="0" fontId="33" fillId="10" borderId="101" xfId="55" applyNumberFormat="1" applyFont="1" applyFill="1" applyBorder="1" applyAlignment="1">
      <alignment horizontal="center" vertical="center"/>
    </xf>
    <xf numFmtId="0" fontId="61" fillId="10" borderId="101" xfId="0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61" fillId="10" borderId="92" xfId="0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3" xfId="55" applyNumberFormat="1" applyFont="1" applyFill="1" applyBorder="1" applyAlignment="1">
      <alignment horizontal="center" vertical="center"/>
    </xf>
    <xf numFmtId="0" fontId="61" fillId="10" borderId="103" xfId="0" applyFont="1" applyFill="1" applyBorder="1" applyAlignment="1">
      <alignment horizontal="center" vertical="center"/>
    </xf>
    <xf numFmtId="0" fontId="64" fillId="9" borderId="116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166" fontId="90" fillId="9" borderId="107" xfId="55" applyNumberFormat="1" applyFont="1" applyFill="1" applyBorder="1" applyAlignment="1">
      <alignment horizontal="center" vertical="center"/>
    </xf>
    <xf numFmtId="166" fontId="90" fillId="9" borderId="108" xfId="55" applyNumberFormat="1" applyFont="1" applyFill="1" applyBorder="1" applyAlignment="1">
      <alignment horizontal="center" vertical="center"/>
    </xf>
    <xf numFmtId="0" fontId="64" fillId="9" borderId="108" xfId="55" applyNumberFormat="1" applyFont="1" applyFill="1" applyBorder="1" applyAlignment="1">
      <alignment horizontal="center" vertical="center"/>
    </xf>
    <xf numFmtId="170" fontId="106" fillId="10" borderId="92" xfId="0" applyNumberFormat="1" applyFont="1" applyFill="1" applyBorder="1" applyAlignment="1">
      <alignment horizontal="center" vertical="center"/>
    </xf>
    <xf numFmtId="170" fontId="106" fillId="10" borderId="91" xfId="0" applyNumberFormat="1" applyFont="1" applyFill="1" applyBorder="1" applyAlignment="1">
      <alignment horizontal="center" vertical="center"/>
    </xf>
    <xf numFmtId="170" fontId="106" fillId="10" borderId="96" xfId="0" applyNumberFormat="1" applyFont="1" applyFill="1" applyBorder="1" applyAlignment="1">
      <alignment horizontal="center" vertical="center"/>
    </xf>
    <xf numFmtId="170" fontId="106" fillId="10" borderId="95" xfId="0" applyNumberFormat="1" applyFont="1" applyFill="1" applyBorder="1" applyAlignment="1">
      <alignment horizontal="center" vertical="center"/>
    </xf>
    <xf numFmtId="170" fontId="106" fillId="10" borderId="90" xfId="0" applyNumberFormat="1" applyFont="1" applyFill="1" applyBorder="1" applyAlignment="1">
      <alignment horizontal="center" vertical="center"/>
    </xf>
    <xf numFmtId="170" fontId="106" fillId="10" borderId="97" xfId="0" applyNumberFormat="1" applyFont="1" applyFill="1" applyBorder="1" applyAlignment="1">
      <alignment horizontal="center" vertical="center"/>
    </xf>
    <xf numFmtId="170" fontId="106" fillId="10" borderId="98" xfId="0" applyNumberFormat="1" applyFont="1" applyFill="1" applyBorder="1" applyAlignment="1">
      <alignment horizontal="center" vertical="center"/>
    </xf>
    <xf numFmtId="0" fontId="106" fillId="10" borderId="92" xfId="0" applyNumberFormat="1" applyFont="1" applyFill="1" applyBorder="1" applyAlignment="1">
      <alignment horizontal="center" vertical="center"/>
    </xf>
    <xf numFmtId="0" fontId="106" fillId="10" borderId="91" xfId="0" applyNumberFormat="1" applyFont="1" applyFill="1" applyBorder="1" applyAlignment="1">
      <alignment horizontal="center" vertical="center"/>
    </xf>
    <xf numFmtId="0" fontId="106" fillId="10" borderId="96" xfId="0" applyNumberFormat="1" applyFont="1" applyFill="1" applyBorder="1" applyAlignment="1">
      <alignment horizontal="center" vertical="center"/>
    </xf>
    <xf numFmtId="0" fontId="106" fillId="10" borderId="97" xfId="0" applyNumberFormat="1" applyFont="1" applyFill="1" applyBorder="1" applyAlignment="1">
      <alignment horizontal="center" vertical="center"/>
    </xf>
    <xf numFmtId="0" fontId="106" fillId="10" borderId="90" xfId="0" applyNumberFormat="1" applyFont="1" applyFill="1" applyBorder="1" applyAlignment="1">
      <alignment horizontal="center" vertical="center"/>
    </xf>
    <xf numFmtId="0" fontId="106" fillId="10" borderId="95" xfId="0" applyFont="1" applyFill="1" applyBorder="1" applyAlignment="1">
      <alignment horizontal="center" vertical="center"/>
    </xf>
    <xf numFmtId="0" fontId="33" fillId="10" borderId="166" xfId="55" applyNumberFormat="1" applyFont="1" applyFill="1" applyBorder="1" applyAlignment="1">
      <alignment horizontal="center" vertical="center"/>
    </xf>
    <xf numFmtId="0" fontId="106" fillId="10" borderId="165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14" xfId="0" applyNumberFormat="1" applyFont="1" applyFill="1" applyBorder="1" applyAlignment="1">
      <alignment horizontal="right" vertical="center"/>
    </xf>
    <xf numFmtId="165" fontId="33" fillId="10" borderId="212" xfId="0" applyNumberFormat="1" applyFont="1" applyFill="1" applyBorder="1" applyAlignment="1">
      <alignment horizontal="center" vertical="center"/>
    </xf>
    <xf numFmtId="0" fontId="26" fillId="9" borderId="213" xfId="0" applyFont="1" applyFill="1" applyBorder="1" applyAlignment="1">
      <alignment horizontal="center" vertical="center"/>
    </xf>
    <xf numFmtId="3" fontId="33" fillId="10" borderId="215" xfId="0" applyNumberFormat="1" applyFont="1" applyFill="1" applyBorder="1" applyAlignment="1">
      <alignment horizontal="right" vertical="center"/>
    </xf>
    <xf numFmtId="165" fontId="33" fillId="10" borderId="216" xfId="0" applyNumberFormat="1" applyFont="1" applyFill="1" applyBorder="1" applyAlignment="1">
      <alignment horizontal="center" vertical="center"/>
    </xf>
    <xf numFmtId="0" fontId="26" fillId="9" borderId="215" xfId="0" applyFont="1" applyFill="1" applyBorder="1" applyAlignment="1">
      <alignment horizontal="center" vertical="center"/>
    </xf>
    <xf numFmtId="0" fontId="69" fillId="9" borderId="109" xfId="0" applyNumberFormat="1" applyFont="1" applyFill="1" applyBorder="1" applyAlignment="1">
      <alignment horizontal="center" vertical="center"/>
    </xf>
    <xf numFmtId="0" fontId="90" fillId="9" borderId="95" xfId="0" applyNumberFormat="1" applyFont="1" applyFill="1" applyBorder="1" applyAlignment="1">
      <alignment horizontal="center" vertical="center"/>
    </xf>
    <xf numFmtId="0" fontId="90" fillId="9" borderId="96" xfId="0" applyNumberFormat="1" applyFont="1" applyFill="1" applyBorder="1" applyAlignment="1">
      <alignment horizontal="center" vertical="center"/>
    </xf>
    <xf numFmtId="0" fontId="90" fillId="9" borderId="97" xfId="0" applyNumberFormat="1" applyFont="1" applyFill="1" applyBorder="1" applyAlignment="1">
      <alignment horizontal="center" vertical="center"/>
    </xf>
    <xf numFmtId="0" fontId="90" fillId="9" borderId="94" xfId="0" applyNumberFormat="1" applyFont="1" applyFill="1" applyBorder="1" applyAlignment="1">
      <alignment horizontal="center" vertical="center"/>
    </xf>
    <xf numFmtId="0" fontId="62" fillId="10" borderId="204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left" vertical="center"/>
    </xf>
    <xf numFmtId="0" fontId="62" fillId="10" borderId="128" xfId="0" applyFont="1" applyFill="1" applyBorder="1" applyAlignment="1">
      <alignment horizontal="right" vertical="center"/>
    </xf>
    <xf numFmtId="0" fontId="62" fillId="10" borderId="204" xfId="0" applyFont="1" applyFill="1" applyBorder="1" applyAlignment="1">
      <alignment horizontal="right" vertical="center"/>
    </xf>
    <xf numFmtId="1" fontId="113" fillId="38" borderId="197" xfId="77" applyNumberFormat="1" applyFont="1" applyFill="1" applyBorder="1" applyAlignment="1">
      <alignment horizontal="center" vertical="center"/>
    </xf>
    <xf numFmtId="1" fontId="113" fillId="38" borderId="174" xfId="77" applyNumberFormat="1" applyFont="1" applyFill="1" applyBorder="1" applyAlignment="1">
      <alignment horizontal="center" vertical="center"/>
    </xf>
    <xf numFmtId="1" fontId="70" fillId="9" borderId="127" xfId="55" applyNumberFormat="1" applyFont="1" applyFill="1" applyBorder="1" applyAlignment="1">
      <alignment horizontal="center" vertical="center"/>
    </xf>
    <xf numFmtId="1" fontId="70" fillId="9" borderId="109" xfId="55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70" fontId="116" fillId="9" borderId="0" xfId="55" applyNumberFormat="1" applyFont="1" applyFill="1" applyAlignment="1">
      <alignment horizontal="center"/>
    </xf>
    <xf numFmtId="170" fontId="117" fillId="9" borderId="96" xfId="114" applyNumberFormat="1" applyFont="1" applyFill="1" applyBorder="1" applyAlignment="1">
      <alignment horizontal="center" vertical="center"/>
    </xf>
    <xf numFmtId="1" fontId="111" fillId="9" borderId="109" xfId="0" applyNumberFormat="1" applyFont="1" applyFill="1" applyBorder="1" applyAlignment="1">
      <alignment horizontal="center" vertical="center"/>
    </xf>
    <xf numFmtId="0" fontId="61" fillId="10" borderId="128" xfId="0" applyFont="1" applyFill="1" applyBorder="1" applyAlignment="1">
      <alignment vertical="center"/>
    </xf>
    <xf numFmtId="0" fontId="61" fillId="10" borderId="204" xfId="0" applyFont="1" applyFill="1" applyBorder="1" applyAlignment="1">
      <alignment vertical="center"/>
    </xf>
    <xf numFmtId="169" fontId="70" fillId="9" borderId="96" xfId="114" applyNumberFormat="1" applyFont="1" applyFill="1" applyBorder="1" applyAlignment="1">
      <alignment horizontal="center" vertical="center"/>
    </xf>
    <xf numFmtId="2" fontId="70" fillId="9" borderId="155" xfId="55" applyNumberFormat="1" applyFont="1" applyFill="1" applyBorder="1" applyAlignment="1">
      <alignment horizontal="center" vertical="center"/>
    </xf>
    <xf numFmtId="2" fontId="70" fillId="9" borderId="103" xfId="55" applyNumberFormat="1" applyFont="1" applyFill="1" applyBorder="1" applyAlignment="1">
      <alignment horizontal="center" vertical="center"/>
    </xf>
    <xf numFmtId="2" fontId="70" fillId="9" borderId="112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3" fontId="107" fillId="10" borderId="120" xfId="0" applyNumberFormat="1" applyFont="1" applyFill="1" applyBorder="1" applyAlignment="1">
      <alignment horizontal="center" vertical="center"/>
    </xf>
    <xf numFmtId="3" fontId="107" fillId="10" borderId="205" xfId="0" applyNumberFormat="1" applyFont="1" applyFill="1" applyBorder="1" applyAlignment="1">
      <alignment horizontal="center" vertical="center"/>
    </xf>
    <xf numFmtId="165" fontId="108" fillId="10" borderId="208" xfId="0" applyNumberFormat="1" applyFont="1" applyFill="1" applyBorder="1" applyAlignment="1">
      <alignment horizontal="center" vertical="center"/>
    </xf>
    <xf numFmtId="165" fontId="108" fillId="10" borderId="209" xfId="0" applyNumberFormat="1" applyFont="1" applyFill="1" applyBorder="1" applyAlignment="1">
      <alignment horizontal="center" vertical="center"/>
    </xf>
    <xf numFmtId="3" fontId="107" fillId="10" borderId="206" xfId="0" applyNumberFormat="1" applyFont="1" applyFill="1" applyBorder="1" applyAlignment="1">
      <alignment horizontal="center" vertical="center"/>
    </xf>
    <xf numFmtId="3" fontId="107" fillId="10" borderId="207" xfId="0" applyNumberFormat="1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9" fillId="34" borderId="65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4" borderId="65" xfId="0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61" fillId="10" borderId="217" xfId="0" applyFont="1" applyFill="1" applyBorder="1" applyAlignment="1">
      <alignment horizontal="left" vertical="center"/>
    </xf>
    <xf numFmtId="0" fontId="33" fillId="10" borderId="218" xfId="55" applyNumberFormat="1" applyFont="1" applyFill="1" applyBorder="1" applyAlignment="1">
      <alignment horizontal="center" vertical="center"/>
    </xf>
    <xf numFmtId="170" fontId="106" fillId="10" borderId="219" xfId="0" applyNumberFormat="1" applyFont="1" applyFill="1" applyBorder="1" applyAlignment="1">
      <alignment horizontal="center" vertical="center"/>
    </xf>
    <xf numFmtId="0" fontId="61" fillId="9" borderId="218" xfId="0" applyFont="1" applyFill="1" applyBorder="1" applyAlignment="1">
      <alignment horizontal="center" vertical="center"/>
    </xf>
    <xf numFmtId="10" fontId="101" fillId="10" borderId="219" xfId="114" applyNumberFormat="1" applyFont="1" applyFill="1" applyBorder="1" applyAlignment="1">
      <alignment horizontal="center" vertical="center"/>
    </xf>
    <xf numFmtId="0" fontId="35" fillId="10" borderId="220" xfId="0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0" fontId="35" fillId="10" borderId="221" xfId="0" applyFont="1" applyFill="1" applyBorder="1" applyAlignment="1">
      <alignment horizontal="right" vertical="center"/>
    </xf>
    <xf numFmtId="0" fontId="33" fillId="10" borderId="219" xfId="0" applyFont="1" applyFill="1" applyBorder="1" applyAlignment="1">
      <alignment horizontal="right" vertical="center"/>
    </xf>
    <xf numFmtId="3" fontId="33" fillId="10" borderId="219" xfId="0" applyNumberFormat="1" applyFont="1" applyFill="1" applyBorder="1" applyAlignment="1">
      <alignment horizontal="right" vertical="center"/>
    </xf>
    <xf numFmtId="0" fontId="80" fillId="9" borderId="222" xfId="0" applyNumberFormat="1" applyFont="1" applyFill="1" applyBorder="1" applyAlignment="1">
      <alignment horizontal="center" vertical="center"/>
    </xf>
    <xf numFmtId="0" fontId="70" fillId="9" borderId="223" xfId="0" applyNumberFormat="1" applyFont="1" applyFill="1" applyBorder="1" applyAlignment="1">
      <alignment horizontal="center" vertical="center"/>
    </xf>
    <xf numFmtId="0" fontId="111" fillId="9" borderId="222" xfId="0" applyNumberFormat="1" applyFont="1" applyFill="1" applyBorder="1" applyAlignment="1">
      <alignment horizontal="center" vertical="center"/>
    </xf>
    <xf numFmtId="0" fontId="90" fillId="9" borderId="218" xfId="0" applyNumberFormat="1" applyFont="1" applyFill="1" applyBorder="1" applyAlignment="1">
      <alignment horizontal="center" vertical="center"/>
    </xf>
    <xf numFmtId="166" fontId="70" fillId="9" borderId="222" xfId="55" applyNumberFormat="1" applyFont="1" applyFill="1" applyBorder="1" applyAlignment="1">
      <alignment horizontal="center" vertical="center"/>
    </xf>
    <xf numFmtId="166" fontId="100" fillId="9" borderId="224" xfId="55" applyNumberFormat="1" applyFont="1" applyFill="1" applyBorder="1" applyAlignment="1">
      <alignment horizontal="left"/>
    </xf>
    <xf numFmtId="0" fontId="61" fillId="10" borderId="225" xfId="0" applyFont="1" applyFill="1" applyBorder="1" applyAlignment="1">
      <alignment horizontal="right" vertical="center"/>
    </xf>
    <xf numFmtId="0" fontId="33" fillId="10" borderId="226" xfId="55" applyNumberFormat="1" applyFont="1" applyFill="1" applyBorder="1" applyAlignment="1">
      <alignment horizontal="center" vertical="center"/>
    </xf>
    <xf numFmtId="170" fontId="106" fillId="10" borderId="226" xfId="0" applyNumberFormat="1" applyFont="1" applyFill="1" applyBorder="1" applyAlignment="1">
      <alignment horizontal="center" vertical="center"/>
    </xf>
    <xf numFmtId="0" fontId="61" fillId="9" borderId="226" xfId="0" applyFont="1" applyFill="1" applyBorder="1" applyAlignment="1">
      <alignment horizontal="center" vertical="center"/>
    </xf>
    <xf numFmtId="10" fontId="101" fillId="10" borderId="226" xfId="114" applyNumberFormat="1" applyFont="1" applyFill="1" applyBorder="1" applyAlignment="1">
      <alignment horizontal="center" vertical="center"/>
    </xf>
    <xf numFmtId="0" fontId="35" fillId="10" borderId="227" xfId="0" applyFont="1" applyFill="1" applyBorder="1" applyAlignment="1">
      <alignment horizontal="right" vertical="center"/>
    </xf>
    <xf numFmtId="0" fontId="35" fillId="10" borderId="226" xfId="0" applyFont="1" applyFill="1" applyBorder="1" applyAlignment="1">
      <alignment horizontal="right" vertical="center"/>
    </xf>
    <xf numFmtId="0" fontId="35" fillId="10" borderId="228" xfId="0" applyFont="1" applyFill="1" applyBorder="1" applyAlignment="1">
      <alignment horizontal="right" vertical="center"/>
    </xf>
    <xf numFmtId="0" fontId="33" fillId="10" borderId="226" xfId="0" applyFont="1" applyFill="1" applyBorder="1" applyAlignment="1">
      <alignment horizontal="right" vertical="center"/>
    </xf>
    <xf numFmtId="3" fontId="33" fillId="10" borderId="226" xfId="0" applyNumberFormat="1" applyFont="1" applyFill="1" applyBorder="1" applyAlignment="1">
      <alignment horizontal="right" vertical="center"/>
    </xf>
    <xf numFmtId="0" fontId="80" fillId="9" borderId="229" xfId="0" applyNumberFormat="1" applyFont="1" applyFill="1" applyBorder="1" applyAlignment="1">
      <alignment horizontal="center" vertical="center"/>
    </xf>
    <xf numFmtId="0" fontId="70" fillId="9" borderId="230" xfId="0" applyNumberFormat="1" applyFont="1" applyFill="1" applyBorder="1" applyAlignment="1">
      <alignment horizontal="center" vertical="center"/>
    </xf>
    <xf numFmtId="0" fontId="111" fillId="9" borderId="229" xfId="0" applyNumberFormat="1" applyFont="1" applyFill="1" applyBorder="1" applyAlignment="1">
      <alignment horizontal="center" vertical="center"/>
    </xf>
    <xf numFmtId="0" fontId="90" fillId="9" borderId="226" xfId="0" applyNumberFormat="1" applyFont="1" applyFill="1" applyBorder="1" applyAlignment="1">
      <alignment horizontal="center" vertical="center"/>
    </xf>
    <xf numFmtId="166" fontId="70" fillId="9" borderId="229" xfId="55" applyNumberFormat="1" applyFont="1" applyFill="1" applyBorder="1" applyAlignment="1">
      <alignment horizontal="left" vertical="center"/>
    </xf>
    <xf numFmtId="166" fontId="100" fillId="9" borderId="228" xfId="55" applyNumberFormat="1" applyFont="1" applyFill="1" applyBorder="1" applyAlignment="1">
      <alignment horizontal="right"/>
    </xf>
    <xf numFmtId="0" fontId="80" fillId="9" borderId="109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top"/>
    </xf>
    <xf numFmtId="2" fontId="70" fillId="9" borderId="231" xfId="55" applyNumberFormat="1" applyFont="1" applyFill="1" applyBorder="1" applyAlignment="1">
      <alignment horizontal="center" vertical="center"/>
    </xf>
    <xf numFmtId="0" fontId="118" fillId="9" borderId="112" xfId="0" applyFont="1" applyFill="1" applyBorder="1" applyAlignment="1">
      <alignment horizontal="center" vertical="center"/>
    </xf>
    <xf numFmtId="166" fontId="100" fillId="9" borderId="91" xfId="55" applyNumberFormat="1" applyFont="1" applyFill="1" applyBorder="1" applyAlignment="1">
      <alignment horizontal="left"/>
    </xf>
    <xf numFmtId="0" fontId="62" fillId="10" borderId="232" xfId="0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center" vertical="center"/>
    </xf>
    <xf numFmtId="0" fontId="106" fillId="10" borderId="234" xfId="0" applyNumberFormat="1" applyFont="1" applyFill="1" applyBorder="1" applyAlignment="1">
      <alignment horizontal="center" vertical="center"/>
    </xf>
    <xf numFmtId="0" fontId="106" fillId="10" borderId="233" xfId="0" applyNumberFormat="1" applyFont="1" applyFill="1" applyBorder="1" applyAlignment="1">
      <alignment horizontal="center" vertical="center"/>
    </xf>
    <xf numFmtId="0" fontId="33" fillId="10" borderId="234" xfId="55" applyNumberFormat="1" applyFont="1" applyFill="1" applyBorder="1" applyAlignment="1">
      <alignment horizontal="center" vertical="center"/>
    </xf>
    <xf numFmtId="0" fontId="61" fillId="9" borderId="234" xfId="0" applyFont="1" applyFill="1" applyBorder="1" applyAlignment="1">
      <alignment horizontal="center" vertical="center"/>
    </xf>
    <xf numFmtId="10" fontId="101" fillId="10" borderId="234" xfId="114" applyNumberFormat="1" applyFont="1" applyFill="1" applyBorder="1" applyAlignment="1">
      <alignment horizontal="center" vertical="center"/>
    </xf>
    <xf numFmtId="0" fontId="35" fillId="10" borderId="235" xfId="0" applyFont="1" applyFill="1" applyBorder="1" applyAlignment="1">
      <alignment horizontal="right" vertical="center"/>
    </xf>
    <xf numFmtId="0" fontId="35" fillId="10" borderId="236" xfId="0" applyFont="1" applyFill="1" applyBorder="1" applyAlignment="1">
      <alignment horizontal="right" vertical="center"/>
    </xf>
    <xf numFmtId="0" fontId="35" fillId="10" borderId="237" xfId="0" applyFont="1" applyFill="1" applyBorder="1" applyAlignment="1">
      <alignment horizontal="right" vertical="center"/>
    </xf>
    <xf numFmtId="0" fontId="33" fillId="10" borderId="236" xfId="0" applyFont="1" applyFill="1" applyBorder="1" applyAlignment="1">
      <alignment horizontal="right" vertical="center"/>
    </xf>
    <xf numFmtId="3" fontId="33" fillId="10" borderId="236" xfId="0" applyNumberFormat="1" applyFont="1" applyFill="1" applyBorder="1" applyAlignment="1">
      <alignment horizontal="right" vertical="center"/>
    </xf>
    <xf numFmtId="165" fontId="33" fillId="10" borderId="235" xfId="0" applyNumberFormat="1" applyFont="1" applyFill="1" applyBorder="1" applyAlignment="1">
      <alignment horizontal="center" vertical="center"/>
    </xf>
    <xf numFmtId="0" fontId="26" fillId="9" borderId="236" xfId="0" applyFont="1" applyFill="1" applyBorder="1" applyAlignment="1">
      <alignment horizontal="center" vertical="center"/>
    </xf>
    <xf numFmtId="0" fontId="80" fillId="9" borderId="238" xfId="0" applyNumberFormat="1" applyFont="1" applyFill="1" applyBorder="1" applyAlignment="1">
      <alignment horizontal="center" vertical="center"/>
    </xf>
    <xf numFmtId="0" fontId="70" fillId="9" borderId="239" xfId="0" applyNumberFormat="1" applyFont="1" applyFill="1" applyBorder="1" applyAlignment="1">
      <alignment horizontal="center" vertical="center"/>
    </xf>
    <xf numFmtId="0" fontId="69" fillId="9" borderId="240" xfId="0" applyNumberFormat="1" applyFont="1" applyFill="1" applyBorder="1" applyAlignment="1">
      <alignment horizontal="center" vertical="center"/>
    </xf>
    <xf numFmtId="0" fontId="71" fillId="9" borderId="234" xfId="0" applyNumberFormat="1" applyFont="1" applyFill="1" applyBorder="1" applyAlignment="1">
      <alignment horizontal="center" vertical="center"/>
    </xf>
    <xf numFmtId="166" fontId="70" fillId="9" borderId="238" xfId="55" applyNumberFormat="1" applyFont="1" applyFill="1" applyBorder="1" applyAlignment="1">
      <alignment horizontal="center" vertical="center"/>
    </xf>
    <xf numFmtId="166" fontId="100" fillId="9" borderId="235" xfId="55" applyNumberFormat="1" applyFont="1" applyFill="1" applyBorder="1" applyAlignment="1">
      <alignment horizontal="left"/>
    </xf>
    <xf numFmtId="0" fontId="99" fillId="10" borderId="232" xfId="0" applyFont="1" applyFill="1" applyBorder="1" applyAlignment="1">
      <alignment horizontal="right" vertical="center"/>
    </xf>
    <xf numFmtId="166" fontId="90" fillId="9" borderId="241" xfId="55" applyNumberFormat="1" applyFont="1" applyFill="1" applyBorder="1" applyAlignment="1">
      <alignment horizontal="center" vertical="center"/>
    </xf>
    <xf numFmtId="0" fontId="64" fillId="9" borderId="234" xfId="55" applyNumberFormat="1" applyFont="1" applyFill="1" applyBorder="1" applyAlignment="1">
      <alignment horizontal="center" vertical="center"/>
    </xf>
    <xf numFmtId="0" fontId="64" fillId="9" borderId="241" xfId="55" applyNumberFormat="1" applyFont="1" applyFill="1" applyBorder="1" applyAlignment="1">
      <alignment horizontal="center" vertical="center"/>
    </xf>
    <xf numFmtId="166" fontId="33" fillId="10" borderId="236" xfId="55" applyNumberFormat="1" applyFont="1" applyFill="1" applyBorder="1" applyAlignment="1">
      <alignment horizontal="right" vertical="center"/>
    </xf>
    <xf numFmtId="0" fontId="70" fillId="9" borderId="238" xfId="55" applyNumberFormat="1" applyFont="1" applyFill="1" applyBorder="1" applyAlignment="1">
      <alignment horizontal="center" vertical="center"/>
    </xf>
    <xf numFmtId="0" fontId="70" fillId="9" borderId="234" xfId="0" applyNumberFormat="1" applyFont="1" applyFill="1" applyBorder="1" applyAlignment="1">
      <alignment horizontal="center" vertical="top"/>
    </xf>
    <xf numFmtId="166" fontId="100" fillId="9" borderId="242" xfId="55" applyNumberFormat="1" applyFont="1" applyFill="1" applyBorder="1" applyAlignment="1">
      <alignment horizontal="left"/>
    </xf>
    <xf numFmtId="0" fontId="114" fillId="10" borderId="243" xfId="0" applyFont="1" applyFill="1" applyBorder="1" applyAlignment="1">
      <alignment horizontal="left" vertical="center"/>
    </xf>
    <xf numFmtId="0" fontId="33" fillId="10" borderId="244" xfId="55" applyNumberFormat="1" applyFont="1" applyFill="1" applyBorder="1" applyAlignment="1">
      <alignment horizontal="center" vertical="center"/>
    </xf>
    <xf numFmtId="0" fontId="115" fillId="10" borderId="245" xfId="0" applyFont="1" applyFill="1" applyBorder="1" applyAlignment="1">
      <alignment horizontal="center" vertical="center"/>
    </xf>
    <xf numFmtId="0" fontId="115" fillId="10" borderId="244" xfId="0" applyFont="1" applyFill="1" applyBorder="1" applyAlignment="1">
      <alignment horizontal="center" vertical="center"/>
    </xf>
    <xf numFmtId="0" fontId="33" fillId="10" borderId="245" xfId="55" applyNumberFormat="1" applyFont="1" applyFill="1" applyBorder="1" applyAlignment="1">
      <alignment horizontal="center" vertical="center"/>
    </xf>
    <xf numFmtId="0" fontId="114" fillId="9" borderId="245" xfId="0" applyFont="1" applyFill="1" applyBorder="1" applyAlignment="1">
      <alignment horizontal="center" vertical="center"/>
    </xf>
    <xf numFmtId="10" fontId="101" fillId="10" borderId="245" xfId="114" applyNumberFormat="1" applyFont="1" applyFill="1" applyBorder="1" applyAlignment="1">
      <alignment horizontal="center" vertical="center"/>
    </xf>
    <xf numFmtId="0" fontId="35" fillId="10" borderId="246" xfId="0" applyFont="1" applyFill="1" applyBorder="1" applyAlignment="1">
      <alignment horizontal="right" vertical="center"/>
    </xf>
    <xf numFmtId="0" fontId="35" fillId="10" borderId="247" xfId="0" applyFont="1" applyFill="1" applyBorder="1" applyAlignment="1">
      <alignment horizontal="right" vertical="center"/>
    </xf>
    <xf numFmtId="0" fontId="35" fillId="10" borderId="143" xfId="0" applyFont="1" applyFill="1" applyBorder="1" applyAlignment="1">
      <alignment horizontal="right" vertical="center"/>
    </xf>
    <xf numFmtId="0" fontId="33" fillId="10" borderId="247" xfId="0" applyFont="1" applyFill="1" applyBorder="1" applyAlignment="1">
      <alignment horizontal="right" vertical="center"/>
    </xf>
    <xf numFmtId="3" fontId="33" fillId="10" borderId="247" xfId="0" applyNumberFormat="1" applyFont="1" applyFill="1" applyBorder="1" applyAlignment="1">
      <alignment horizontal="right" vertical="center"/>
    </xf>
    <xf numFmtId="165" fontId="33" fillId="10" borderId="246" xfId="0" applyNumberFormat="1" applyFont="1" applyFill="1" applyBorder="1" applyAlignment="1">
      <alignment horizontal="center" vertical="center"/>
    </xf>
    <xf numFmtId="0" fontId="26" fillId="9" borderId="247" xfId="0" applyFont="1" applyFill="1" applyBorder="1" applyAlignment="1">
      <alignment horizontal="center" vertical="center"/>
    </xf>
    <xf numFmtId="0" fontId="23" fillId="9" borderId="247" xfId="0" applyFont="1" applyFill="1" applyBorder="1" applyAlignment="1">
      <alignment horizontal="center" vertical="center"/>
    </xf>
    <xf numFmtId="1" fontId="23" fillId="9" borderId="248" xfId="0" applyNumberFormat="1" applyFont="1" applyFill="1" applyBorder="1" applyAlignment="1">
      <alignment horizontal="center" vertical="center"/>
    </xf>
    <xf numFmtId="1" fontId="25" fillId="9" borderId="246" xfId="0" applyNumberFormat="1" applyFont="1" applyFill="1" applyBorder="1" applyAlignment="1">
      <alignment horizontal="center" vertical="center"/>
    </xf>
    <xf numFmtId="1" fontId="25" fillId="9" borderId="249" xfId="0" applyNumberFormat="1" applyFont="1" applyFill="1" applyBorder="1" applyAlignment="1">
      <alignment horizontal="center" vertical="center"/>
    </xf>
    <xf numFmtId="0" fontId="80" fillId="9" borderId="250" xfId="0" applyNumberFormat="1" applyFont="1" applyFill="1" applyBorder="1" applyAlignment="1">
      <alignment horizontal="center" vertical="center"/>
    </xf>
    <xf numFmtId="0" fontId="70" fillId="9" borderId="251" xfId="0" applyNumberFormat="1" applyFont="1" applyFill="1" applyBorder="1" applyAlignment="1">
      <alignment horizontal="center" vertical="top"/>
    </xf>
    <xf numFmtId="0" fontId="90" fillId="9" borderId="252" xfId="55" applyNumberFormat="1" applyFont="1" applyFill="1" applyBorder="1" applyAlignment="1">
      <alignment horizontal="center" vertical="center"/>
    </xf>
    <xf numFmtId="1" fontId="70" fillId="9" borderId="144" xfId="55" applyNumberFormat="1" applyFont="1" applyFill="1" applyBorder="1" applyAlignment="1">
      <alignment vertical="center"/>
    </xf>
    <xf numFmtId="0" fontId="119" fillId="9" borderId="247" xfId="0" applyFont="1" applyFill="1" applyBorder="1" applyAlignment="1">
      <alignment horizontal="center" vertical="center"/>
    </xf>
    <xf numFmtId="166" fontId="100" fillId="9" borderId="246" xfId="55" applyNumberFormat="1" applyFont="1" applyFill="1" applyBorder="1" applyAlignment="1">
      <alignment horizontal="left"/>
    </xf>
    <xf numFmtId="2" fontId="68" fillId="9" borderId="241" xfId="55" applyNumberFormat="1" applyFont="1" applyFill="1" applyBorder="1" applyAlignment="1">
      <alignment horizontal="left" vertical="center"/>
    </xf>
    <xf numFmtId="0" fontId="33" fillId="10" borderId="236" xfId="55" applyNumberFormat="1" applyFont="1" applyFill="1" applyBorder="1" applyAlignment="1">
      <alignment horizontal="center" vertical="center"/>
    </xf>
    <xf numFmtId="0" fontId="61" fillId="10" borderId="236" xfId="0" applyFont="1" applyFill="1" applyBorder="1" applyAlignment="1">
      <alignment horizontal="center" vertical="center"/>
    </xf>
    <xf numFmtId="0" fontId="64" fillId="9" borderId="253" xfId="55" applyNumberFormat="1" applyFont="1" applyFill="1" applyBorder="1" applyAlignment="1">
      <alignment horizontal="center" vertical="center"/>
    </xf>
    <xf numFmtId="0" fontId="90" fillId="9" borderId="253" xfId="55" applyNumberFormat="1" applyFont="1" applyFill="1" applyBorder="1" applyAlignment="1">
      <alignment horizontal="center" vertical="center"/>
    </xf>
    <xf numFmtId="0" fontId="73" fillId="10" borderId="235" xfId="0" applyFont="1" applyFill="1" applyBorder="1" applyAlignment="1">
      <alignment horizontal="right" vertical="center"/>
    </xf>
    <xf numFmtId="0" fontId="73" fillId="10" borderId="236" xfId="0" applyFont="1" applyFill="1" applyBorder="1" applyAlignment="1">
      <alignment horizontal="right" vertical="center"/>
    </xf>
    <xf numFmtId="0" fontId="73" fillId="10" borderId="237" xfId="0" applyFont="1" applyFill="1" applyBorder="1" applyAlignment="1">
      <alignment horizontal="right" vertical="center"/>
    </xf>
    <xf numFmtId="0" fontId="74" fillId="10" borderId="236" xfId="0" applyFont="1" applyFill="1" applyBorder="1" applyAlignment="1">
      <alignment horizontal="right" vertical="center"/>
    </xf>
    <xf numFmtId="3" fontId="74" fillId="10" borderId="236" xfId="0" applyNumberFormat="1" applyFont="1" applyFill="1" applyBorder="1" applyAlignment="1">
      <alignment horizontal="right" vertical="center"/>
    </xf>
    <xf numFmtId="169" fontId="70" fillId="9" borderId="112" xfId="114" applyNumberFormat="1" applyFont="1" applyFill="1" applyBorder="1" applyAlignment="1">
      <alignment horizontal="center" vertical="center"/>
    </xf>
    <xf numFmtId="170" fontId="117" fillId="9" borderId="112" xfId="114" applyNumberFormat="1" applyFont="1" applyFill="1" applyBorder="1" applyAlignment="1">
      <alignment horizontal="center" vertical="center"/>
    </xf>
    <xf numFmtId="170" fontId="116" fillId="9" borderId="91" xfId="55" applyNumberFormat="1" applyFont="1" applyFill="1" applyBorder="1" applyAlignment="1">
      <alignment horizontal="center"/>
    </xf>
    <xf numFmtId="0" fontId="80" fillId="9" borderId="254" xfId="0" applyNumberFormat="1" applyFont="1" applyFill="1" applyBorder="1" applyAlignment="1">
      <alignment horizontal="center" vertical="center"/>
    </xf>
    <xf numFmtId="2" fontId="70" fillId="9" borderId="240" xfId="55" applyNumberFormat="1" applyFont="1" applyFill="1" applyBorder="1" applyAlignment="1">
      <alignment horizontal="center" vertical="center"/>
    </xf>
    <xf numFmtId="0" fontId="69" fillId="9" borderId="238" xfId="55" applyNumberFormat="1" applyFont="1" applyFill="1" applyBorder="1" applyAlignment="1">
      <alignment horizontal="center" vertical="center"/>
    </xf>
    <xf numFmtId="2" fontId="70" fillId="9" borderId="236" xfId="55" applyNumberFormat="1" applyFont="1" applyFill="1" applyBorder="1" applyAlignment="1">
      <alignment horizontal="center" vertical="center"/>
    </xf>
    <xf numFmtId="0" fontId="61" fillId="10" borderId="232" xfId="0" applyFont="1" applyFill="1" applyBorder="1" applyAlignment="1">
      <alignment horizontal="left" vertical="center"/>
    </xf>
    <xf numFmtId="0" fontId="106" fillId="10" borderId="236" xfId="0" applyNumberFormat="1" applyFont="1" applyFill="1" applyBorder="1" applyAlignment="1">
      <alignment horizontal="center" vertical="center"/>
    </xf>
    <xf numFmtId="0" fontId="33" fillId="10" borderId="235" xfId="0" applyFont="1" applyFill="1" applyBorder="1" applyAlignment="1">
      <alignment horizontal="right" vertical="center"/>
    </xf>
    <xf numFmtId="0" fontId="23" fillId="9" borderId="236" xfId="0" applyFont="1" applyFill="1" applyBorder="1" applyAlignment="1">
      <alignment horizontal="center" vertical="center"/>
    </xf>
    <xf numFmtId="1" fontId="23" fillId="9" borderId="255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56" xfId="0" applyNumberFormat="1" applyFont="1" applyFill="1" applyBorder="1" applyAlignment="1">
      <alignment horizontal="center" vertical="center"/>
    </xf>
    <xf numFmtId="2" fontId="69" fillId="9" borderId="238" xfId="0" applyNumberFormat="1" applyFont="1" applyFill="1" applyBorder="1" applyAlignment="1">
      <alignment vertical="center"/>
    </xf>
    <xf numFmtId="0" fontId="90" fillId="9" borderId="257" xfId="55" applyNumberFormat="1" applyFont="1" applyFill="1" applyBorder="1" applyAlignment="1">
      <alignment horizontal="center" vertical="center"/>
    </xf>
    <xf numFmtId="2" fontId="69" fillId="9" borderId="234" xfId="55" applyNumberFormat="1" applyFont="1" applyFill="1" applyBorder="1" applyAlignment="1">
      <alignment horizontal="center" vertical="center"/>
    </xf>
    <xf numFmtId="2" fontId="62" fillId="9" borderId="234" xfId="0" applyNumberFormat="1" applyFont="1" applyFill="1" applyBorder="1" applyAlignment="1">
      <alignment horizontal="center" vertical="center"/>
    </xf>
    <xf numFmtId="0" fontId="120" fillId="9" borderId="97" xfId="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42">
    <dxf>
      <font>
        <color theme="0" tint="-0.14996795556505021"/>
      </font>
    </dxf>
    <dxf>
      <font>
        <b val="0"/>
        <i val="0"/>
        <color rgb="FFFF000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07E39"/>
      <color rgb="FF0A4219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B36" sqref="B36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628" bestFit="1" customWidth="1"/>
    <col min="3" max="3" width="8" style="629" bestFit="1" customWidth="1"/>
    <col min="4" max="4" width="7.7109375" style="629" bestFit="1" customWidth="1"/>
    <col min="5" max="5" width="8.7109375" style="628" bestFit="1" customWidth="1"/>
    <col min="6" max="6" width="7.140625" style="38" customWidth="1"/>
    <col min="7" max="7" width="6.28515625" style="506" bestFit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514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531" bestFit="1" customWidth="1"/>
    <col min="24" max="24" width="7.5703125" style="277" bestFit="1" customWidth="1"/>
    <col min="25" max="25" width="7.42578125" style="508" bestFit="1" customWidth="1"/>
    <col min="26" max="26" width="7.85546875" style="509" bestFit="1" customWidth="1"/>
    <col min="27" max="27" width="8.140625" style="510" bestFit="1" customWidth="1"/>
    <col min="28" max="28" width="9.5703125" style="45" bestFit="1" customWidth="1"/>
    <col min="29" max="29" width="5.5703125" style="45" bestFit="1" customWidth="1"/>
    <col min="30" max="30" width="5.42578125" style="45" bestFit="1" customWidth="1"/>
    <col min="31" max="31" width="8.28515625" style="45" bestFit="1" customWidth="1"/>
    <col min="32" max="32" width="10.7109375" style="45" bestFit="1" customWidth="1"/>
    <col min="33" max="33" width="7" style="45" customWidth="1"/>
    <col min="34" max="34" width="7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9" customHeight="1">
      <c r="A1" s="306" t="s">
        <v>126</v>
      </c>
      <c r="B1" s="307" t="s">
        <v>336</v>
      </c>
      <c r="C1" s="306" t="s">
        <v>305</v>
      </c>
      <c r="D1" s="306" t="s">
        <v>306</v>
      </c>
      <c r="E1" s="307" t="s">
        <v>337</v>
      </c>
      <c r="F1" s="306" t="s">
        <v>127</v>
      </c>
      <c r="G1" s="307" t="s">
        <v>303</v>
      </c>
      <c r="H1" s="307" t="s">
        <v>128</v>
      </c>
      <c r="I1" s="307" t="s">
        <v>129</v>
      </c>
      <c r="J1" s="307" t="s">
        <v>130</v>
      </c>
      <c r="K1" s="307" t="s">
        <v>307</v>
      </c>
      <c r="L1" s="307" t="s">
        <v>304</v>
      </c>
      <c r="M1" s="307" t="s">
        <v>640</v>
      </c>
      <c r="N1" s="436" t="s">
        <v>131</v>
      </c>
      <c r="O1" s="307" t="s">
        <v>132</v>
      </c>
      <c r="P1" s="308"/>
      <c r="Q1" s="660" t="s">
        <v>112</v>
      </c>
      <c r="R1" s="661"/>
      <c r="S1" s="664" t="s">
        <v>110</v>
      </c>
      <c r="T1" s="665"/>
      <c r="U1" s="662">
        <f>IF(O63&lt;&gt;"",O63,O38)</f>
        <v>45434.708518518521</v>
      </c>
      <c r="V1" s="663"/>
      <c r="W1" s="556" t="s">
        <v>639</v>
      </c>
      <c r="X1" s="556" t="s">
        <v>638</v>
      </c>
      <c r="Y1" s="589">
        <v>-10</v>
      </c>
      <c r="Z1" s="564">
        <v>5.0000000000000001E-4</v>
      </c>
      <c r="AA1" s="448">
        <v>0</v>
      </c>
      <c r="AB1" s="575">
        <f>$AA$66</f>
        <v>123035.71428571428</v>
      </c>
      <c r="AC1" s="574">
        <v>100</v>
      </c>
      <c r="AD1" s="51">
        <f>IF(AJ3&lt;&gt;0,2,IF(AJ4&lt;&gt;0,3,IF(AJ5&lt;&gt;0,4,IF(AJ6&lt;&gt;0,5,IF(AJ7&lt;&gt;0,6,IF(AJ8&lt;&gt;0,7,IF(AJ9&lt;&gt;0,8,IF(AJ10&lt;&gt;0,9,IF(AJ11&lt;&gt;0,10,1)))))))))</f>
        <v>2</v>
      </c>
      <c r="AE1" s="460">
        <f>IF(AJ3&lt;&gt;0,AJ3/365,IF(AJ4&lt;&gt;0,AJ5/365,IF(AJ5&lt;&gt;0,AJ6/365,IF(AJ6&lt;&gt;0,AJ7/365,IF(AJ7&lt;&gt;0,AJ8/365,IF(AJ8&lt;&gt;0,AJ9/365,IF(AJ9&lt;&gt;0,AJ10/365,IF(AJ10&lt;&gt;0,AJ11/365,IF(AJ11&lt;&gt;0,AJ12/365,60/365)))))))))</f>
        <v>8.5917808219178077E-4</v>
      </c>
      <c r="AF1" s="253" t="s">
        <v>314</v>
      </c>
      <c r="AG1" s="253" t="s">
        <v>315</v>
      </c>
      <c r="AH1" s="253" t="s">
        <v>316</v>
      </c>
      <c r="AI1" s="253" t="s">
        <v>317</v>
      </c>
      <c r="AJ1" s="254" t="s">
        <v>312</v>
      </c>
      <c r="AK1" s="252" t="s">
        <v>313</v>
      </c>
      <c r="AL1" s="206" t="s">
        <v>311</v>
      </c>
    </row>
    <row r="2" spans="1:42" ht="12.75" hidden="1" customHeight="1" outlineLevel="1">
      <c r="A2" s="388" t="s">
        <v>538</v>
      </c>
      <c r="B2" s="597">
        <f t="shared" ref="B2:B29" si="0">IF(A2&lt;&gt;"",VLOOKUP($A2,$A$30:$N$199,2,0),"")</f>
        <v>1219</v>
      </c>
      <c r="C2" s="598">
        <f t="shared" ref="C2:C25" si="1">IF(A2&lt;&gt;"",VLOOKUP($A2,$A$60:$N$199,3,0),"")</f>
        <v>45.6</v>
      </c>
      <c r="D2" s="599">
        <f t="shared" ref="D2:D25" si="2">IF(A2&lt;&gt;"",VLOOKUP($A2,$A$60:$N$199,4,0),"")</f>
        <v>46.427999999999997</v>
      </c>
      <c r="E2" s="571">
        <f t="shared" ref="E2:E25" si="3">IF(A2&lt;&gt;"",VLOOKUP($A2,$A$60:$N$199,5,0),"")</f>
        <v>1023</v>
      </c>
      <c r="F2" s="593">
        <f t="shared" ref="F2:F25" si="4">IF($A2&lt;&gt;"",VLOOKUP($A2,$A$60:$N$199,6,0),"")</f>
        <v>45.798999999999999</v>
      </c>
      <c r="G2" s="502">
        <f t="shared" ref="G2:G25" si="5">IF($A2&lt;&gt;"",VLOOKUP($A2,$A$60:$N$199,7,0),"")</f>
        <v>-2.4500000000000001E-2</v>
      </c>
      <c r="H2" s="232">
        <f t="shared" ref="H2:H25" si="6">IF($A2&lt;&gt;"",VLOOKUP($A2,$A$60:$N$199,8,0),"")</f>
        <v>46.86</v>
      </c>
      <c r="I2" s="224">
        <f t="shared" ref="I2:I25" si="7">IF($A2&lt;&gt;"",VLOOKUP($A2,$A$60:$N$199,9,0),"")</f>
        <v>46.875999999999998</v>
      </c>
      <c r="J2" s="261">
        <f t="shared" ref="J2:J25" si="8">IF($A2&lt;&gt;"",VLOOKUP($A2,$A$60:$N$199,10,0),"")</f>
        <v>45.01</v>
      </c>
      <c r="K2" s="228">
        <f t="shared" ref="K2:K25" si="9">IF($A2&lt;&gt;"",VLOOKUP($A2,$A$60:$N$199,11,0),"")</f>
        <v>46.951000000000001</v>
      </c>
      <c r="L2" s="239">
        <f t="shared" ref="L2:L25" si="10">IF($A2&lt;&gt;"",VLOOKUP($A2,$A$60:$N$199,12,0),"")</f>
        <v>9911</v>
      </c>
      <c r="M2" s="228">
        <f t="shared" ref="M2:M25" si="11">IF($A2&lt;&gt;"",VLOOKUP($A2,$A$60:$N$199,13,0),"")</f>
        <v>21606</v>
      </c>
      <c r="N2" s="535">
        <f t="shared" ref="N2:N29" si="12">IF($A2&lt;&gt;"",VLOOKUP($A2,$A$60:$N$199,14,0),"")</f>
        <v>38</v>
      </c>
      <c r="O2" s="255">
        <f t="shared" ref="O2:O17" si="13">IF($A2&lt;&gt;"",VLOOKUP($A2,$A$60:$O$199,15,0),"")</f>
        <v>45434.687627314815</v>
      </c>
      <c r="P2" s="266">
        <v>1</v>
      </c>
      <c r="Q2" s="546"/>
      <c r="R2" s="582"/>
      <c r="S2" s="554"/>
      <c r="T2" s="577"/>
      <c r="U2" s="543"/>
      <c r="V2" s="489"/>
      <c r="W2" s="494"/>
      <c r="X2" s="420"/>
      <c r="Y2" s="416">
        <f>IFERROR(IF(#REF!&lt;&gt;"",INT(#REF!/(D5/100)),100),100)</f>
        <v>100</v>
      </c>
      <c r="Z2" s="557">
        <f>IFERROR($C2*(1-$AA$1)/100*$Y2,"")</f>
        <v>45.6</v>
      </c>
      <c r="AA2" s="658">
        <f>IFERROR($Z2-$Z3,"")</f>
        <v>0.23999999999999488</v>
      </c>
      <c r="AB2" s="517"/>
      <c r="AD2" s="269" t="s">
        <v>318</v>
      </c>
      <c r="AE2" s="275">
        <v>45435</v>
      </c>
      <c r="AF2" s="267">
        <v>849265194.01999998</v>
      </c>
      <c r="AG2" s="268">
        <v>0.30649999999999999</v>
      </c>
      <c r="AH2" s="268">
        <v>0.31</v>
      </c>
      <c r="AI2" s="267">
        <v>1744225950.75</v>
      </c>
      <c r="AJ2" s="272">
        <v>0.30649999999999999</v>
      </c>
      <c r="AK2" s="267"/>
    </row>
    <row r="3" spans="1:42" ht="12.75" hidden="1" customHeight="1" outlineLevel="1">
      <c r="A3" s="279" t="s">
        <v>14</v>
      </c>
      <c r="B3" s="600">
        <f t="shared" si="0"/>
        <v>19919</v>
      </c>
      <c r="C3" s="601">
        <f t="shared" si="1"/>
        <v>55.9</v>
      </c>
      <c r="D3" s="602">
        <f t="shared" si="2"/>
        <v>56</v>
      </c>
      <c r="E3" s="603">
        <f t="shared" si="3"/>
        <v>24451</v>
      </c>
      <c r="F3" s="491">
        <f t="shared" si="4"/>
        <v>56</v>
      </c>
      <c r="G3" s="503">
        <f t="shared" si="5"/>
        <v>-3.6900000000000002E-2</v>
      </c>
      <c r="H3" s="231">
        <f t="shared" si="6"/>
        <v>57.51</v>
      </c>
      <c r="I3" s="222">
        <f t="shared" si="7"/>
        <v>57.68</v>
      </c>
      <c r="J3" s="259">
        <f t="shared" si="8"/>
        <v>55.7</v>
      </c>
      <c r="K3" s="226">
        <f t="shared" si="9"/>
        <v>58.15</v>
      </c>
      <c r="L3" s="229">
        <f t="shared" si="10"/>
        <v>109724996</v>
      </c>
      <c r="M3" s="226">
        <f t="shared" si="11"/>
        <v>193872688</v>
      </c>
      <c r="N3" s="536">
        <f t="shared" si="12"/>
        <v>94642</v>
      </c>
      <c r="O3" s="256">
        <f t="shared" si="13"/>
        <v>45434.6875</v>
      </c>
      <c r="P3" s="265">
        <v>2</v>
      </c>
      <c r="Q3" s="545"/>
      <c r="R3" s="579"/>
      <c r="S3" s="555"/>
      <c r="T3" s="576"/>
      <c r="U3" s="544"/>
      <c r="V3" s="490"/>
      <c r="W3" s="381"/>
      <c r="X3" s="421"/>
      <c r="Y3" s="417">
        <f>IFERROR(INT($Z2/($D3*(1+$AA$1)/100)),0)</f>
        <v>81</v>
      </c>
      <c r="Z3" s="558">
        <f>IFERROR($D3/100*INT($Y3),"")</f>
        <v>45.360000000000007</v>
      </c>
      <c r="AA3" s="659"/>
      <c r="AB3" s="500"/>
      <c r="AD3" s="47" t="s">
        <v>319</v>
      </c>
      <c r="AE3" s="276">
        <v>45436</v>
      </c>
      <c r="AF3" s="46">
        <v>234143505.66999999</v>
      </c>
      <c r="AG3" s="50">
        <v>0.30199999999999999</v>
      </c>
      <c r="AH3" s="50">
        <v>0.31359999999999999</v>
      </c>
      <c r="AI3" s="46">
        <v>2185568.4</v>
      </c>
      <c r="AJ3" s="273">
        <v>0.31359999999999999</v>
      </c>
      <c r="AK3" s="46">
        <v>29393059883</v>
      </c>
    </row>
    <row r="4" spans="1:42" ht="12.75" hidden="1" customHeight="1" outlineLevel="1">
      <c r="A4" s="278" t="s">
        <v>13</v>
      </c>
      <c r="B4" s="597">
        <f t="shared" si="0"/>
        <v>980</v>
      </c>
      <c r="C4" s="598">
        <f t="shared" si="1"/>
        <v>68900</v>
      </c>
      <c r="D4" s="604">
        <f t="shared" si="2"/>
        <v>68980</v>
      </c>
      <c r="E4" s="605">
        <f t="shared" si="3"/>
        <v>73</v>
      </c>
      <c r="F4" s="593">
        <f t="shared" si="4"/>
        <v>68940</v>
      </c>
      <c r="G4" s="502">
        <f t="shared" si="5"/>
        <v>1.0800000000000001E-2</v>
      </c>
      <c r="H4" s="232">
        <f t="shared" si="6"/>
        <v>69980</v>
      </c>
      <c r="I4" s="224">
        <f t="shared" si="7"/>
        <v>69980</v>
      </c>
      <c r="J4" s="261">
        <f t="shared" si="8"/>
        <v>67240</v>
      </c>
      <c r="K4" s="228">
        <f t="shared" si="9"/>
        <v>68200</v>
      </c>
      <c r="L4" s="239">
        <f t="shared" si="10"/>
        <v>188390198280</v>
      </c>
      <c r="M4" s="228">
        <f t="shared" si="11"/>
        <v>274970722</v>
      </c>
      <c r="N4" s="535">
        <f t="shared" si="12"/>
        <v>106807</v>
      </c>
      <c r="O4" s="255">
        <f t="shared" si="13"/>
        <v>45434.687696759262</v>
      </c>
      <c r="P4" s="266">
        <v>3</v>
      </c>
      <c r="Q4" s="546"/>
      <c r="R4" s="580"/>
      <c r="S4" s="554"/>
      <c r="T4" s="577"/>
      <c r="U4" s="543"/>
      <c r="V4" s="489"/>
      <c r="W4" s="494"/>
      <c r="X4" s="423"/>
      <c r="Y4" s="418">
        <f t="shared" ref="Y4:Y12" si="14">Y3</f>
        <v>81</v>
      </c>
      <c r="Z4" s="559">
        <f>IFERROR($C4*(1-$AA$1)/100*INT($Y4),"")</f>
        <v>55809</v>
      </c>
      <c r="AA4" s="656">
        <f>IFERROR($Z4-$Z5,"")</f>
        <v>468</v>
      </c>
      <c r="AB4" s="517"/>
      <c r="AD4" s="269" t="s">
        <v>320</v>
      </c>
      <c r="AE4" s="276">
        <v>45437</v>
      </c>
      <c r="AF4" s="267"/>
      <c r="AG4" s="268"/>
      <c r="AH4" s="268"/>
      <c r="AI4" s="267"/>
      <c r="AJ4" s="272"/>
      <c r="AK4" s="267"/>
      <c r="AL4" s="45"/>
    </row>
    <row r="5" spans="1:42" ht="12.75" hidden="1" customHeight="1" outlineLevel="1">
      <c r="A5" s="387" t="s">
        <v>534</v>
      </c>
      <c r="B5" s="606">
        <f t="shared" si="0"/>
        <v>378</v>
      </c>
      <c r="C5" s="607">
        <f t="shared" si="1"/>
        <v>55410</v>
      </c>
      <c r="D5" s="608">
        <f t="shared" si="2"/>
        <v>55900</v>
      </c>
      <c r="E5" s="609">
        <f t="shared" si="3"/>
        <v>45</v>
      </c>
      <c r="F5" s="492">
        <f t="shared" si="4"/>
        <v>55450</v>
      </c>
      <c r="G5" s="504">
        <f t="shared" si="5"/>
        <v>1.6799999999999999E-2</v>
      </c>
      <c r="H5" s="240">
        <f t="shared" si="6"/>
        <v>55990</v>
      </c>
      <c r="I5" s="241">
        <f t="shared" si="7"/>
        <v>56000</v>
      </c>
      <c r="J5" s="263">
        <f t="shared" si="8"/>
        <v>53900</v>
      </c>
      <c r="K5" s="242">
        <f t="shared" si="9"/>
        <v>54530</v>
      </c>
      <c r="L5" s="243">
        <f t="shared" si="10"/>
        <v>51369478</v>
      </c>
      <c r="M5" s="242">
        <f t="shared" si="11"/>
        <v>92353</v>
      </c>
      <c r="N5" s="537">
        <f t="shared" si="12"/>
        <v>212</v>
      </c>
      <c r="O5" s="258">
        <f t="shared" si="13"/>
        <v>45434.683067129627</v>
      </c>
      <c r="P5" s="433">
        <v>4</v>
      </c>
      <c r="Q5" s="545"/>
      <c r="R5" s="579"/>
      <c r="S5" s="555"/>
      <c r="T5" s="576"/>
      <c r="U5" s="544"/>
      <c r="V5" s="490"/>
      <c r="W5" s="434"/>
      <c r="X5" s="435"/>
      <c r="Y5" s="507">
        <f>IFERROR($Z4/($D5*(1+$AA$1)/100),0)</f>
        <v>99.837209302325576</v>
      </c>
      <c r="Z5" s="560">
        <f>IFERROR($D5/100*INT($Y5),"")</f>
        <v>55341</v>
      </c>
      <c r="AA5" s="657"/>
      <c r="AB5" s="500"/>
      <c r="AD5" s="47" t="s">
        <v>321</v>
      </c>
      <c r="AE5" s="276">
        <v>45438</v>
      </c>
      <c r="AF5" s="46"/>
      <c r="AG5" s="50"/>
      <c r="AH5" s="50"/>
      <c r="AI5" s="46"/>
      <c r="AJ5" s="273"/>
      <c r="AK5" s="46"/>
      <c r="AL5" s="45"/>
    </row>
    <row r="6" spans="1:42" ht="12.75" hidden="1" customHeight="1" outlineLevel="1">
      <c r="A6" s="388" t="s">
        <v>234</v>
      </c>
      <c r="B6" s="597">
        <f t="shared" si="0"/>
        <v>500</v>
      </c>
      <c r="C6" s="598">
        <f t="shared" si="1"/>
        <v>50.5</v>
      </c>
      <c r="D6" s="599">
        <f t="shared" si="2"/>
        <v>51</v>
      </c>
      <c r="E6" s="571">
        <f t="shared" si="3"/>
        <v>25518</v>
      </c>
      <c r="F6" s="593">
        <f t="shared" si="4"/>
        <v>50</v>
      </c>
      <c r="G6" s="502">
        <f t="shared" si="5"/>
        <v>-3.3799999999999997E-2</v>
      </c>
      <c r="H6" s="230">
        <f t="shared" si="6"/>
        <v>51.52</v>
      </c>
      <c r="I6" s="221">
        <f t="shared" si="7"/>
        <v>51.52</v>
      </c>
      <c r="J6" s="260">
        <f t="shared" si="8"/>
        <v>49.110999999999997</v>
      </c>
      <c r="K6" s="225">
        <f t="shared" si="9"/>
        <v>51.75</v>
      </c>
      <c r="L6" s="245">
        <f t="shared" si="10"/>
        <v>134205</v>
      </c>
      <c r="M6" s="225">
        <f t="shared" si="11"/>
        <v>268159</v>
      </c>
      <c r="N6" s="538">
        <f t="shared" si="12"/>
        <v>288</v>
      </c>
      <c r="O6" s="532">
        <f t="shared" si="13"/>
        <v>45434.705833333333</v>
      </c>
      <c r="P6" s="266">
        <v>5</v>
      </c>
      <c r="Q6" s="546"/>
      <c r="R6" s="580"/>
      <c r="S6" s="554"/>
      <c r="T6" s="577"/>
      <c r="U6" s="543"/>
      <c r="V6" s="489"/>
      <c r="W6" s="494"/>
      <c r="X6" s="422"/>
      <c r="Y6" s="419">
        <f>IFERROR(IF(#REF!&lt;&gt;"",INT(#REF!/(D9/100)),100),100)</f>
        <v>100</v>
      </c>
      <c r="Z6" s="557">
        <f>IFERROR($C6*(1-$AA$1)/100*$Y6,"")</f>
        <v>50.5</v>
      </c>
      <c r="AA6" s="658">
        <f>IFERROR($Z6-$Z7,"")</f>
        <v>0.25300000000000011</v>
      </c>
      <c r="AB6" s="517"/>
      <c r="AD6" s="269" t="s">
        <v>322</v>
      </c>
      <c r="AE6" s="276">
        <v>45439</v>
      </c>
      <c r="AF6" s="267">
        <v>47790000</v>
      </c>
      <c r="AG6" s="268">
        <v>0.27800000000000002</v>
      </c>
      <c r="AH6" s="268">
        <v>0.2969</v>
      </c>
      <c r="AI6" s="267">
        <v>73000.34</v>
      </c>
      <c r="AJ6" s="272">
        <v>0.2802</v>
      </c>
      <c r="AK6" s="267">
        <v>2312684753</v>
      </c>
    </row>
    <row r="7" spans="1:42" ht="12.75" hidden="1" customHeight="1" outlineLevel="1">
      <c r="A7" s="279" t="s">
        <v>4</v>
      </c>
      <c r="B7" s="600">
        <f t="shared" si="0"/>
        <v>2401</v>
      </c>
      <c r="C7" s="601">
        <f t="shared" si="1"/>
        <v>55.81</v>
      </c>
      <c r="D7" s="602">
        <f t="shared" si="2"/>
        <v>55.83</v>
      </c>
      <c r="E7" s="603">
        <f t="shared" si="3"/>
        <v>925</v>
      </c>
      <c r="F7" s="491">
        <f t="shared" si="4"/>
        <v>55.81</v>
      </c>
      <c r="G7" s="503">
        <f t="shared" si="5"/>
        <v>-0.04</v>
      </c>
      <c r="H7" s="231">
        <f t="shared" si="6"/>
        <v>57.98</v>
      </c>
      <c r="I7" s="222">
        <f t="shared" si="7"/>
        <v>57.98</v>
      </c>
      <c r="J7" s="259">
        <f t="shared" si="8"/>
        <v>55.67</v>
      </c>
      <c r="K7" s="226">
        <f t="shared" si="9"/>
        <v>58.14</v>
      </c>
      <c r="L7" s="229">
        <f t="shared" si="10"/>
        <v>27813641</v>
      </c>
      <c r="M7" s="511">
        <f t="shared" si="11"/>
        <v>49172617</v>
      </c>
      <c r="N7" s="536">
        <f t="shared" si="12"/>
        <v>22456</v>
      </c>
      <c r="O7" s="256">
        <f t="shared" si="13"/>
        <v>45434.708414351851</v>
      </c>
      <c r="P7" s="265">
        <v>6</v>
      </c>
      <c r="Q7" s="545"/>
      <c r="R7" s="579"/>
      <c r="S7" s="555"/>
      <c r="T7" s="576"/>
      <c r="U7" s="544"/>
      <c r="V7" s="490"/>
      <c r="W7" s="381"/>
      <c r="X7" s="421"/>
      <c r="Y7" s="417">
        <f>IFERROR(INT($Z6/($D7*(1+$AA$1)/100)),0)</f>
        <v>90</v>
      </c>
      <c r="Z7" s="558">
        <f>IFERROR($D7/100*INT($Y7),"")</f>
        <v>50.247</v>
      </c>
      <c r="AA7" s="659"/>
      <c r="AB7" s="500"/>
      <c r="AD7" s="47" t="s">
        <v>323</v>
      </c>
      <c r="AE7" s="276">
        <v>45440</v>
      </c>
      <c r="AF7" s="46">
        <v>47933241.18</v>
      </c>
      <c r="AG7" s="50">
        <v>0.2802</v>
      </c>
      <c r="AH7" s="50">
        <v>0.32340000000000002</v>
      </c>
      <c r="AI7" s="46">
        <v>84394.14</v>
      </c>
      <c r="AJ7" s="273">
        <v>0.2802</v>
      </c>
      <c r="AK7" s="46">
        <v>732187924</v>
      </c>
    </row>
    <row r="8" spans="1:42" hidden="1" outlineLevel="1">
      <c r="A8" s="278" t="s">
        <v>2</v>
      </c>
      <c r="B8" s="597">
        <f t="shared" si="0"/>
        <v>31887</v>
      </c>
      <c r="C8" s="598">
        <f t="shared" si="1"/>
        <v>68680</v>
      </c>
      <c r="D8" s="604">
        <f t="shared" si="2"/>
        <v>68700</v>
      </c>
      <c r="E8" s="605">
        <f t="shared" si="3"/>
        <v>56801</v>
      </c>
      <c r="F8" s="593">
        <f t="shared" si="4"/>
        <v>68680</v>
      </c>
      <c r="G8" s="502">
        <f t="shared" si="5"/>
        <v>9.3999999999999986E-3</v>
      </c>
      <c r="H8" s="230">
        <f t="shared" si="6"/>
        <v>68000</v>
      </c>
      <c r="I8" s="221">
        <f t="shared" si="7"/>
        <v>69800</v>
      </c>
      <c r="J8" s="260">
        <f t="shared" si="8"/>
        <v>67360</v>
      </c>
      <c r="K8" s="225">
        <f t="shared" si="9"/>
        <v>68040</v>
      </c>
      <c r="L8" s="245">
        <f t="shared" si="10"/>
        <v>144004935297</v>
      </c>
      <c r="M8" s="225">
        <f t="shared" si="11"/>
        <v>209824449</v>
      </c>
      <c r="N8" s="538">
        <f t="shared" si="12"/>
        <v>47774</v>
      </c>
      <c r="O8" s="532">
        <f t="shared" si="13"/>
        <v>45434.708518518521</v>
      </c>
      <c r="P8" s="266">
        <v>7</v>
      </c>
      <c r="Q8" s="546"/>
      <c r="R8" s="580"/>
      <c r="S8" s="554"/>
      <c r="T8" s="577"/>
      <c r="U8" s="543"/>
      <c r="V8" s="489"/>
      <c r="W8" s="494"/>
      <c r="X8" s="423"/>
      <c r="Y8" s="418">
        <f t="shared" si="14"/>
        <v>90</v>
      </c>
      <c r="Z8" s="559">
        <f>IFERROR($C8*(1-$AA$1)/100*INT($Y8),"")</f>
        <v>61811.999999999993</v>
      </c>
      <c r="AA8" s="656">
        <f>IFERROR($Z8-$Z9,"")</f>
        <v>100.99999999999272</v>
      </c>
      <c r="AB8" s="517"/>
      <c r="AD8" s="269" t="s">
        <v>324</v>
      </c>
      <c r="AE8" s="276">
        <v>45441</v>
      </c>
      <c r="AF8" s="267">
        <v>49933356.799999997</v>
      </c>
      <c r="AG8" s="268">
        <v>0.28620000000000001</v>
      </c>
      <c r="AH8" s="268">
        <v>0.3095</v>
      </c>
      <c r="AI8" s="267">
        <v>1172799829.5</v>
      </c>
      <c r="AJ8" s="272">
        <v>0.28620000000000001</v>
      </c>
      <c r="AK8" s="267">
        <v>44610436126</v>
      </c>
    </row>
    <row r="9" spans="1:42" ht="12.75" hidden="1" customHeight="1" outlineLevel="1">
      <c r="A9" s="387" t="s">
        <v>189</v>
      </c>
      <c r="B9" s="606">
        <f t="shared" si="0"/>
        <v>12394</v>
      </c>
      <c r="C9" s="607">
        <f t="shared" si="1"/>
        <v>60900</v>
      </c>
      <c r="D9" s="608">
        <f t="shared" si="2"/>
        <v>61100</v>
      </c>
      <c r="E9" s="609">
        <f t="shared" si="3"/>
        <v>19853</v>
      </c>
      <c r="F9" s="492">
        <f t="shared" si="4"/>
        <v>60900</v>
      </c>
      <c r="G9" s="504">
        <f t="shared" si="5"/>
        <v>9.7000000000000003E-3</v>
      </c>
      <c r="H9" s="240">
        <f t="shared" si="6"/>
        <v>60500</v>
      </c>
      <c r="I9" s="241">
        <f t="shared" si="7"/>
        <v>62000</v>
      </c>
      <c r="J9" s="263">
        <f t="shared" si="8"/>
        <v>59340</v>
      </c>
      <c r="K9" s="242">
        <f t="shared" si="9"/>
        <v>60310</v>
      </c>
      <c r="L9" s="243">
        <f t="shared" si="10"/>
        <v>2521182754</v>
      </c>
      <c r="M9" s="242">
        <f t="shared" si="11"/>
        <v>4122333</v>
      </c>
      <c r="N9" s="539">
        <f t="shared" si="12"/>
        <v>751</v>
      </c>
      <c r="O9" s="258">
        <f t="shared" si="13"/>
        <v>45434.708611111113</v>
      </c>
      <c r="P9" s="433">
        <v>8</v>
      </c>
      <c r="Q9" s="545"/>
      <c r="R9" s="579"/>
      <c r="S9" s="555"/>
      <c r="T9" s="576"/>
      <c r="U9" s="544"/>
      <c r="V9" s="490"/>
      <c r="W9" s="434"/>
      <c r="X9" s="435"/>
      <c r="Y9" s="507">
        <f>IFERROR($Z8/($D9*(1+$AA$1)/100),0)</f>
        <v>101.16530278232405</v>
      </c>
      <c r="Z9" s="560">
        <f>IFERROR($D9/100*INT($Y9),"")</f>
        <v>61711</v>
      </c>
      <c r="AA9" s="657"/>
      <c r="AB9" s="500"/>
      <c r="AD9" s="47" t="s">
        <v>596</v>
      </c>
      <c r="AE9" s="276">
        <v>45442</v>
      </c>
      <c r="AF9" s="270">
        <v>50000000</v>
      </c>
      <c r="AG9" s="271">
        <v>0.29020000000000001</v>
      </c>
      <c r="AH9" s="271">
        <v>0.33</v>
      </c>
      <c r="AI9" s="270">
        <v>440080.56</v>
      </c>
      <c r="AJ9" s="274">
        <v>0.30909999999999999</v>
      </c>
      <c r="AK9" s="270">
        <v>93974096</v>
      </c>
    </row>
    <row r="10" spans="1:42" ht="12.75" hidden="1" customHeight="1" outlineLevel="1">
      <c r="A10" s="388" t="s">
        <v>538</v>
      </c>
      <c r="B10" s="597">
        <f t="shared" si="0"/>
        <v>1219</v>
      </c>
      <c r="C10" s="598">
        <f t="shared" si="1"/>
        <v>45.6</v>
      </c>
      <c r="D10" s="599">
        <f t="shared" si="2"/>
        <v>46.427999999999997</v>
      </c>
      <c r="E10" s="571">
        <f t="shared" si="3"/>
        <v>1023</v>
      </c>
      <c r="F10" s="593">
        <f t="shared" si="4"/>
        <v>45.798999999999999</v>
      </c>
      <c r="G10" s="502">
        <f t="shared" si="5"/>
        <v>-2.4500000000000001E-2</v>
      </c>
      <c r="H10" s="230">
        <f t="shared" si="6"/>
        <v>46.86</v>
      </c>
      <c r="I10" s="221">
        <f t="shared" si="7"/>
        <v>46.875999999999998</v>
      </c>
      <c r="J10" s="260">
        <f t="shared" si="8"/>
        <v>45.01</v>
      </c>
      <c r="K10" s="225">
        <f t="shared" si="9"/>
        <v>46.951000000000001</v>
      </c>
      <c r="L10" s="245">
        <f t="shared" si="10"/>
        <v>9911</v>
      </c>
      <c r="M10" s="225">
        <f t="shared" si="11"/>
        <v>21606</v>
      </c>
      <c r="N10" s="538">
        <f t="shared" si="12"/>
        <v>38</v>
      </c>
      <c r="O10" s="532">
        <f t="shared" si="13"/>
        <v>45434.687627314815</v>
      </c>
      <c r="P10" s="266">
        <v>9</v>
      </c>
      <c r="Q10" s="546"/>
      <c r="R10" s="580"/>
      <c r="S10" s="554"/>
      <c r="T10" s="577"/>
      <c r="U10" s="543"/>
      <c r="V10" s="489"/>
      <c r="W10" s="494"/>
      <c r="X10" s="422"/>
      <c r="Y10" s="419">
        <f>IFERROR(IF(#REF!&lt;&gt;"",INT(#REF!/(D13/100)),100),100)</f>
        <v>100</v>
      </c>
      <c r="Z10" s="557">
        <f>IFERROR($C10*(1-$AA$1)/100*$Y10,"")</f>
        <v>45.6</v>
      </c>
      <c r="AA10" s="658">
        <f>IFERROR($Z10-$Z11,"")</f>
        <v>0.23999999999999488</v>
      </c>
      <c r="AB10" s="517"/>
      <c r="AD10" s="47" t="s">
        <v>597</v>
      </c>
      <c r="AE10" s="276">
        <v>45443</v>
      </c>
      <c r="AF10" s="270">
        <v>39999000</v>
      </c>
      <c r="AG10" s="271">
        <v>0.29520000000000002</v>
      </c>
      <c r="AH10" s="271">
        <v>0.2989</v>
      </c>
      <c r="AI10" s="270">
        <v>765.21</v>
      </c>
      <c r="AJ10" s="274">
        <v>0.29520000000000002</v>
      </c>
      <c r="AK10" s="270">
        <v>119655654</v>
      </c>
    </row>
    <row r="11" spans="1:42" ht="12.75" hidden="1" customHeight="1" outlineLevel="1">
      <c r="A11" s="279" t="s">
        <v>14</v>
      </c>
      <c r="B11" s="600">
        <f t="shared" si="0"/>
        <v>19919</v>
      </c>
      <c r="C11" s="601">
        <f t="shared" si="1"/>
        <v>55.9</v>
      </c>
      <c r="D11" s="602">
        <f t="shared" si="2"/>
        <v>56</v>
      </c>
      <c r="E11" s="603">
        <f t="shared" si="3"/>
        <v>24451</v>
      </c>
      <c r="F11" s="491">
        <f t="shared" si="4"/>
        <v>56</v>
      </c>
      <c r="G11" s="503">
        <f t="shared" si="5"/>
        <v>-3.6900000000000002E-2</v>
      </c>
      <c r="H11" s="231">
        <f t="shared" si="6"/>
        <v>57.51</v>
      </c>
      <c r="I11" s="222">
        <f t="shared" si="7"/>
        <v>57.68</v>
      </c>
      <c r="J11" s="259">
        <f t="shared" si="8"/>
        <v>55.7</v>
      </c>
      <c r="K11" s="226">
        <f t="shared" si="9"/>
        <v>58.15</v>
      </c>
      <c r="L11" s="229">
        <f t="shared" si="10"/>
        <v>109724996</v>
      </c>
      <c r="M11" s="226">
        <f t="shared" si="11"/>
        <v>193872688</v>
      </c>
      <c r="N11" s="536">
        <f t="shared" si="12"/>
        <v>94642</v>
      </c>
      <c r="O11" s="256">
        <f t="shared" si="13"/>
        <v>45434.6875</v>
      </c>
      <c r="P11" s="265">
        <v>10</v>
      </c>
      <c r="Q11" s="545"/>
      <c r="R11" s="579"/>
      <c r="S11" s="555"/>
      <c r="T11" s="576"/>
      <c r="U11" s="544"/>
      <c r="V11" s="490"/>
      <c r="W11" s="381"/>
      <c r="X11" s="421"/>
      <c r="Y11" s="417">
        <f>IFERROR(INT($Z10/($D11*(1+$AA$1)/100)),0)</f>
        <v>81</v>
      </c>
      <c r="Z11" s="558">
        <f>IFERROR($D11/100*INT($Y11),"")</f>
        <v>45.360000000000007</v>
      </c>
      <c r="AA11" s="659"/>
      <c r="AB11" s="500"/>
      <c r="AD11" s="47" t="s">
        <v>598</v>
      </c>
      <c r="AE11" s="276">
        <v>45444</v>
      </c>
      <c r="AF11" s="270"/>
      <c r="AG11" s="271"/>
      <c r="AH11" s="271"/>
      <c r="AI11" s="270"/>
      <c r="AJ11" s="274"/>
      <c r="AK11" s="270"/>
    </row>
    <row r="12" spans="1:42" ht="12.75" hidden="1" customHeight="1" outlineLevel="1">
      <c r="A12" s="278" t="s">
        <v>13</v>
      </c>
      <c r="B12" s="597">
        <f t="shared" si="0"/>
        <v>980</v>
      </c>
      <c r="C12" s="598">
        <f t="shared" si="1"/>
        <v>68900</v>
      </c>
      <c r="D12" s="604">
        <f t="shared" si="2"/>
        <v>68980</v>
      </c>
      <c r="E12" s="605">
        <f t="shared" si="3"/>
        <v>73</v>
      </c>
      <c r="F12" s="593">
        <f t="shared" si="4"/>
        <v>68940</v>
      </c>
      <c r="G12" s="502">
        <f t="shared" si="5"/>
        <v>1.0800000000000001E-2</v>
      </c>
      <c r="H12" s="230">
        <f t="shared" si="6"/>
        <v>69980</v>
      </c>
      <c r="I12" s="221">
        <f t="shared" si="7"/>
        <v>69980</v>
      </c>
      <c r="J12" s="260">
        <f t="shared" si="8"/>
        <v>67240</v>
      </c>
      <c r="K12" s="225">
        <f t="shared" si="9"/>
        <v>68200</v>
      </c>
      <c r="L12" s="245">
        <f t="shared" si="10"/>
        <v>188390198280</v>
      </c>
      <c r="M12" s="225">
        <f t="shared" si="11"/>
        <v>274970722</v>
      </c>
      <c r="N12" s="538">
        <f t="shared" si="12"/>
        <v>106807</v>
      </c>
      <c r="O12" s="532">
        <f t="shared" si="13"/>
        <v>45434.687696759262</v>
      </c>
      <c r="P12" s="266">
        <v>11</v>
      </c>
      <c r="Q12" s="546"/>
      <c r="R12" s="580"/>
      <c r="S12" s="554"/>
      <c r="T12" s="577"/>
      <c r="U12" s="543"/>
      <c r="V12" s="489"/>
      <c r="W12" s="494"/>
      <c r="X12" s="423"/>
      <c r="Y12" s="418">
        <f t="shared" si="14"/>
        <v>81</v>
      </c>
      <c r="Z12" s="559">
        <f>IFERROR($C12*(1-$AA$1)/100*INT($Y12),"")</f>
        <v>55809</v>
      </c>
      <c r="AA12" s="656">
        <f>IFERROR($Z12-$Z13,"")</f>
        <v>468</v>
      </c>
      <c r="AB12" s="517"/>
    </row>
    <row r="13" spans="1:42" ht="12.75" hidden="1" customHeight="1" outlineLevel="1">
      <c r="A13" s="387" t="s">
        <v>534</v>
      </c>
      <c r="B13" s="606">
        <f t="shared" si="0"/>
        <v>378</v>
      </c>
      <c r="C13" s="607">
        <f t="shared" si="1"/>
        <v>55410</v>
      </c>
      <c r="D13" s="608">
        <f t="shared" si="2"/>
        <v>55900</v>
      </c>
      <c r="E13" s="609">
        <f t="shared" si="3"/>
        <v>45</v>
      </c>
      <c r="F13" s="492">
        <f t="shared" si="4"/>
        <v>55450</v>
      </c>
      <c r="G13" s="504">
        <f t="shared" si="5"/>
        <v>1.6799999999999999E-2</v>
      </c>
      <c r="H13" s="240">
        <f t="shared" si="6"/>
        <v>55990</v>
      </c>
      <c r="I13" s="241">
        <f t="shared" si="7"/>
        <v>56000</v>
      </c>
      <c r="J13" s="263">
        <f t="shared" si="8"/>
        <v>53900</v>
      </c>
      <c r="K13" s="242">
        <f t="shared" si="9"/>
        <v>54530</v>
      </c>
      <c r="L13" s="243">
        <f t="shared" si="10"/>
        <v>51369478</v>
      </c>
      <c r="M13" s="242">
        <f t="shared" si="11"/>
        <v>92353</v>
      </c>
      <c r="N13" s="539">
        <f t="shared" si="12"/>
        <v>212</v>
      </c>
      <c r="O13" s="258">
        <f t="shared" si="13"/>
        <v>45434.683067129627</v>
      </c>
      <c r="P13" s="265">
        <v>12</v>
      </c>
      <c r="Q13" s="545"/>
      <c r="R13" s="579"/>
      <c r="S13" s="555"/>
      <c r="T13" s="576"/>
      <c r="U13" s="544"/>
      <c r="V13" s="490"/>
      <c r="W13" s="434"/>
      <c r="X13" s="435"/>
      <c r="Y13" s="507">
        <f>IFERROR($Z12/($D13*(1+$AA$1)/100),0)</f>
        <v>99.837209302325576</v>
      </c>
      <c r="Z13" s="560">
        <f>IFERROR($D13/100*INT($Y13),"")</f>
        <v>55341</v>
      </c>
      <c r="AA13" s="657"/>
      <c r="AB13" s="500"/>
    </row>
    <row r="14" spans="1:42" ht="12.75" hidden="1" customHeight="1" outlineLevel="1">
      <c r="A14" s="388" t="s">
        <v>234</v>
      </c>
      <c r="B14" s="597">
        <f t="shared" si="0"/>
        <v>500</v>
      </c>
      <c r="C14" s="598">
        <f t="shared" si="1"/>
        <v>50.5</v>
      </c>
      <c r="D14" s="599">
        <f t="shared" si="2"/>
        <v>51</v>
      </c>
      <c r="E14" s="571">
        <f t="shared" si="3"/>
        <v>25518</v>
      </c>
      <c r="F14" s="593">
        <f t="shared" si="4"/>
        <v>50</v>
      </c>
      <c r="G14" s="502">
        <f t="shared" si="5"/>
        <v>-3.3799999999999997E-2</v>
      </c>
      <c r="H14" s="232">
        <f t="shared" si="6"/>
        <v>51.52</v>
      </c>
      <c r="I14" s="224">
        <f t="shared" si="7"/>
        <v>51.52</v>
      </c>
      <c r="J14" s="261">
        <f t="shared" si="8"/>
        <v>49.110999999999997</v>
      </c>
      <c r="K14" s="228">
        <f t="shared" si="9"/>
        <v>51.75</v>
      </c>
      <c r="L14" s="239">
        <f t="shared" si="10"/>
        <v>134205</v>
      </c>
      <c r="M14" s="228">
        <f t="shared" si="11"/>
        <v>268159</v>
      </c>
      <c r="N14" s="535">
        <f t="shared" si="12"/>
        <v>288</v>
      </c>
      <c r="O14" s="255">
        <f t="shared" si="13"/>
        <v>45434.705833333333</v>
      </c>
      <c r="P14" s="266">
        <v>13</v>
      </c>
      <c r="Q14" s="546"/>
      <c r="R14" s="580"/>
      <c r="S14" s="554"/>
      <c r="T14" s="577"/>
      <c r="U14" s="543"/>
      <c r="V14" s="489"/>
      <c r="W14" s="494"/>
      <c r="X14" s="422"/>
      <c r="Y14" s="419">
        <v>100</v>
      </c>
      <c r="Z14" s="557">
        <f>IFERROR($C14*(1-$AA$1)/100*$Y14,"")</f>
        <v>50.5</v>
      </c>
      <c r="AA14" s="658">
        <f>IFERROR($Z14-$Z15,"")</f>
        <v>0.55359999999999587</v>
      </c>
      <c r="AB14" s="517"/>
      <c r="AN14" s="45"/>
      <c r="AO14" s="45"/>
      <c r="AP14" s="45"/>
    </row>
    <row r="15" spans="1:42" ht="12.75" hidden="1" customHeight="1" outlineLevel="1">
      <c r="A15" s="279" t="s">
        <v>232</v>
      </c>
      <c r="B15" s="600">
        <f t="shared" si="0"/>
        <v>1000</v>
      </c>
      <c r="C15" s="601">
        <f t="shared" si="1"/>
        <v>58.77</v>
      </c>
      <c r="D15" s="602">
        <f t="shared" si="2"/>
        <v>59.46</v>
      </c>
      <c r="E15" s="603">
        <f t="shared" si="3"/>
        <v>1782</v>
      </c>
      <c r="F15" s="491">
        <f t="shared" si="4"/>
        <v>59.46</v>
      </c>
      <c r="G15" s="503">
        <f t="shared" si="5"/>
        <v>-3.3700000000000001E-2</v>
      </c>
      <c r="H15" s="234">
        <f t="shared" si="6"/>
        <v>62.3</v>
      </c>
      <c r="I15" s="235">
        <f t="shared" si="7"/>
        <v>62.33</v>
      </c>
      <c r="J15" s="262">
        <f t="shared" si="8"/>
        <v>58.5</v>
      </c>
      <c r="K15" s="236">
        <f t="shared" si="9"/>
        <v>61.54</v>
      </c>
      <c r="L15" s="248">
        <f t="shared" si="10"/>
        <v>15020</v>
      </c>
      <c r="M15" s="236">
        <f t="shared" si="11"/>
        <v>25234</v>
      </c>
      <c r="N15" s="540">
        <f t="shared" si="12"/>
        <v>85</v>
      </c>
      <c r="O15" s="533">
        <f t="shared" si="13"/>
        <v>45434.701990740738</v>
      </c>
      <c r="P15" s="265">
        <v>14</v>
      </c>
      <c r="Q15" s="545"/>
      <c r="R15" s="579"/>
      <c r="S15" s="555"/>
      <c r="T15" s="576"/>
      <c r="U15" s="544"/>
      <c r="V15" s="490"/>
      <c r="W15" s="381"/>
      <c r="X15" s="421"/>
      <c r="Y15" s="417">
        <f>IFERROR(INT($Z14/($D15*(1+$AA$1)/100)),0)</f>
        <v>84</v>
      </c>
      <c r="Z15" s="558">
        <f>IFERROR($D15/100*INT($Y15),"")</f>
        <v>49.946400000000004</v>
      </c>
      <c r="AA15" s="659"/>
      <c r="AB15" s="500"/>
    </row>
    <row r="16" spans="1:42" ht="12.75" hidden="1" customHeight="1" outlineLevel="1">
      <c r="A16" s="278" t="s">
        <v>186</v>
      </c>
      <c r="B16" s="597">
        <f t="shared" si="0"/>
        <v>5764</v>
      </c>
      <c r="C16" s="598">
        <f t="shared" si="1"/>
        <v>73590</v>
      </c>
      <c r="D16" s="604">
        <f t="shared" si="2"/>
        <v>73600</v>
      </c>
      <c r="E16" s="605">
        <f t="shared" si="3"/>
        <v>2000</v>
      </c>
      <c r="F16" s="593">
        <f t="shared" si="4"/>
        <v>73590</v>
      </c>
      <c r="G16" s="502">
        <f t="shared" si="5"/>
        <v>2.8300000000000002E-2</v>
      </c>
      <c r="H16" s="230">
        <f t="shared" si="6"/>
        <v>71500</v>
      </c>
      <c r="I16" s="221">
        <f t="shared" si="7"/>
        <v>74000</v>
      </c>
      <c r="J16" s="221">
        <f t="shared" si="8"/>
        <v>70790</v>
      </c>
      <c r="K16" s="225">
        <f t="shared" si="9"/>
        <v>71560</v>
      </c>
      <c r="L16" s="245">
        <f t="shared" si="10"/>
        <v>160890638</v>
      </c>
      <c r="M16" s="225">
        <f t="shared" si="11"/>
        <v>223120</v>
      </c>
      <c r="N16" s="538">
        <f t="shared" si="12"/>
        <v>496</v>
      </c>
      <c r="O16" s="532">
        <f t="shared" si="13"/>
        <v>45434.708391203705</v>
      </c>
      <c r="P16" s="266">
        <v>15</v>
      </c>
      <c r="Q16" s="546"/>
      <c r="R16" s="580"/>
      <c r="S16" s="554"/>
      <c r="T16" s="577"/>
      <c r="U16" s="543"/>
      <c r="V16" s="489"/>
      <c r="W16" s="494"/>
      <c r="X16" s="423"/>
      <c r="Y16" s="418">
        <f t="shared" ref="Y16" si="15">Y15</f>
        <v>84</v>
      </c>
      <c r="Z16" s="559">
        <f>IFERROR($C16*(1-$AA$1)/100*INT($Y16),"")</f>
        <v>61815.6</v>
      </c>
      <c r="AA16" s="656">
        <f>IFERROR($Z16-$Z17,"")</f>
        <v>104.59999999999854</v>
      </c>
      <c r="AB16" s="517"/>
    </row>
    <row r="17" spans="1:41" ht="12.75" hidden="1" customHeight="1" outlineLevel="1">
      <c r="A17" s="387" t="s">
        <v>189</v>
      </c>
      <c r="B17" s="606">
        <f t="shared" si="0"/>
        <v>12394</v>
      </c>
      <c r="C17" s="607">
        <f t="shared" si="1"/>
        <v>60900</v>
      </c>
      <c r="D17" s="608">
        <f t="shared" si="2"/>
        <v>61100</v>
      </c>
      <c r="E17" s="609">
        <f t="shared" si="3"/>
        <v>19853</v>
      </c>
      <c r="F17" s="492">
        <f t="shared" si="4"/>
        <v>60900</v>
      </c>
      <c r="G17" s="504">
        <f t="shared" si="5"/>
        <v>9.7000000000000003E-3</v>
      </c>
      <c r="H17" s="240">
        <f t="shared" si="6"/>
        <v>60500</v>
      </c>
      <c r="I17" s="241">
        <f t="shared" si="7"/>
        <v>62000</v>
      </c>
      <c r="J17" s="263">
        <f t="shared" si="8"/>
        <v>59340</v>
      </c>
      <c r="K17" s="242">
        <f t="shared" si="9"/>
        <v>60310</v>
      </c>
      <c r="L17" s="243">
        <f t="shared" si="10"/>
        <v>2521182754</v>
      </c>
      <c r="M17" s="242">
        <f t="shared" si="11"/>
        <v>4122333</v>
      </c>
      <c r="N17" s="539">
        <f t="shared" si="12"/>
        <v>751</v>
      </c>
      <c r="O17" s="258">
        <f t="shared" si="13"/>
        <v>45434.708611111113</v>
      </c>
      <c r="P17" s="433">
        <v>16</v>
      </c>
      <c r="Q17" s="545"/>
      <c r="R17" s="579"/>
      <c r="S17" s="555"/>
      <c r="T17" s="576"/>
      <c r="U17" s="544"/>
      <c r="V17" s="490"/>
      <c r="W17" s="434"/>
      <c r="X17" s="435"/>
      <c r="Y17" s="507">
        <f>IFERROR($Z16/($D17*(1+$AA$1)/100),0)</f>
        <v>101.17119476268412</v>
      </c>
      <c r="Z17" s="560">
        <f>IFERROR($D17/100*INT($Y17),"")</f>
        <v>61711</v>
      </c>
      <c r="AA17" s="657"/>
      <c r="AB17" s="500"/>
      <c r="AO17" s="305"/>
    </row>
    <row r="18" spans="1:41" ht="12.75" hidden="1" customHeight="1" outlineLevel="1">
      <c r="A18" s="388" t="s">
        <v>538</v>
      </c>
      <c r="B18" s="597">
        <f t="shared" si="0"/>
        <v>1219</v>
      </c>
      <c r="C18" s="598">
        <f t="shared" si="1"/>
        <v>45.6</v>
      </c>
      <c r="D18" s="599">
        <f t="shared" si="2"/>
        <v>46.427999999999997</v>
      </c>
      <c r="E18" s="571">
        <f t="shared" si="3"/>
        <v>1023</v>
      </c>
      <c r="F18" s="593">
        <f t="shared" si="4"/>
        <v>45.798999999999999</v>
      </c>
      <c r="G18" s="502">
        <f t="shared" si="5"/>
        <v>-2.4500000000000001E-2</v>
      </c>
      <c r="H18" s="280">
        <f t="shared" si="6"/>
        <v>46.86</v>
      </c>
      <c r="I18" s="281">
        <f t="shared" si="7"/>
        <v>46.875999999999998</v>
      </c>
      <c r="J18" s="282">
        <f t="shared" si="8"/>
        <v>45.01</v>
      </c>
      <c r="K18" s="283">
        <f t="shared" si="9"/>
        <v>46.951000000000001</v>
      </c>
      <c r="L18" s="284">
        <f t="shared" si="10"/>
        <v>9911</v>
      </c>
      <c r="M18" s="283">
        <f t="shared" si="11"/>
        <v>21606</v>
      </c>
      <c r="N18" s="535">
        <f t="shared" si="12"/>
        <v>38</v>
      </c>
      <c r="O18" s="255"/>
      <c r="P18" s="266">
        <v>17</v>
      </c>
      <c r="Q18" s="546"/>
      <c r="R18" s="580"/>
      <c r="S18" s="554"/>
      <c r="T18" s="577"/>
      <c r="U18" s="543"/>
      <c r="V18" s="489"/>
      <c r="W18" s="494"/>
      <c r="X18" s="422"/>
      <c r="Y18" s="419">
        <v>101</v>
      </c>
      <c r="Z18" s="557">
        <f>IFERROR($C18*(1-$AA$1)/100*$Y18,"")</f>
        <v>46.056000000000004</v>
      </c>
      <c r="AA18" s="658">
        <f>IFERROR($Z18-$Z19,"")</f>
        <v>0.13600000000000279</v>
      </c>
      <c r="AB18" s="517"/>
    </row>
    <row r="19" spans="1:41" ht="12.75" hidden="1" customHeight="1" outlineLevel="1">
      <c r="A19" s="279" t="s">
        <v>14</v>
      </c>
      <c r="B19" s="600">
        <f t="shared" si="0"/>
        <v>19919</v>
      </c>
      <c r="C19" s="601">
        <f t="shared" si="1"/>
        <v>55.9</v>
      </c>
      <c r="D19" s="602">
        <f t="shared" si="2"/>
        <v>56</v>
      </c>
      <c r="E19" s="603">
        <f t="shared" si="3"/>
        <v>24451</v>
      </c>
      <c r="F19" s="491">
        <f t="shared" si="4"/>
        <v>56</v>
      </c>
      <c r="G19" s="503">
        <f t="shared" si="5"/>
        <v>-3.6900000000000002E-2</v>
      </c>
      <c r="H19" s="285">
        <f t="shared" si="6"/>
        <v>57.51</v>
      </c>
      <c r="I19" s="286">
        <f t="shared" si="7"/>
        <v>57.68</v>
      </c>
      <c r="J19" s="287">
        <f t="shared" si="8"/>
        <v>55.7</v>
      </c>
      <c r="K19" s="288">
        <f t="shared" si="9"/>
        <v>58.15</v>
      </c>
      <c r="L19" s="289">
        <f t="shared" si="10"/>
        <v>109724996</v>
      </c>
      <c r="M19" s="288">
        <f t="shared" si="11"/>
        <v>193872688</v>
      </c>
      <c r="N19" s="540">
        <f t="shared" si="12"/>
        <v>94642</v>
      </c>
      <c r="O19" s="533">
        <f t="shared" ref="O19:O29" si="16">IF($A19&lt;&gt;"",VLOOKUP($A19,$A$60:$O$199,15,0),"")</f>
        <v>45434.6875</v>
      </c>
      <c r="P19" s="265">
        <v>18</v>
      </c>
      <c r="Q19" s="545"/>
      <c r="R19" s="579"/>
      <c r="S19" s="555"/>
      <c r="T19" s="576"/>
      <c r="U19" s="544"/>
      <c r="V19" s="490"/>
      <c r="W19" s="381"/>
      <c r="X19" s="421"/>
      <c r="Y19" s="417">
        <f>IFERROR(INT($Z18/($D19*(1+$AA$1)/100)),0)</f>
        <v>82</v>
      </c>
      <c r="Z19" s="558">
        <f>IFERROR($D19/100*INT($Y19),"")</f>
        <v>45.92</v>
      </c>
      <c r="AA19" s="659"/>
      <c r="AB19" s="500"/>
    </row>
    <row r="20" spans="1:41" ht="12.75" hidden="1" customHeight="1" outlineLevel="1">
      <c r="A20" s="278" t="s">
        <v>15</v>
      </c>
      <c r="B20" s="597">
        <f t="shared" si="0"/>
        <v>1441</v>
      </c>
      <c r="C20" s="598">
        <f t="shared" si="1"/>
        <v>54.9</v>
      </c>
      <c r="D20" s="604">
        <f t="shared" si="2"/>
        <v>55.2</v>
      </c>
      <c r="E20" s="605">
        <f t="shared" si="3"/>
        <v>27688</v>
      </c>
      <c r="F20" s="593">
        <f t="shared" si="4"/>
        <v>54.9</v>
      </c>
      <c r="G20" s="502">
        <f t="shared" si="5"/>
        <v>-3.3599999999999998E-2</v>
      </c>
      <c r="H20" s="290">
        <f t="shared" si="6"/>
        <v>56.85</v>
      </c>
      <c r="I20" s="291">
        <f t="shared" si="7"/>
        <v>56.85</v>
      </c>
      <c r="J20" s="292">
        <f t="shared" si="8"/>
        <v>54.61</v>
      </c>
      <c r="K20" s="293">
        <f t="shared" si="9"/>
        <v>56.81</v>
      </c>
      <c r="L20" s="294">
        <f t="shared" si="10"/>
        <v>51534909</v>
      </c>
      <c r="M20" s="293">
        <f t="shared" si="11"/>
        <v>93017953</v>
      </c>
      <c r="N20" s="538">
        <f t="shared" si="12"/>
        <v>17108</v>
      </c>
      <c r="O20" s="532">
        <f t="shared" si="16"/>
        <v>45434.6878125</v>
      </c>
      <c r="P20" s="266">
        <v>19</v>
      </c>
      <c r="Q20" s="546"/>
      <c r="R20" s="580"/>
      <c r="S20" s="554"/>
      <c r="T20" s="577"/>
      <c r="U20" s="543"/>
      <c r="V20" s="489"/>
      <c r="W20" s="494"/>
      <c r="X20" s="422"/>
      <c r="Y20" s="418">
        <f t="shared" ref="Y20" si="17">Y19</f>
        <v>82</v>
      </c>
      <c r="Z20" s="559">
        <f>IFERROR($C20*(1-$AA$1)/100*INT($Y20),"")</f>
        <v>45.017999999999994</v>
      </c>
      <c r="AA20" s="656">
        <f>IFERROR($Z20-$Z21,"")</f>
        <v>45.017999999999994</v>
      </c>
      <c r="AB20" s="517"/>
    </row>
    <row r="21" spans="1:41" ht="12.75" hidden="1" customHeight="1" outlineLevel="1">
      <c r="A21" s="387" t="s">
        <v>536</v>
      </c>
      <c r="B21" s="606">
        <f t="shared" si="0"/>
        <v>0</v>
      </c>
      <c r="C21" s="607">
        <f t="shared" si="1"/>
        <v>0</v>
      </c>
      <c r="D21" s="608">
        <f t="shared" si="2"/>
        <v>0</v>
      </c>
      <c r="E21" s="609">
        <f t="shared" si="3"/>
        <v>0</v>
      </c>
      <c r="F21" s="492">
        <f t="shared" si="4"/>
        <v>0</v>
      </c>
      <c r="G21" s="504">
        <f t="shared" si="5"/>
        <v>0</v>
      </c>
      <c r="H21" s="428">
        <f t="shared" si="6"/>
        <v>0</v>
      </c>
      <c r="I21" s="429">
        <f t="shared" si="7"/>
        <v>0</v>
      </c>
      <c r="J21" s="430">
        <f t="shared" si="8"/>
        <v>0</v>
      </c>
      <c r="K21" s="431">
        <f t="shared" si="9"/>
        <v>38.42</v>
      </c>
      <c r="L21" s="432">
        <f t="shared" si="10"/>
        <v>0</v>
      </c>
      <c r="M21" s="431">
        <f t="shared" si="11"/>
        <v>0</v>
      </c>
      <c r="N21" s="539">
        <f t="shared" si="12"/>
        <v>0</v>
      </c>
      <c r="O21" s="258">
        <f t="shared" si="16"/>
        <v>0</v>
      </c>
      <c r="P21" s="433">
        <v>20</v>
      </c>
      <c r="Q21" s="545"/>
      <c r="R21" s="579"/>
      <c r="S21" s="555"/>
      <c r="T21" s="576"/>
      <c r="U21" s="544"/>
      <c r="V21" s="490"/>
      <c r="W21" s="434"/>
      <c r="X21" s="435"/>
      <c r="Y21" s="507">
        <f>IFERROR($Z20/($D21*(1+$AA$1)/100),0)</f>
        <v>0</v>
      </c>
      <c r="Z21" s="560">
        <f>IFERROR($D21/100*INT($Y21),"")</f>
        <v>0</v>
      </c>
      <c r="AA21" s="657"/>
      <c r="AB21" s="500"/>
    </row>
    <row r="22" spans="1:41" ht="12.75" hidden="1" customHeight="1" outlineLevel="1">
      <c r="A22" s="388" t="s">
        <v>234</v>
      </c>
      <c r="B22" s="597">
        <f t="shared" si="0"/>
        <v>500</v>
      </c>
      <c r="C22" s="598">
        <f t="shared" si="1"/>
        <v>50.5</v>
      </c>
      <c r="D22" s="599">
        <f t="shared" si="2"/>
        <v>51</v>
      </c>
      <c r="E22" s="571">
        <f t="shared" si="3"/>
        <v>25518</v>
      </c>
      <c r="F22" s="593">
        <f t="shared" si="4"/>
        <v>50</v>
      </c>
      <c r="G22" s="502">
        <f t="shared" si="5"/>
        <v>-3.3799999999999997E-2</v>
      </c>
      <c r="H22" s="280">
        <f t="shared" si="6"/>
        <v>51.52</v>
      </c>
      <c r="I22" s="281">
        <f t="shared" si="7"/>
        <v>51.52</v>
      </c>
      <c r="J22" s="282">
        <f t="shared" si="8"/>
        <v>49.110999999999997</v>
      </c>
      <c r="K22" s="283">
        <f t="shared" si="9"/>
        <v>51.75</v>
      </c>
      <c r="L22" s="284">
        <f t="shared" si="10"/>
        <v>134205</v>
      </c>
      <c r="M22" s="450">
        <f t="shared" si="11"/>
        <v>268159</v>
      </c>
      <c r="N22" s="535">
        <f t="shared" si="12"/>
        <v>288</v>
      </c>
      <c r="O22" s="255">
        <f t="shared" si="16"/>
        <v>45434.705833333333</v>
      </c>
      <c r="P22" s="266">
        <v>21</v>
      </c>
      <c r="Q22" s="546"/>
      <c r="R22" s="580"/>
      <c r="S22" s="554"/>
      <c r="T22" s="577"/>
      <c r="U22" s="543"/>
      <c r="V22" s="489"/>
      <c r="W22" s="494"/>
      <c r="X22" s="422"/>
      <c r="Y22" s="419">
        <v>102</v>
      </c>
      <c r="Z22" s="557">
        <f>IFERROR($C22*(1-$AA$1)/100*$Y22,"")</f>
        <v>51.51</v>
      </c>
      <c r="AA22" s="658">
        <f>IFERROR($Z22-$Z23,"")</f>
        <v>0.14639999999999276</v>
      </c>
      <c r="AB22" s="517"/>
    </row>
    <row r="23" spans="1:41" ht="12.75" hidden="1" customHeight="1" outlineLevel="1">
      <c r="A23" s="279" t="s">
        <v>4</v>
      </c>
      <c r="B23" s="600">
        <f t="shared" si="0"/>
        <v>2401</v>
      </c>
      <c r="C23" s="601">
        <f t="shared" si="1"/>
        <v>55.81</v>
      </c>
      <c r="D23" s="602">
        <f t="shared" si="2"/>
        <v>55.83</v>
      </c>
      <c r="E23" s="603">
        <f t="shared" si="3"/>
        <v>925</v>
      </c>
      <c r="F23" s="491">
        <f t="shared" si="4"/>
        <v>55.81</v>
      </c>
      <c r="G23" s="503">
        <f t="shared" si="5"/>
        <v>-0.04</v>
      </c>
      <c r="H23" s="295">
        <f t="shared" si="6"/>
        <v>57.98</v>
      </c>
      <c r="I23" s="296">
        <f t="shared" si="7"/>
        <v>57.98</v>
      </c>
      <c r="J23" s="297">
        <f t="shared" si="8"/>
        <v>55.67</v>
      </c>
      <c r="K23" s="298">
        <f t="shared" si="9"/>
        <v>58.14</v>
      </c>
      <c r="L23" s="299">
        <f t="shared" si="10"/>
        <v>27813641</v>
      </c>
      <c r="M23" s="512">
        <f t="shared" si="11"/>
        <v>49172617</v>
      </c>
      <c r="N23" s="536">
        <f t="shared" si="12"/>
        <v>22456</v>
      </c>
      <c r="O23" s="256">
        <f t="shared" si="16"/>
        <v>45434.708414351851</v>
      </c>
      <c r="P23" s="265">
        <v>22</v>
      </c>
      <c r="Q23" s="545"/>
      <c r="R23" s="579"/>
      <c r="S23" s="555"/>
      <c r="T23" s="576"/>
      <c r="U23" s="544"/>
      <c r="V23" s="490"/>
      <c r="W23" s="381"/>
      <c r="X23" s="421"/>
      <c r="Y23" s="417">
        <f>IFERROR(INT($Z22/($D23*(1+$AA$1)/100)),0)</f>
        <v>92</v>
      </c>
      <c r="Z23" s="558">
        <f>IFERROR($D23/100*INT($Y23),"")</f>
        <v>51.363600000000005</v>
      </c>
      <c r="AA23" s="659"/>
      <c r="AB23" s="500"/>
    </row>
    <row r="24" spans="1:41" ht="12.75" hidden="1" customHeight="1" outlineLevel="1">
      <c r="A24" s="278" t="s">
        <v>3</v>
      </c>
      <c r="B24" s="597">
        <f t="shared" si="0"/>
        <v>500000</v>
      </c>
      <c r="C24" s="598">
        <f t="shared" si="1"/>
        <v>54.5</v>
      </c>
      <c r="D24" s="604">
        <f t="shared" si="2"/>
        <v>55</v>
      </c>
      <c r="E24" s="605">
        <f t="shared" si="3"/>
        <v>1000000</v>
      </c>
      <c r="F24" s="593">
        <f t="shared" si="4"/>
        <v>54.7</v>
      </c>
      <c r="G24" s="502">
        <f t="shared" si="5"/>
        <v>-3.5099999999999999E-2</v>
      </c>
      <c r="H24" s="280">
        <f t="shared" si="6"/>
        <v>56.81</v>
      </c>
      <c r="I24" s="221">
        <f t="shared" si="7"/>
        <v>56.81</v>
      </c>
      <c r="J24" s="282">
        <f t="shared" si="8"/>
        <v>54.67</v>
      </c>
      <c r="K24" s="283">
        <f t="shared" si="9"/>
        <v>56.69</v>
      </c>
      <c r="L24" s="284">
        <f t="shared" si="10"/>
        <v>5487339</v>
      </c>
      <c r="M24" s="513">
        <f t="shared" si="11"/>
        <v>9942932</v>
      </c>
      <c r="N24" s="535">
        <f t="shared" si="12"/>
        <v>1982</v>
      </c>
      <c r="O24" s="255">
        <f t="shared" si="16"/>
        <v>45434.703750000001</v>
      </c>
      <c r="P24" s="266">
        <v>23</v>
      </c>
      <c r="Q24" s="546"/>
      <c r="R24" s="580"/>
      <c r="S24" s="554"/>
      <c r="T24" s="577"/>
      <c r="U24" s="543"/>
      <c r="V24" s="489"/>
      <c r="W24" s="796"/>
      <c r="X24" s="423"/>
      <c r="Y24" s="418">
        <f t="shared" ref="Y24" si="18">Y23</f>
        <v>92</v>
      </c>
      <c r="Z24" s="559">
        <f>IFERROR($C24*(1-$AA$1)/100*INT($Y24),"")</f>
        <v>50.14</v>
      </c>
      <c r="AA24" s="656">
        <f>IFERROR($Z24-$Z25,"")</f>
        <v>50.14</v>
      </c>
      <c r="AB24" s="517"/>
    </row>
    <row r="25" spans="1:41" ht="12.75" hidden="1" customHeight="1" outlineLevel="1">
      <c r="A25" s="783" t="s">
        <v>233</v>
      </c>
      <c r="B25" s="784">
        <f t="shared" si="0"/>
        <v>0</v>
      </c>
      <c r="C25" s="785">
        <f t="shared" si="1"/>
        <v>0</v>
      </c>
      <c r="D25" s="786">
        <f t="shared" si="2"/>
        <v>0</v>
      </c>
      <c r="E25" s="787">
        <f t="shared" si="3"/>
        <v>0</v>
      </c>
      <c r="F25" s="736">
        <f t="shared" si="4"/>
        <v>0</v>
      </c>
      <c r="G25" s="737">
        <f t="shared" si="5"/>
        <v>0</v>
      </c>
      <c r="H25" s="788">
        <f t="shared" si="6"/>
        <v>0</v>
      </c>
      <c r="I25" s="789">
        <f t="shared" si="7"/>
        <v>0</v>
      </c>
      <c r="J25" s="790">
        <f t="shared" si="8"/>
        <v>0</v>
      </c>
      <c r="K25" s="791">
        <f t="shared" si="9"/>
        <v>52.3</v>
      </c>
      <c r="L25" s="792">
        <f t="shared" si="10"/>
        <v>0</v>
      </c>
      <c r="M25" s="755">
        <f t="shared" si="11"/>
        <v>0</v>
      </c>
      <c r="N25" s="541">
        <f t="shared" si="12"/>
        <v>0</v>
      </c>
      <c r="O25" s="445">
        <f t="shared" si="16"/>
        <v>0</v>
      </c>
      <c r="P25" s="446">
        <v>24</v>
      </c>
      <c r="Q25" s="545"/>
      <c r="R25" s="579"/>
      <c r="S25" s="555"/>
      <c r="T25" s="576"/>
      <c r="U25" s="544"/>
      <c r="V25" s="490"/>
      <c r="W25" s="745"/>
      <c r="X25" s="746"/>
      <c r="Y25" s="797">
        <f>IFERROR($Z24/($D25*(1+$AA$1)/100),0)</f>
        <v>0</v>
      </c>
      <c r="Z25" s="798">
        <f>IFERROR($D25/100*INT($Y25),"")</f>
        <v>0</v>
      </c>
      <c r="AA25" s="799"/>
      <c r="AB25" s="750"/>
    </row>
    <row r="26" spans="1:41" ht="12.75" customHeight="1" collapsed="1">
      <c r="A26" s="485" t="s">
        <v>14</v>
      </c>
      <c r="B26" s="610">
        <f t="shared" si="0"/>
        <v>19919</v>
      </c>
      <c r="C26" s="598">
        <f>IF(A26&lt;&gt;"",VLOOKUP($A26,$A$30:$N$199,3,0),"")</f>
        <v>55.9</v>
      </c>
      <c r="D26" s="598">
        <f>IF(A26&lt;&gt;"",VLOOKUP($A26,$A$30:$N$199,4,0),"")</f>
        <v>56</v>
      </c>
      <c r="E26" s="610">
        <f>IF(A26&lt;&gt;"",VLOOKUP($A26,$A$30:$N$199,5,0),"")</f>
        <v>24451</v>
      </c>
      <c r="F26" s="594">
        <f>IF($A26&lt;&gt;"",VLOOKUP($A26,$A$30:$N$199,6,0),"")</f>
        <v>56</v>
      </c>
      <c r="G26" s="502">
        <f>IF($A26&lt;&gt;"",VLOOKUP($A26,$A$30:$N$199,7,0),"")</f>
        <v>-3.6900000000000002E-2</v>
      </c>
      <c r="H26" s="232">
        <f>IF($A26&lt;&gt;"",VLOOKUP($A26,$A$30:$N$199,8,0),"")</f>
        <v>57.51</v>
      </c>
      <c r="I26" s="224">
        <f>IF($A26&lt;&gt;"",VLOOKUP($A26,$A$30:$N$199,9,0),"")</f>
        <v>57.68</v>
      </c>
      <c r="J26" s="261">
        <f>IF($A26&lt;&gt;"",VLOOKUP($A26,$A$30:$N$199,10,0),"")</f>
        <v>55.7</v>
      </c>
      <c r="K26" s="228">
        <f>IF($A26&lt;&gt;"",VLOOKUP($A26,$A$30:$N$199,11,0),"")</f>
        <v>58.15</v>
      </c>
      <c r="L26" s="239">
        <f>IF($A26&lt;&gt;"",VLOOKUP($A26,$A$30:$N$199,12,0),"")</f>
        <v>109724996</v>
      </c>
      <c r="M26" s="450">
        <f>IF($A26&lt;&gt;"",VLOOKUP($A26,$A$30:$N$199,13,0),"")</f>
        <v>193872688</v>
      </c>
      <c r="N26" s="535">
        <f t="shared" si="12"/>
        <v>94642</v>
      </c>
      <c r="O26" s="255">
        <f t="shared" si="16"/>
        <v>45434.6875</v>
      </c>
      <c r="P26" s="266">
        <v>25</v>
      </c>
      <c r="Q26" s="546"/>
      <c r="R26" s="578"/>
      <c r="S26" s="554"/>
      <c r="T26" s="581"/>
      <c r="U26" s="543"/>
      <c r="V26" s="496"/>
      <c r="W26" s="494"/>
      <c r="X26" s="422"/>
      <c r="Y26" s="648">
        <v>2</v>
      </c>
      <c r="Z26" s="793">
        <f>F27/F26/100</f>
        <v>1.0285714285714287E-2</v>
      </c>
      <c r="AA26" s="794">
        <f>($C26*$V26/100)/($D27/100)</f>
        <v>0</v>
      </c>
      <c r="AB26" s="795"/>
      <c r="AC26" s="649"/>
    </row>
    <row r="27" spans="1:41" ht="12.75" customHeight="1">
      <c r="A27" s="486" t="s">
        <v>18</v>
      </c>
      <c r="B27" s="611">
        <f t="shared" si="0"/>
        <v>13000</v>
      </c>
      <c r="C27" s="602">
        <f>IF(A27&lt;&gt;"",VLOOKUP($A27,$A$30:$N$199,3,0),"")</f>
        <v>57.01</v>
      </c>
      <c r="D27" s="612">
        <f>IF(A27&lt;&gt;"",VLOOKUP($A27,$A$30:$N$199,4,0),"")</f>
        <v>57.6</v>
      </c>
      <c r="E27" s="611">
        <f>IF(A27&lt;&gt;"",VLOOKUP($A27,$A$30:$N$199,5,0),"")</f>
        <v>3930</v>
      </c>
      <c r="F27" s="491">
        <f>IF($A27&lt;&gt;"",VLOOKUP($A27,$A$30:$N$199,6,0),"")</f>
        <v>57.6</v>
      </c>
      <c r="G27" s="503">
        <f>IF($A27&lt;&gt;"",VLOOKUP($A27,$A$30:$N$199,7,0),"")</f>
        <v>-3.1899999999999998E-2</v>
      </c>
      <c r="H27" s="372">
        <f>IF($A27&lt;&gt;"",VLOOKUP($A27,$A$30:$N$199,8,0),"")</f>
        <v>59.84</v>
      </c>
      <c r="I27" s="373">
        <f>IF($A27&lt;&gt;"",VLOOKUP($A27,$A$30:$N$199,9,0),"")</f>
        <v>59.84</v>
      </c>
      <c r="J27" s="374">
        <f>IF($A27&lt;&gt;"",VLOOKUP($A27,$A$30:$N$199,10,0),"")</f>
        <v>57.06</v>
      </c>
      <c r="K27" s="375">
        <f>IF($A27&lt;&gt;"",VLOOKUP($A27,$A$30:$N$199,11,0),"")</f>
        <v>59.5</v>
      </c>
      <c r="L27" s="376">
        <f>IF($A27&lt;&gt;"",VLOOKUP($A27,$A$30:$N$199,12,0),"")</f>
        <v>4278254</v>
      </c>
      <c r="M27" s="512">
        <f>IF($A27&lt;&gt;"",VLOOKUP($A27,$A$30:$N$199,13,0),"")</f>
        <v>7396528</v>
      </c>
      <c r="N27" s="542">
        <f t="shared" si="12"/>
        <v>4997</v>
      </c>
      <c r="O27" s="534">
        <f t="shared" si="16"/>
        <v>45434.687569444446</v>
      </c>
      <c r="P27" s="265">
        <v>26</v>
      </c>
      <c r="Q27" s="545"/>
      <c r="R27" s="579"/>
      <c r="S27" s="555"/>
      <c r="T27" s="576"/>
      <c r="U27" s="544"/>
      <c r="V27" s="553"/>
      <c r="W27" s="381"/>
      <c r="X27" s="421"/>
      <c r="Y27" s="647">
        <v>30</v>
      </c>
      <c r="Z27" s="655"/>
      <c r="AA27" s="651">
        <f>($C27*$V27/100)/($D26/100)</f>
        <v>0</v>
      </c>
      <c r="AB27" s="650"/>
    </row>
    <row r="28" spans="1:41" ht="12.75" customHeight="1">
      <c r="A28" s="485" t="s">
        <v>5</v>
      </c>
      <c r="B28" s="610">
        <f t="shared" si="0"/>
        <v>4</v>
      </c>
      <c r="C28" s="598">
        <f>IF(A28&lt;&gt;"",VLOOKUP($A28,$A$30:$N$199,3,0),"")</f>
        <v>70690</v>
      </c>
      <c r="D28" s="598">
        <f>IF(A28&lt;&gt;"",VLOOKUP($A28,$A$30:$N$199,4,0),"")</f>
        <v>70700</v>
      </c>
      <c r="E28" s="610">
        <f>IF(A28&lt;&gt;"",VLOOKUP($A28,$A$30:$N$199,5,0),"")</f>
        <v>14272</v>
      </c>
      <c r="F28" s="593">
        <f>IF($A28&lt;&gt;"",VLOOKUP($A28,$A$30:$N$199,6,0),"")</f>
        <v>70700</v>
      </c>
      <c r="G28" s="502">
        <f>IF($A28&lt;&gt;"",VLOOKUP($A28,$A$30:$N$199,7,0),"")</f>
        <v>7.4999999999999997E-3</v>
      </c>
      <c r="H28" s="230">
        <f>IF($A28&lt;&gt;"",VLOOKUP($A28,$A$30:$N$199,8,0),"")</f>
        <v>70000</v>
      </c>
      <c r="I28" s="221">
        <f>IF($A28&lt;&gt;"",VLOOKUP($A28,$A$30:$N$199,9,0),"")</f>
        <v>71300</v>
      </c>
      <c r="J28" s="221">
        <f>IF($A28&lt;&gt;"",VLOOKUP($A28,$A$30:$N$199,10,0),"")</f>
        <v>69000</v>
      </c>
      <c r="K28" s="225">
        <f>IF($A28&lt;&gt;"",VLOOKUP($A28,$A$30:$N$199,11,0),"")</f>
        <v>70170</v>
      </c>
      <c r="L28" s="245">
        <f>IF($A28&lt;&gt;"",VLOOKUP($A28,$A$30:$N$199,12,0),"")</f>
        <v>26600082804</v>
      </c>
      <c r="M28" s="513">
        <f>IF($A28&lt;&gt;"",VLOOKUP($A28,$A$30:$N$199,13,0),"")</f>
        <v>37856465</v>
      </c>
      <c r="N28" s="538">
        <f t="shared" si="12"/>
        <v>9032</v>
      </c>
      <c r="O28" s="532">
        <f t="shared" si="16"/>
        <v>45434.708356481482</v>
      </c>
      <c r="P28" s="266">
        <v>27</v>
      </c>
      <c r="Q28" s="546"/>
      <c r="R28" s="578"/>
      <c r="S28" s="554"/>
      <c r="T28" s="581"/>
      <c r="U28" s="543"/>
      <c r="V28" s="645"/>
      <c r="W28" s="494"/>
      <c r="X28" s="422"/>
      <c r="Y28" s="419">
        <v>50</v>
      </c>
      <c r="Z28" s="382"/>
      <c r="AA28" s="397"/>
      <c r="AB28" s="517"/>
    </row>
    <row r="29" spans="1:41" ht="12.75" customHeight="1">
      <c r="A29" s="751"/>
      <c r="B29" s="752" t="str">
        <f t="shared" si="0"/>
        <v/>
      </c>
      <c r="C29" s="753" t="str">
        <f>IF(A29&lt;&gt;"",VLOOKUP($A29,$A$30:$N$199,3,0),"")</f>
        <v/>
      </c>
      <c r="D29" s="754" t="str">
        <f>IF(A29&lt;&gt;"",VLOOKUP($A29,$A$30:$N$199,4,0),"")</f>
        <v/>
      </c>
      <c r="E29" s="752" t="str">
        <f>IF(A29&lt;&gt;"",VLOOKUP($A29,$A$30:$N$199,5,0),"")</f>
        <v/>
      </c>
      <c r="F29" s="736" t="str">
        <f>IF($A29&lt;&gt;"",VLOOKUP($A29,$A$30:$N$199,6,0),"")</f>
        <v/>
      </c>
      <c r="G29" s="737" t="str">
        <f>IF($A29&lt;&gt;"",VLOOKUP($A29,$A$30:$N$199,7,0),"")</f>
        <v/>
      </c>
      <c r="H29" s="738" t="str">
        <f>IF($A29&lt;&gt;"",VLOOKUP($A29,$A$30:$N$199,8,0),"")</f>
        <v/>
      </c>
      <c r="I29" s="739" t="str">
        <f>IF($A29&lt;&gt;"",VLOOKUP($A29,$A$30:$N$199,9,0),"")</f>
        <v/>
      </c>
      <c r="J29" s="740" t="str">
        <f>IF($A29&lt;&gt;"",VLOOKUP($A29,$A$30:$N$199,10,0),"")</f>
        <v/>
      </c>
      <c r="K29" s="741" t="str">
        <f>IF($A29&lt;&gt;"",VLOOKUP($A29,$A$30:$N$199,11,0),"")</f>
        <v/>
      </c>
      <c r="L29" s="742" t="str">
        <f>IF($A29&lt;&gt;"",VLOOKUP($A29,$A$30:$N$199,12,0),"")</f>
        <v/>
      </c>
      <c r="M29" s="755" t="str">
        <f>IF($A29&lt;&gt;"",VLOOKUP($A29,$A$30:$N$199,13,0),"")</f>
        <v/>
      </c>
      <c r="N29" s="541" t="str">
        <f t="shared" si="12"/>
        <v/>
      </c>
      <c r="O29" s="445" t="str">
        <f t="shared" si="16"/>
        <v/>
      </c>
      <c r="P29" s="446">
        <v>28</v>
      </c>
      <c r="Q29" s="545"/>
      <c r="R29" s="579"/>
      <c r="S29" s="555"/>
      <c r="T29" s="576"/>
      <c r="U29" s="544"/>
      <c r="V29" s="646"/>
      <c r="W29" s="745"/>
      <c r="X29" s="746"/>
      <c r="Y29" s="756">
        <v>1</v>
      </c>
      <c r="Z29" s="757"/>
      <c r="AA29" s="749"/>
      <c r="AB29" s="758"/>
    </row>
    <row r="30" spans="1:41" ht="12.75" customHeight="1">
      <c r="A30" s="596" t="s">
        <v>641</v>
      </c>
      <c r="B30" s="567">
        <v>55</v>
      </c>
      <c r="C30" s="613">
        <v>0.7</v>
      </c>
      <c r="D30" s="614">
        <v>0.92</v>
      </c>
      <c r="E30" s="571">
        <v>244</v>
      </c>
      <c r="F30" s="594">
        <v>0.78300000000000003</v>
      </c>
      <c r="G30" s="502">
        <v>-0.17399999999999999</v>
      </c>
      <c r="H30" s="232">
        <v>0.71</v>
      </c>
      <c r="I30" s="224">
        <v>1.22</v>
      </c>
      <c r="J30" s="261">
        <v>0.7</v>
      </c>
      <c r="K30" s="228">
        <v>0.94799999999999995</v>
      </c>
      <c r="L30" s="239">
        <v>150863</v>
      </c>
      <c r="M30" s="239">
        <v>1618</v>
      </c>
      <c r="N30" s="369">
        <v>335</v>
      </c>
      <c r="O30" s="255">
        <v>45434.707777777781</v>
      </c>
      <c r="P30" s="266">
        <v>29</v>
      </c>
      <c r="Q30" s="546"/>
      <c r="R30" s="578"/>
      <c r="S30" s="554"/>
      <c r="T30" s="577"/>
      <c r="U30" s="543"/>
      <c r="V30" s="496"/>
      <c r="W30" s="494"/>
      <c r="X30" s="422"/>
      <c r="Y30" s="583">
        <v>1</v>
      </c>
      <c r="Z30" s="637">
        <f>IF(A30&lt;&gt;"",(MID(A30,5,4))-F30)</f>
        <v>2759.2170000000001</v>
      </c>
      <c r="AA30" s="397">
        <f t="shared" ref="AA30:AA47" si="19">IF(V30&lt;&gt;"",Z30*100*V30,0)</f>
        <v>0</v>
      </c>
      <c r="AB30" s="730" t="str">
        <f>IF(F40&lt;&gt;"",(MID(A40,5,4)))</f>
        <v>3610</v>
      </c>
    </row>
    <row r="31" spans="1:41" ht="12.75" customHeight="1">
      <c r="A31" s="366" t="s">
        <v>642</v>
      </c>
      <c r="B31" s="566">
        <v>40</v>
      </c>
      <c r="C31" s="615">
        <v>1.1000000000000001</v>
      </c>
      <c r="D31" s="615">
        <v>1.28</v>
      </c>
      <c r="E31" s="566">
        <v>14</v>
      </c>
      <c r="F31" s="491">
        <v>1.1000000000000001</v>
      </c>
      <c r="G31" s="503">
        <v>-0.28010000000000002</v>
      </c>
      <c r="H31" s="231">
        <v>2</v>
      </c>
      <c r="I31" s="222">
        <v>2</v>
      </c>
      <c r="J31" s="259">
        <v>1.0549999999999999</v>
      </c>
      <c r="K31" s="226">
        <v>1.528</v>
      </c>
      <c r="L31" s="229">
        <v>454087</v>
      </c>
      <c r="M31" s="229">
        <v>3472</v>
      </c>
      <c r="N31" s="370">
        <v>351</v>
      </c>
      <c r="O31" s="256">
        <v>45434.707708333335</v>
      </c>
      <c r="P31" s="265">
        <v>30</v>
      </c>
      <c r="Q31" s="545"/>
      <c r="R31" s="579"/>
      <c r="S31" s="555"/>
      <c r="T31" s="576"/>
      <c r="U31" s="544"/>
      <c r="V31" s="495"/>
      <c r="W31" s="381"/>
      <c r="X31" s="421"/>
      <c r="Y31" s="584">
        <v>1</v>
      </c>
      <c r="Z31" s="638">
        <f t="shared" ref="Z31:Z39" si="20">IF(A31&lt;&gt;"",(MID(A31,5,4))-F31)</f>
        <v>2858.9</v>
      </c>
      <c r="AA31" s="398">
        <f t="shared" si="19"/>
        <v>0</v>
      </c>
      <c r="AB31" s="501">
        <f t="shared" ref="AB31:AB39" si="21">IF(F41&lt;&gt;"",((MID(A41,5,4)+F41)-$F$61)*IF(V41&lt;&gt;"",V41,1),"")</f>
        <v>80.048999999999978</v>
      </c>
    </row>
    <row r="32" spans="1:41" ht="12.75" customHeight="1">
      <c r="A32" s="596" t="s">
        <v>643</v>
      </c>
      <c r="B32" s="567">
        <v>34</v>
      </c>
      <c r="C32" s="613">
        <v>1.502</v>
      </c>
      <c r="D32" s="614">
        <v>1.76</v>
      </c>
      <c r="E32" s="567">
        <v>18</v>
      </c>
      <c r="F32" s="593">
        <v>1.55</v>
      </c>
      <c r="G32" s="502">
        <v>-0.3785</v>
      </c>
      <c r="H32" s="233">
        <v>2.0299999999999998</v>
      </c>
      <c r="I32" s="223">
        <v>2.9</v>
      </c>
      <c r="J32" s="264">
        <v>1.25</v>
      </c>
      <c r="K32" s="227">
        <v>2.4940000000000002</v>
      </c>
      <c r="L32" s="237">
        <v>272352</v>
      </c>
      <c r="M32" s="237">
        <v>1459</v>
      </c>
      <c r="N32" s="371">
        <v>405</v>
      </c>
      <c r="O32" s="257">
        <v>45434.707881944443</v>
      </c>
      <c r="P32" s="266">
        <v>31</v>
      </c>
      <c r="Q32" s="546"/>
      <c r="R32" s="580"/>
      <c r="S32" s="554"/>
      <c r="T32" s="577"/>
      <c r="U32" s="543"/>
      <c r="V32" s="496"/>
      <c r="W32" s="494"/>
      <c r="X32" s="451"/>
      <c r="Y32" s="585">
        <v>1</v>
      </c>
      <c r="Z32" s="811">
        <f t="shared" si="20"/>
        <v>3008.45</v>
      </c>
      <c r="AA32" s="397">
        <f t="shared" si="19"/>
        <v>0</v>
      </c>
      <c r="AB32" s="517">
        <f t="shared" si="21"/>
        <v>138.63299999999981</v>
      </c>
    </row>
    <row r="33" spans="1:37" ht="12.75" customHeight="1">
      <c r="A33" s="563" t="s">
        <v>644</v>
      </c>
      <c r="B33" s="566">
        <v>34</v>
      </c>
      <c r="C33" s="615">
        <v>2.5179999999999998</v>
      </c>
      <c r="D33" s="615">
        <v>3.11</v>
      </c>
      <c r="E33" s="566">
        <v>5</v>
      </c>
      <c r="F33" s="491">
        <v>2.5179999999999998</v>
      </c>
      <c r="G33" s="503">
        <v>-0.27850000000000003</v>
      </c>
      <c r="H33" s="231">
        <v>4.3</v>
      </c>
      <c r="I33" s="222">
        <v>5.2</v>
      </c>
      <c r="J33" s="259">
        <v>2.21</v>
      </c>
      <c r="K33" s="226">
        <v>3.49</v>
      </c>
      <c r="L33" s="229">
        <v>511345</v>
      </c>
      <c r="M33" s="229">
        <v>1697</v>
      </c>
      <c r="N33" s="370">
        <v>379</v>
      </c>
      <c r="O33" s="256">
        <v>45434.70721064815</v>
      </c>
      <c r="P33" s="265">
        <v>32</v>
      </c>
      <c r="Q33" s="545"/>
      <c r="R33" s="579"/>
      <c r="S33" s="555"/>
      <c r="T33" s="576"/>
      <c r="U33" s="544"/>
      <c r="V33" s="495"/>
      <c r="W33" s="381"/>
      <c r="X33" s="421"/>
      <c r="Y33" s="584">
        <v>1</v>
      </c>
      <c r="Z33" s="638">
        <f t="shared" si="20"/>
        <v>3157.482</v>
      </c>
      <c r="AA33" s="398">
        <f t="shared" si="19"/>
        <v>0</v>
      </c>
      <c r="AB33" s="501">
        <f t="shared" si="21"/>
        <v>180.05000000000018</v>
      </c>
    </row>
    <row r="34" spans="1:37" ht="12.75" customHeight="1">
      <c r="A34" s="596" t="s">
        <v>645</v>
      </c>
      <c r="B34" s="567">
        <v>21</v>
      </c>
      <c r="C34" s="613">
        <v>4.26</v>
      </c>
      <c r="D34" s="614">
        <v>5.45</v>
      </c>
      <c r="E34" s="567">
        <v>17</v>
      </c>
      <c r="F34" s="593">
        <v>5.5</v>
      </c>
      <c r="G34" s="502">
        <v>-0.1173</v>
      </c>
      <c r="H34" s="233">
        <v>6.45</v>
      </c>
      <c r="I34" s="223">
        <v>7</v>
      </c>
      <c r="J34" s="264">
        <v>4.1100000000000003</v>
      </c>
      <c r="K34" s="227">
        <v>6.2309999999999999</v>
      </c>
      <c r="L34" s="237">
        <v>1375605</v>
      </c>
      <c r="M34" s="237">
        <v>2533</v>
      </c>
      <c r="N34" s="371">
        <v>452</v>
      </c>
      <c r="O34" s="257">
        <v>45434.707777777781</v>
      </c>
      <c r="P34" s="266">
        <v>33</v>
      </c>
      <c r="Q34" s="546"/>
      <c r="R34" s="580"/>
      <c r="S34" s="554"/>
      <c r="T34" s="577"/>
      <c r="U34" s="543"/>
      <c r="V34" s="496"/>
      <c r="W34" s="494"/>
      <c r="X34" s="451"/>
      <c r="Y34" s="585">
        <v>1</v>
      </c>
      <c r="Z34" s="639">
        <f t="shared" si="20"/>
        <v>3304.5</v>
      </c>
      <c r="AA34" s="397">
        <f t="shared" si="19"/>
        <v>0</v>
      </c>
      <c r="AB34" s="517">
        <f t="shared" si="21"/>
        <v>292.03999999999996</v>
      </c>
    </row>
    <row r="35" spans="1:37" ht="12.75" customHeight="1">
      <c r="A35" s="563" t="s">
        <v>646</v>
      </c>
      <c r="B35" s="566">
        <v>30</v>
      </c>
      <c r="C35" s="615">
        <v>9.1199999999999992</v>
      </c>
      <c r="D35" s="615">
        <v>10</v>
      </c>
      <c r="E35" s="566">
        <v>43</v>
      </c>
      <c r="F35" s="491">
        <v>10</v>
      </c>
      <c r="G35" s="503">
        <v>1.2999999999999999E-3</v>
      </c>
      <c r="H35" s="231">
        <v>12</v>
      </c>
      <c r="I35" s="222">
        <v>12</v>
      </c>
      <c r="J35" s="259">
        <v>7.55</v>
      </c>
      <c r="K35" s="226">
        <v>9.9870000000000001</v>
      </c>
      <c r="L35" s="229">
        <v>5970345</v>
      </c>
      <c r="M35" s="229">
        <v>6400</v>
      </c>
      <c r="N35" s="370">
        <v>765</v>
      </c>
      <c r="O35" s="256">
        <v>45434.708252314813</v>
      </c>
      <c r="P35" s="265">
        <v>34</v>
      </c>
      <c r="Q35" s="545"/>
      <c r="R35" s="579"/>
      <c r="S35" s="555"/>
      <c r="T35" s="576"/>
      <c r="U35" s="544"/>
      <c r="V35" s="495"/>
      <c r="W35" s="381"/>
      <c r="X35" s="421"/>
      <c r="Y35" s="586">
        <v>1</v>
      </c>
      <c r="Z35" s="640">
        <f t="shared" si="20"/>
        <v>3450</v>
      </c>
      <c r="AA35" s="398">
        <f t="shared" si="19"/>
        <v>0</v>
      </c>
      <c r="AB35" s="501">
        <f t="shared" si="21"/>
        <v>866.10000000000036</v>
      </c>
    </row>
    <row r="36" spans="1:37" ht="12.75" customHeight="1">
      <c r="A36" s="596" t="s">
        <v>647</v>
      </c>
      <c r="B36" s="568">
        <v>43</v>
      </c>
      <c r="C36" s="613">
        <v>19.3</v>
      </c>
      <c r="D36" s="614">
        <v>21</v>
      </c>
      <c r="E36" s="568">
        <v>24</v>
      </c>
      <c r="F36" s="593">
        <v>21</v>
      </c>
      <c r="G36" s="502">
        <v>0.26239999999999997</v>
      </c>
      <c r="H36" s="233">
        <v>20</v>
      </c>
      <c r="I36" s="223">
        <v>21</v>
      </c>
      <c r="J36" s="264">
        <v>13</v>
      </c>
      <c r="K36" s="227">
        <v>16.634</v>
      </c>
      <c r="L36" s="237">
        <v>11665145</v>
      </c>
      <c r="M36" s="237">
        <v>6503</v>
      </c>
      <c r="N36" s="371">
        <v>673</v>
      </c>
      <c r="O36" s="257">
        <v>45434.708067129628</v>
      </c>
      <c r="P36" s="266">
        <v>35</v>
      </c>
      <c r="Q36" s="546"/>
      <c r="R36" s="580"/>
      <c r="S36" s="554"/>
      <c r="T36" s="577"/>
      <c r="U36" s="543"/>
      <c r="V36" s="496"/>
      <c r="W36" s="494"/>
      <c r="X36" s="451"/>
      <c r="Y36" s="583">
        <v>1</v>
      </c>
      <c r="Z36" s="637">
        <f t="shared" si="20"/>
        <v>3589</v>
      </c>
      <c r="AA36" s="397">
        <f t="shared" si="19"/>
        <v>0</v>
      </c>
      <c r="AB36" s="517">
        <f t="shared" si="21"/>
        <v>596.05000000000018</v>
      </c>
    </row>
    <row r="37" spans="1:37" ht="12.75" customHeight="1">
      <c r="A37" s="563" t="s">
        <v>648</v>
      </c>
      <c r="B37" s="566">
        <v>124</v>
      </c>
      <c r="C37" s="615">
        <v>40</v>
      </c>
      <c r="D37" s="615">
        <v>41.44</v>
      </c>
      <c r="E37" s="566">
        <v>2</v>
      </c>
      <c r="F37" s="491">
        <v>40</v>
      </c>
      <c r="G37" s="503">
        <v>0.30420000000000003</v>
      </c>
      <c r="H37" s="231">
        <v>38.9</v>
      </c>
      <c r="I37" s="222">
        <v>42</v>
      </c>
      <c r="J37" s="259">
        <v>26.01</v>
      </c>
      <c r="K37" s="226">
        <v>30.67</v>
      </c>
      <c r="L37" s="229">
        <v>35781688</v>
      </c>
      <c r="M37" s="229">
        <v>10099</v>
      </c>
      <c r="N37" s="370">
        <v>1035</v>
      </c>
      <c r="O37" s="256">
        <v>45434.708252314813</v>
      </c>
      <c r="P37" s="265">
        <v>36</v>
      </c>
      <c r="Q37" s="545"/>
      <c r="R37" s="579"/>
      <c r="S37" s="555"/>
      <c r="T37" s="576"/>
      <c r="U37" s="544"/>
      <c r="V37" s="495"/>
      <c r="W37" s="381"/>
      <c r="X37" s="421"/>
      <c r="Y37" s="584">
        <v>1</v>
      </c>
      <c r="Z37" s="638">
        <f t="shared" si="20"/>
        <v>3720</v>
      </c>
      <c r="AA37" s="398">
        <f t="shared" si="19"/>
        <v>0</v>
      </c>
      <c r="AB37" s="501">
        <f t="shared" si="21"/>
        <v>774.05000000000018</v>
      </c>
    </row>
    <row r="38" spans="1:37" ht="12.75" customHeight="1">
      <c r="A38" s="596" t="s">
        <v>649</v>
      </c>
      <c r="B38" s="567">
        <v>5</v>
      </c>
      <c r="C38" s="613">
        <v>77</v>
      </c>
      <c r="D38" s="614">
        <v>79.989999999999995</v>
      </c>
      <c r="E38" s="567">
        <v>33</v>
      </c>
      <c r="F38" s="593">
        <v>79.989999999999995</v>
      </c>
      <c r="G38" s="502">
        <v>0.3009</v>
      </c>
      <c r="H38" s="233">
        <v>64</v>
      </c>
      <c r="I38" s="223">
        <v>85</v>
      </c>
      <c r="J38" s="264">
        <v>57.003</v>
      </c>
      <c r="K38" s="227">
        <v>61.487000000000002</v>
      </c>
      <c r="L38" s="237">
        <v>60837155</v>
      </c>
      <c r="M38" s="237">
        <v>8368</v>
      </c>
      <c r="N38" s="371">
        <v>1111</v>
      </c>
      <c r="O38" s="257">
        <v>45434.708252314813</v>
      </c>
      <c r="P38" s="266">
        <v>37</v>
      </c>
      <c r="Q38" s="546"/>
      <c r="R38" s="580"/>
      <c r="S38" s="554"/>
      <c r="T38" s="577"/>
      <c r="U38" s="543"/>
      <c r="V38" s="496"/>
      <c r="W38" s="494"/>
      <c r="X38" s="451"/>
      <c r="Y38" s="585">
        <v>1</v>
      </c>
      <c r="Z38" s="639">
        <f t="shared" si="20"/>
        <v>3830.01</v>
      </c>
      <c r="AA38" s="397">
        <f t="shared" si="19"/>
        <v>0</v>
      </c>
      <c r="AB38" s="517">
        <f t="shared" si="21"/>
        <v>962.05000000000018</v>
      </c>
    </row>
    <row r="39" spans="1:37" ht="12.75" customHeight="1">
      <c r="A39" s="694" t="s">
        <v>650</v>
      </c>
      <c r="B39" s="695">
        <v>1</v>
      </c>
      <c r="C39" s="696">
        <v>133.5</v>
      </c>
      <c r="D39" s="696">
        <v>139</v>
      </c>
      <c r="E39" s="695">
        <v>1</v>
      </c>
      <c r="F39" s="697">
        <v>133.5</v>
      </c>
      <c r="G39" s="698">
        <v>0.28499999999999998</v>
      </c>
      <c r="H39" s="699">
        <v>119.999</v>
      </c>
      <c r="I39" s="700">
        <v>145</v>
      </c>
      <c r="J39" s="701">
        <v>99.998999999999995</v>
      </c>
      <c r="K39" s="702">
        <v>103.88800000000001</v>
      </c>
      <c r="L39" s="703">
        <v>37617078</v>
      </c>
      <c r="M39" s="703">
        <v>3088</v>
      </c>
      <c r="N39" s="630">
        <v>549</v>
      </c>
      <c r="O39" s="631">
        <v>45434.70753472222</v>
      </c>
      <c r="P39" s="632">
        <v>38</v>
      </c>
      <c r="Q39" s="545"/>
      <c r="R39" s="579"/>
      <c r="S39" s="555"/>
      <c r="T39" s="576"/>
      <c r="U39" s="544"/>
      <c r="V39" s="495"/>
      <c r="W39" s="704"/>
      <c r="X39" s="705"/>
      <c r="Y39" s="706">
        <v>1</v>
      </c>
      <c r="Z39" s="707">
        <f t="shared" si="20"/>
        <v>3926.5</v>
      </c>
      <c r="AA39" s="708">
        <f t="shared" si="19"/>
        <v>0</v>
      </c>
      <c r="AB39" s="709">
        <f t="shared" si="21"/>
        <v>1154.5500000000002</v>
      </c>
    </row>
    <row r="40" spans="1:37" ht="12.75" customHeight="1">
      <c r="A40" s="561" t="s">
        <v>651</v>
      </c>
      <c r="B40" s="571">
        <v>2</v>
      </c>
      <c r="C40" s="616">
        <v>555</v>
      </c>
      <c r="D40" s="616">
        <v>568</v>
      </c>
      <c r="E40" s="571">
        <v>10</v>
      </c>
      <c r="F40" s="594">
        <v>570</v>
      </c>
      <c r="G40" s="502">
        <v>-0.10390000000000001</v>
      </c>
      <c r="H40" s="232">
        <v>580</v>
      </c>
      <c r="I40" s="224">
        <v>620</v>
      </c>
      <c r="J40" s="261">
        <v>555</v>
      </c>
      <c r="K40" s="228">
        <v>636.13599999999997</v>
      </c>
      <c r="L40" s="239">
        <v>122369955</v>
      </c>
      <c r="M40" s="239">
        <v>2100</v>
      </c>
      <c r="N40" s="369">
        <v>268</v>
      </c>
      <c r="O40" s="255">
        <v>45434.708101851851</v>
      </c>
      <c r="P40" s="266">
        <v>39</v>
      </c>
      <c r="Q40" s="546"/>
      <c r="R40" s="580"/>
      <c r="S40" s="554"/>
      <c r="T40" s="577"/>
      <c r="U40" s="543"/>
      <c r="V40" s="496"/>
      <c r="W40" s="494"/>
      <c r="X40" s="422"/>
      <c r="Y40" s="583">
        <f t="shared" ref="Y40:Y42" si="22">V40</f>
        <v>0</v>
      </c>
      <c r="Z40" s="637">
        <f t="shared" ref="Z40:Z49" si="23">IF(A40&lt;&gt;"",(MID(A40,5,4))+F40)</f>
        <v>4180</v>
      </c>
      <c r="AA40" s="497">
        <f t="shared" si="19"/>
        <v>0</v>
      </c>
      <c r="AB40" s="515">
        <f t="shared" ref="AB40:AB49" si="24">IF(F30&lt;&gt;"",($F$61-(MID(A30,5,4)+F30))*IF(V30&lt;&gt;"",V30,1),"")</f>
        <v>1359.1669999999999</v>
      </c>
    </row>
    <row r="41" spans="1:37" ht="12.75" customHeight="1">
      <c r="A41" s="592" t="s">
        <v>652</v>
      </c>
      <c r="B41" s="572">
        <v>45</v>
      </c>
      <c r="C41" s="615">
        <v>435.00099999999998</v>
      </c>
      <c r="D41" s="617">
        <v>450</v>
      </c>
      <c r="E41" s="569">
        <v>95</v>
      </c>
      <c r="F41" s="491">
        <v>439.99900000000002</v>
      </c>
      <c r="G41" s="503">
        <v>-0.12759999999999999</v>
      </c>
      <c r="H41" s="231">
        <v>479.5</v>
      </c>
      <c r="I41" s="222">
        <v>500</v>
      </c>
      <c r="J41" s="259">
        <v>435</v>
      </c>
      <c r="K41" s="226">
        <v>504.36799999999999</v>
      </c>
      <c r="L41" s="229">
        <v>194705827</v>
      </c>
      <c r="M41" s="229">
        <v>4241</v>
      </c>
      <c r="N41" s="370">
        <v>517</v>
      </c>
      <c r="O41" s="256">
        <v>45434.707881944443</v>
      </c>
      <c r="P41" s="265">
        <v>40</v>
      </c>
      <c r="Q41" s="545"/>
      <c r="R41" s="579"/>
      <c r="S41" s="555"/>
      <c r="T41" s="576"/>
      <c r="U41" s="544"/>
      <c r="V41" s="495"/>
      <c r="W41" s="381"/>
      <c r="X41" s="421"/>
      <c r="Y41" s="584">
        <f t="shared" si="22"/>
        <v>0</v>
      </c>
      <c r="Z41" s="638">
        <f t="shared" si="23"/>
        <v>4199.9989999999998</v>
      </c>
      <c r="AA41" s="498">
        <f t="shared" si="19"/>
        <v>0</v>
      </c>
      <c r="AB41" s="499">
        <f t="shared" si="24"/>
        <v>1258.8499999999999</v>
      </c>
    </row>
    <row r="42" spans="1:37" ht="12.75" customHeight="1">
      <c r="A42" s="561" t="s">
        <v>653</v>
      </c>
      <c r="B42" s="570">
        <v>20</v>
      </c>
      <c r="C42" s="618">
        <v>334</v>
      </c>
      <c r="D42" s="618">
        <v>347</v>
      </c>
      <c r="E42" s="570">
        <v>3</v>
      </c>
      <c r="F42" s="593">
        <v>348.58300000000003</v>
      </c>
      <c r="G42" s="502">
        <v>-0.10039999999999999</v>
      </c>
      <c r="H42" s="233">
        <v>340</v>
      </c>
      <c r="I42" s="223">
        <v>390</v>
      </c>
      <c r="J42" s="264">
        <v>326</v>
      </c>
      <c r="K42" s="227">
        <v>387.49700000000001</v>
      </c>
      <c r="L42" s="237">
        <v>129047607</v>
      </c>
      <c r="M42" s="237">
        <v>3630</v>
      </c>
      <c r="N42" s="371">
        <v>440</v>
      </c>
      <c r="O42" s="257">
        <v>45434.708182870374</v>
      </c>
      <c r="P42" s="266">
        <v>41</v>
      </c>
      <c r="Q42" s="546"/>
      <c r="R42" s="580"/>
      <c r="S42" s="554"/>
      <c r="T42" s="577"/>
      <c r="U42" s="543"/>
      <c r="V42" s="496"/>
      <c r="W42" s="494"/>
      <c r="X42" s="451"/>
      <c r="Y42" s="585">
        <f t="shared" si="22"/>
        <v>0</v>
      </c>
      <c r="Z42" s="639">
        <f t="shared" si="23"/>
        <v>4258.5829999999996</v>
      </c>
      <c r="AA42" s="497">
        <f t="shared" si="19"/>
        <v>0</v>
      </c>
      <c r="AB42" s="516">
        <f t="shared" si="24"/>
        <v>1108.3999999999996</v>
      </c>
    </row>
    <row r="43" spans="1:37" ht="12.75" customHeight="1">
      <c r="A43" s="653" t="s">
        <v>654</v>
      </c>
      <c r="B43" s="572">
        <v>3</v>
      </c>
      <c r="C43" s="615">
        <v>238</v>
      </c>
      <c r="D43" s="617">
        <v>250</v>
      </c>
      <c r="E43" s="569">
        <v>2</v>
      </c>
      <c r="F43" s="491">
        <v>240</v>
      </c>
      <c r="G43" s="503">
        <v>-0.15039999999999998</v>
      </c>
      <c r="H43" s="231">
        <v>284</v>
      </c>
      <c r="I43" s="222">
        <v>284</v>
      </c>
      <c r="J43" s="259">
        <v>234</v>
      </c>
      <c r="K43" s="226">
        <v>282.50599999999997</v>
      </c>
      <c r="L43" s="229">
        <v>766269706</v>
      </c>
      <c r="M43" s="229">
        <v>30356</v>
      </c>
      <c r="N43" s="370">
        <v>2307</v>
      </c>
      <c r="O43" s="256">
        <v>45434.708298611113</v>
      </c>
      <c r="P43" s="265">
        <v>42</v>
      </c>
      <c r="Q43" s="545"/>
      <c r="R43" s="579"/>
      <c r="S43" s="555"/>
      <c r="T43" s="576"/>
      <c r="U43" s="544"/>
      <c r="V43" s="495">
        <v>1</v>
      </c>
      <c r="W43" s="381" t="s">
        <v>639</v>
      </c>
      <c r="X43" s="421">
        <v>24000</v>
      </c>
      <c r="Y43" s="584">
        <v>1</v>
      </c>
      <c r="Z43" s="638">
        <f t="shared" si="23"/>
        <v>4300</v>
      </c>
      <c r="AA43" s="498">
        <f t="shared" si="19"/>
        <v>430000</v>
      </c>
      <c r="AB43" s="499">
        <f t="shared" si="24"/>
        <v>957.43199999999979</v>
      </c>
      <c r="AE43" s="588"/>
      <c r="AF43" s="587"/>
      <c r="AG43" s="587"/>
      <c r="AH43" s="587"/>
      <c r="AI43" s="587"/>
      <c r="AJ43" s="587"/>
      <c r="AK43" s="587"/>
    </row>
    <row r="44" spans="1:37" ht="12.75" customHeight="1">
      <c r="A44" s="654" t="s">
        <v>655</v>
      </c>
      <c r="B44" s="570">
        <v>10</v>
      </c>
      <c r="C44" s="618">
        <v>151.001</v>
      </c>
      <c r="D44" s="618">
        <v>152.97</v>
      </c>
      <c r="E44" s="570">
        <v>2</v>
      </c>
      <c r="F44" s="593">
        <v>151.99</v>
      </c>
      <c r="G44" s="502">
        <v>-0.16089999999999999</v>
      </c>
      <c r="H44" s="233">
        <v>151.001</v>
      </c>
      <c r="I44" s="223">
        <v>181.15100000000001</v>
      </c>
      <c r="J44" s="264">
        <v>145</v>
      </c>
      <c r="K44" s="227">
        <v>181.15100000000001</v>
      </c>
      <c r="L44" s="237">
        <v>219426679</v>
      </c>
      <c r="M44" s="237">
        <v>13568</v>
      </c>
      <c r="N44" s="371">
        <v>1415</v>
      </c>
      <c r="O44" s="257">
        <v>45434.708090277774</v>
      </c>
      <c r="P44" s="266">
        <v>43</v>
      </c>
      <c r="Q44" s="546"/>
      <c r="R44" s="580"/>
      <c r="S44" s="554"/>
      <c r="T44" s="577"/>
      <c r="U44" s="543"/>
      <c r="V44" s="496"/>
      <c r="W44" s="494"/>
      <c r="X44" s="451"/>
      <c r="Y44" s="585">
        <v>1</v>
      </c>
      <c r="Z44" s="639">
        <f t="shared" si="23"/>
        <v>4411.99</v>
      </c>
      <c r="AA44" s="497">
        <f t="shared" si="19"/>
        <v>0</v>
      </c>
      <c r="AB44" s="516">
        <f t="shared" si="24"/>
        <v>804.44999999999982</v>
      </c>
      <c r="AE44" s="587"/>
      <c r="AF44" s="587"/>
      <c r="AH44" s="587"/>
      <c r="AI44" s="587"/>
      <c r="AJ44" s="587"/>
      <c r="AK44" s="587"/>
    </row>
    <row r="45" spans="1:37" ht="12.75" customHeight="1">
      <c r="A45" s="653" t="s">
        <v>656</v>
      </c>
      <c r="B45" s="572">
        <v>448</v>
      </c>
      <c r="C45" s="615">
        <v>92</v>
      </c>
      <c r="D45" s="617">
        <v>94</v>
      </c>
      <c r="E45" s="569">
        <v>50</v>
      </c>
      <c r="F45" s="491">
        <v>93</v>
      </c>
      <c r="G45" s="503">
        <v>-0.17230000000000001</v>
      </c>
      <c r="H45" s="231">
        <v>91</v>
      </c>
      <c r="I45" s="222">
        <v>112</v>
      </c>
      <c r="J45" s="259">
        <v>88</v>
      </c>
      <c r="K45" s="226">
        <v>112.366</v>
      </c>
      <c r="L45" s="229">
        <v>343210580</v>
      </c>
      <c r="M45" s="229">
        <v>34509</v>
      </c>
      <c r="N45" s="229">
        <v>1981</v>
      </c>
      <c r="O45" s="256">
        <v>45434.708310185182</v>
      </c>
      <c r="P45" s="383">
        <v>44</v>
      </c>
      <c r="Q45" s="547"/>
      <c r="R45" s="579"/>
      <c r="S45" s="555"/>
      <c r="T45" s="576"/>
      <c r="U45" s="544"/>
      <c r="V45" s="495">
        <v>2</v>
      </c>
      <c r="W45" s="381">
        <v>9300</v>
      </c>
      <c r="X45" s="421">
        <v>9300</v>
      </c>
      <c r="Y45" s="586">
        <v>1</v>
      </c>
      <c r="Z45" s="640">
        <f t="shared" si="23"/>
        <v>4553</v>
      </c>
      <c r="AA45" s="498">
        <f t="shared" si="19"/>
        <v>910600</v>
      </c>
      <c r="AB45" s="499">
        <f t="shared" si="24"/>
        <v>649.94999999999982</v>
      </c>
      <c r="AE45" s="587"/>
      <c r="AG45" s="587"/>
      <c r="AH45" s="587"/>
      <c r="AI45" s="587"/>
      <c r="AJ45" s="587"/>
      <c r="AK45" s="587"/>
    </row>
    <row r="46" spans="1:37" ht="12.75" customHeight="1">
      <c r="A46" s="654" t="s">
        <v>657</v>
      </c>
      <c r="B46" s="570">
        <v>12</v>
      </c>
      <c r="C46" s="618">
        <v>56</v>
      </c>
      <c r="D46" s="618">
        <v>57</v>
      </c>
      <c r="E46" s="570">
        <v>52</v>
      </c>
      <c r="F46" s="593">
        <v>56</v>
      </c>
      <c r="G46" s="502">
        <v>-0.1981</v>
      </c>
      <c r="H46" s="233">
        <v>70</v>
      </c>
      <c r="I46" s="223">
        <v>70</v>
      </c>
      <c r="J46" s="264">
        <v>54</v>
      </c>
      <c r="K46" s="227">
        <v>69.837999999999994</v>
      </c>
      <c r="L46" s="237">
        <v>61699642</v>
      </c>
      <c r="M46" s="237">
        <v>9899</v>
      </c>
      <c r="N46" s="237">
        <v>1097</v>
      </c>
      <c r="O46" s="257">
        <v>45434.708252314813</v>
      </c>
      <c r="P46" s="384">
        <v>45</v>
      </c>
      <c r="Q46" s="546"/>
      <c r="R46" s="580"/>
      <c r="S46" s="554"/>
      <c r="T46" s="577"/>
      <c r="U46" s="543"/>
      <c r="V46" s="496">
        <v>1</v>
      </c>
      <c r="W46" s="494" t="s">
        <v>639</v>
      </c>
      <c r="X46" s="451">
        <v>5600</v>
      </c>
      <c r="Y46" s="652">
        <v>1</v>
      </c>
      <c r="Z46" s="637">
        <f t="shared" si="23"/>
        <v>4716</v>
      </c>
      <c r="AA46" s="497">
        <f t="shared" si="19"/>
        <v>471600</v>
      </c>
      <c r="AB46" s="516">
        <f t="shared" si="24"/>
        <v>488.94999999999982</v>
      </c>
      <c r="AE46" s="587"/>
      <c r="AG46" s="587"/>
      <c r="AH46" s="587"/>
      <c r="AI46" s="587"/>
      <c r="AJ46" s="587"/>
      <c r="AK46" s="587"/>
    </row>
    <row r="47" spans="1:37" ht="12.75" customHeight="1">
      <c r="A47" s="592" t="s">
        <v>658</v>
      </c>
      <c r="B47" s="572">
        <v>18</v>
      </c>
      <c r="C47" s="615">
        <v>34</v>
      </c>
      <c r="D47" s="615">
        <v>34.99</v>
      </c>
      <c r="E47" s="569">
        <v>21</v>
      </c>
      <c r="F47" s="491">
        <v>34</v>
      </c>
      <c r="G47" s="503">
        <v>-0.17519999999999999</v>
      </c>
      <c r="H47" s="231">
        <v>37.500999999999998</v>
      </c>
      <c r="I47" s="222">
        <v>43</v>
      </c>
      <c r="J47" s="259">
        <v>33</v>
      </c>
      <c r="K47" s="226">
        <v>41.225000000000001</v>
      </c>
      <c r="L47" s="229">
        <v>25065648</v>
      </c>
      <c r="M47" s="229">
        <v>6719</v>
      </c>
      <c r="N47" s="229">
        <v>601</v>
      </c>
      <c r="O47" s="256">
        <v>45434.708252314813</v>
      </c>
      <c r="P47" s="385">
        <v>46</v>
      </c>
      <c r="Q47" s="547"/>
      <c r="R47" s="579"/>
      <c r="S47" s="555"/>
      <c r="T47" s="576"/>
      <c r="U47" s="544"/>
      <c r="V47" s="495"/>
      <c r="W47" s="381"/>
      <c r="X47" s="421"/>
      <c r="Y47" s="584">
        <f t="shared" ref="Y47:Y49" si="25">V47</f>
        <v>0</v>
      </c>
      <c r="Z47" s="638">
        <f t="shared" si="23"/>
        <v>4894</v>
      </c>
      <c r="AA47" s="498">
        <f t="shared" si="19"/>
        <v>0</v>
      </c>
      <c r="AB47" s="499">
        <f t="shared" si="24"/>
        <v>319.94999999999982</v>
      </c>
      <c r="AE47" s="587"/>
      <c r="AG47" s="587"/>
      <c r="AH47" s="587"/>
      <c r="AI47" s="587"/>
      <c r="AJ47" s="587"/>
      <c r="AK47" s="587"/>
    </row>
    <row r="48" spans="1:37" ht="12.75" customHeight="1">
      <c r="A48" s="561" t="s">
        <v>659</v>
      </c>
      <c r="B48" s="570">
        <v>6</v>
      </c>
      <c r="C48" s="618">
        <v>19.741</v>
      </c>
      <c r="D48" s="619">
        <v>22.78</v>
      </c>
      <c r="E48" s="570">
        <v>3</v>
      </c>
      <c r="F48" s="593">
        <v>22</v>
      </c>
      <c r="G48" s="502">
        <v>-0.1242</v>
      </c>
      <c r="H48" s="233">
        <v>24.99</v>
      </c>
      <c r="I48" s="223">
        <v>24.99</v>
      </c>
      <c r="J48" s="264">
        <v>19.8</v>
      </c>
      <c r="K48" s="227">
        <v>25.120999999999999</v>
      </c>
      <c r="L48" s="237">
        <v>4265221</v>
      </c>
      <c r="M48" s="237">
        <v>1943</v>
      </c>
      <c r="N48" s="237">
        <v>323</v>
      </c>
      <c r="O48" s="257">
        <v>45434.707650462966</v>
      </c>
      <c r="P48" s="384">
        <v>47</v>
      </c>
      <c r="Q48" s="546"/>
      <c r="R48" s="580"/>
      <c r="S48" s="554"/>
      <c r="T48" s="577"/>
      <c r="U48" s="543"/>
      <c r="V48" s="496"/>
      <c r="W48" s="494"/>
      <c r="X48" s="451"/>
      <c r="Y48" s="585">
        <f t="shared" si="25"/>
        <v>0</v>
      </c>
      <c r="Z48" s="639">
        <f t="shared" si="23"/>
        <v>5082</v>
      </c>
      <c r="AA48" s="497">
        <f>IF(V48&lt;&gt;"",Z48*100*V48,0)</f>
        <v>0</v>
      </c>
      <c r="AB48" s="516">
        <f t="shared" si="24"/>
        <v>129.96000000000004</v>
      </c>
      <c r="AE48" s="587"/>
      <c r="AF48" s="587"/>
      <c r="AG48" s="587"/>
      <c r="AH48" s="587"/>
      <c r="AI48" s="587"/>
      <c r="AJ48" s="587"/>
      <c r="AK48" s="587"/>
    </row>
    <row r="49" spans="1:40" ht="12.75" customHeight="1">
      <c r="A49" s="710" t="s">
        <v>660</v>
      </c>
      <c r="B49" s="711">
        <v>15</v>
      </c>
      <c r="C49" s="712">
        <v>13.5</v>
      </c>
      <c r="D49" s="712">
        <v>14.6</v>
      </c>
      <c r="E49" s="711">
        <v>5</v>
      </c>
      <c r="F49" s="713">
        <v>14.5</v>
      </c>
      <c r="G49" s="714">
        <v>-7.5499999999999998E-2</v>
      </c>
      <c r="H49" s="715">
        <v>16</v>
      </c>
      <c r="I49" s="716">
        <v>16</v>
      </c>
      <c r="J49" s="717">
        <v>13.5</v>
      </c>
      <c r="K49" s="718">
        <v>15.685</v>
      </c>
      <c r="L49" s="719">
        <v>9031832</v>
      </c>
      <c r="M49" s="719">
        <v>6278</v>
      </c>
      <c r="N49" s="633">
        <v>858</v>
      </c>
      <c r="O49" s="634">
        <v>45434.70826388889</v>
      </c>
      <c r="P49" s="635">
        <v>48</v>
      </c>
      <c r="Q49" s="545"/>
      <c r="R49" s="579"/>
      <c r="S49" s="555"/>
      <c r="T49" s="576"/>
      <c r="U49" s="544"/>
      <c r="V49" s="495"/>
      <c r="W49" s="720"/>
      <c r="X49" s="721"/>
      <c r="Y49" s="722">
        <f t="shared" si="25"/>
        <v>0</v>
      </c>
      <c r="Z49" s="723">
        <f t="shared" si="23"/>
        <v>5274.5</v>
      </c>
      <c r="AA49" s="724">
        <f>IF(V49&lt;&gt;"",Z49*100*V49,0)</f>
        <v>0</v>
      </c>
      <c r="AB49" s="725">
        <f t="shared" si="24"/>
        <v>-73.550000000000182</v>
      </c>
      <c r="AE49" s="587"/>
      <c r="AF49" s="587"/>
      <c r="AG49" s="587"/>
      <c r="AH49" s="587"/>
      <c r="AI49" s="587"/>
      <c r="AJ49" s="587"/>
      <c r="AK49" s="587"/>
    </row>
    <row r="50" spans="1:40" ht="12.75" customHeight="1">
      <c r="A50" s="641" t="s">
        <v>666</v>
      </c>
      <c r="B50" s="567"/>
      <c r="C50" s="620"/>
      <c r="D50" s="621"/>
      <c r="E50" s="571"/>
      <c r="F50" s="594"/>
      <c r="G50" s="502"/>
      <c r="H50" s="232"/>
      <c r="I50" s="224"/>
      <c r="J50" s="261"/>
      <c r="K50" s="228"/>
      <c r="L50" s="239"/>
      <c r="M50" s="239"/>
      <c r="N50" s="239"/>
      <c r="O50" s="255"/>
      <c r="P50" s="384">
        <v>49</v>
      </c>
      <c r="Q50" s="546"/>
      <c r="R50" s="580"/>
      <c r="S50" s="554"/>
      <c r="T50" s="577"/>
      <c r="U50" s="543"/>
      <c r="V50" s="496"/>
      <c r="W50" s="494"/>
      <c r="X50" s="422"/>
      <c r="Y50" s="636" t="str">
        <f t="shared" ref="Y50:Y59" si="26">IF(V50&gt;0,V50,"")</f>
        <v/>
      </c>
      <c r="Z50" s="447"/>
      <c r="AA50" s="397">
        <f t="shared" ref="AA50:AA59" si="27">IF(V50&lt;&gt;"",Z50*100*V50,0)</f>
        <v>0</v>
      </c>
      <c r="AB50" s="515" t="str">
        <f>IF(F50&lt;&gt;"",($F$61-(MID(A50,5,4)+F50))*IF(V50&lt;&gt;"",V50,1),"")</f>
        <v/>
      </c>
      <c r="AE50" s="587"/>
      <c r="AF50" s="587"/>
      <c r="AG50" s="587"/>
      <c r="AH50" s="587"/>
      <c r="AI50" s="587"/>
      <c r="AJ50" s="587"/>
      <c r="AK50" s="587"/>
    </row>
    <row r="51" spans="1:40" ht="12.75" customHeight="1">
      <c r="A51" s="642" t="s">
        <v>667</v>
      </c>
      <c r="B51" s="566">
        <v>25</v>
      </c>
      <c r="C51" s="622">
        <v>4</v>
      </c>
      <c r="D51" s="622">
        <v>22</v>
      </c>
      <c r="E51" s="566">
        <v>2</v>
      </c>
      <c r="F51" s="491"/>
      <c r="G51" s="503"/>
      <c r="H51" s="231"/>
      <c r="I51" s="222"/>
      <c r="J51" s="259"/>
      <c r="K51" s="226"/>
      <c r="L51" s="229"/>
      <c r="M51" s="229"/>
      <c r="N51" s="229"/>
      <c r="O51" s="256"/>
      <c r="P51" s="385">
        <v>50</v>
      </c>
      <c r="Q51" s="547"/>
      <c r="R51" s="579"/>
      <c r="S51" s="555"/>
      <c r="T51" s="576"/>
      <c r="U51" s="544"/>
      <c r="V51" s="495"/>
      <c r="W51" s="381"/>
      <c r="X51" s="421"/>
      <c r="Y51" s="439" t="str">
        <f t="shared" si="26"/>
        <v/>
      </c>
      <c r="Z51" s="440"/>
      <c r="AA51" s="398">
        <f t="shared" si="27"/>
        <v>0</v>
      </c>
      <c r="AB51" s="499" t="str">
        <f>IF(F51&lt;&gt;"",($F$61-(MID(A51,5,4)+F51))*IF(V51&lt;&gt;"",V51,1),"")</f>
        <v/>
      </c>
      <c r="AE51" s="587"/>
      <c r="AF51" s="587"/>
      <c r="AG51" s="587"/>
      <c r="AH51" s="587"/>
      <c r="AI51" s="587"/>
      <c r="AJ51" s="587"/>
      <c r="AK51" s="587"/>
    </row>
    <row r="52" spans="1:40" ht="12.75" customHeight="1">
      <c r="A52" s="641" t="s">
        <v>668</v>
      </c>
      <c r="B52" s="567">
        <v>25</v>
      </c>
      <c r="C52" s="623">
        <v>7</v>
      </c>
      <c r="D52" s="623">
        <v>90</v>
      </c>
      <c r="E52" s="571">
        <v>5</v>
      </c>
      <c r="F52" s="593"/>
      <c r="G52" s="502"/>
      <c r="H52" s="233"/>
      <c r="I52" s="223"/>
      <c r="J52" s="264"/>
      <c r="K52" s="227"/>
      <c r="L52" s="237"/>
      <c r="M52" s="237"/>
      <c r="N52" s="237"/>
      <c r="O52" s="257"/>
      <c r="P52" s="384">
        <v>51</v>
      </c>
      <c r="Q52" s="546"/>
      <c r="R52" s="580"/>
      <c r="S52" s="554"/>
      <c r="T52" s="577"/>
      <c r="U52" s="543"/>
      <c r="V52" s="496"/>
      <c r="W52" s="494"/>
      <c r="X52" s="451"/>
      <c r="Y52" s="441" t="str">
        <f t="shared" si="26"/>
        <v/>
      </c>
      <c r="Z52" s="442"/>
      <c r="AA52" s="397">
        <f t="shared" si="27"/>
        <v>0</v>
      </c>
      <c r="AB52" s="516" t="str">
        <f>IF(F52&lt;&gt;"",($F$61-(MID(A52,5,4)+F52))*IF(V52&lt;&gt;"",V52,1),"")</f>
        <v/>
      </c>
      <c r="AE52" s="587"/>
      <c r="AF52" s="587"/>
      <c r="AG52" s="587"/>
      <c r="AH52" s="587"/>
      <c r="AI52" s="587"/>
      <c r="AJ52" s="587"/>
      <c r="AK52" s="587"/>
    </row>
    <row r="53" spans="1:40" ht="12.75" customHeight="1">
      <c r="A53" s="642" t="s">
        <v>669</v>
      </c>
      <c r="B53" s="566">
        <v>25</v>
      </c>
      <c r="C53" s="622">
        <v>12</v>
      </c>
      <c r="D53" s="624">
        <v>100</v>
      </c>
      <c r="E53" s="566">
        <v>5</v>
      </c>
      <c r="F53" s="491"/>
      <c r="G53" s="503"/>
      <c r="H53" s="231"/>
      <c r="I53" s="222"/>
      <c r="J53" s="259"/>
      <c r="K53" s="226"/>
      <c r="L53" s="229"/>
      <c r="M53" s="229"/>
      <c r="N53" s="229"/>
      <c r="O53" s="256"/>
      <c r="P53" s="385">
        <v>52</v>
      </c>
      <c r="Q53" s="547"/>
      <c r="R53" s="579"/>
      <c r="S53" s="555"/>
      <c r="T53" s="576"/>
      <c r="U53" s="544"/>
      <c r="V53" s="495"/>
      <c r="W53" s="381"/>
      <c r="X53" s="421"/>
      <c r="Y53" s="439" t="str">
        <f t="shared" si="26"/>
        <v/>
      </c>
      <c r="Z53" s="440"/>
      <c r="AA53" s="398">
        <f t="shared" si="27"/>
        <v>0</v>
      </c>
      <c r="AB53" s="499" t="str">
        <f>IF(F53&lt;&gt;"",($F$61-(MID(A53,5,4)+F53))*IF(V53&lt;&gt;"",V53,1),"")</f>
        <v/>
      </c>
      <c r="AE53" s="587"/>
      <c r="AF53" s="587"/>
      <c r="AG53" s="587"/>
      <c r="AH53" s="587"/>
      <c r="AI53" s="587"/>
      <c r="AJ53" s="587"/>
      <c r="AK53" s="587"/>
    </row>
    <row r="54" spans="1:40" ht="12.75" customHeight="1">
      <c r="A54" s="641" t="s">
        <v>670</v>
      </c>
      <c r="B54" s="573"/>
      <c r="C54" s="623"/>
      <c r="D54" s="623">
        <v>120</v>
      </c>
      <c r="E54" s="570">
        <v>7</v>
      </c>
      <c r="F54" s="593"/>
      <c r="G54" s="502"/>
      <c r="H54" s="233"/>
      <c r="I54" s="223"/>
      <c r="J54" s="264"/>
      <c r="K54" s="227">
        <v>58</v>
      </c>
      <c r="L54" s="237"/>
      <c r="M54" s="237"/>
      <c r="N54" s="237"/>
      <c r="O54" s="257"/>
      <c r="P54" s="487">
        <v>53</v>
      </c>
      <c r="Q54" s="546"/>
      <c r="R54" s="580"/>
      <c r="S54" s="554"/>
      <c r="T54" s="577"/>
      <c r="U54" s="543"/>
      <c r="V54" s="496"/>
      <c r="W54" s="494"/>
      <c r="X54" s="423"/>
      <c r="Y54" s="441" t="str">
        <f t="shared" si="26"/>
        <v/>
      </c>
      <c r="Z54" s="442"/>
      <c r="AA54" s="488">
        <f t="shared" si="27"/>
        <v>0</v>
      </c>
      <c r="AB54" s="516" t="str">
        <f>IF(F54&lt;&gt;"",($F$61-(MID(A54,5,4)+F54))*IF(V54&lt;&gt;"",V54,1),"")</f>
        <v/>
      </c>
      <c r="AE54" s="587"/>
      <c r="AF54" s="587"/>
      <c r="AG54" s="587"/>
      <c r="AH54" s="587"/>
      <c r="AI54" s="587"/>
      <c r="AJ54" s="587"/>
      <c r="AK54" s="587"/>
    </row>
    <row r="55" spans="1:40" ht="12.75" customHeight="1">
      <c r="A55" s="643" t="s">
        <v>661</v>
      </c>
      <c r="B55" s="572">
        <v>2</v>
      </c>
      <c r="C55" s="622">
        <v>476</v>
      </c>
      <c r="D55" s="624">
        <v>494.5</v>
      </c>
      <c r="E55" s="569">
        <v>8</v>
      </c>
      <c r="F55" s="491">
        <v>490</v>
      </c>
      <c r="G55" s="503">
        <v>-4.8499999999999995E-2</v>
      </c>
      <c r="H55" s="231">
        <v>460</v>
      </c>
      <c r="I55" s="222">
        <v>491</v>
      </c>
      <c r="J55" s="259">
        <v>460</v>
      </c>
      <c r="K55" s="226">
        <v>515</v>
      </c>
      <c r="L55" s="229">
        <v>16742651</v>
      </c>
      <c r="M55" s="229">
        <v>348</v>
      </c>
      <c r="N55" s="229">
        <v>60</v>
      </c>
      <c r="O55" s="256">
        <v>45434.705648148149</v>
      </c>
      <c r="P55" s="385">
        <v>54</v>
      </c>
      <c r="Q55" s="547"/>
      <c r="R55" s="579"/>
      <c r="S55" s="555"/>
      <c r="T55" s="576"/>
      <c r="U55" s="544"/>
      <c r="V55" s="495"/>
      <c r="W55" s="381"/>
      <c r="X55" s="452"/>
      <c r="Y55" s="417" t="str">
        <f t="shared" si="26"/>
        <v/>
      </c>
      <c r="Z55" s="453"/>
      <c r="AA55" s="454">
        <f t="shared" si="27"/>
        <v>0</v>
      </c>
      <c r="AB55" s="499">
        <f>IF(F55&lt;&gt;"",((MID(A55,5,4)+F55)-$F$61)*IF(V55&lt;&gt;"",V55,1),"")</f>
        <v>430.05000000000018</v>
      </c>
      <c r="AE55" s="587"/>
      <c r="AF55" s="587"/>
      <c r="AG55" s="587"/>
      <c r="AH55" s="587"/>
      <c r="AI55" s="587"/>
      <c r="AJ55" s="587"/>
      <c r="AK55" s="587"/>
    </row>
    <row r="56" spans="1:40" ht="12.75" customHeight="1">
      <c r="A56" s="644" t="s">
        <v>662</v>
      </c>
      <c r="B56" s="570">
        <v>3</v>
      </c>
      <c r="C56" s="623">
        <v>337.5</v>
      </c>
      <c r="D56" s="623">
        <v>340.01</v>
      </c>
      <c r="E56" s="570">
        <v>19</v>
      </c>
      <c r="F56" s="593">
        <v>340.01</v>
      </c>
      <c r="G56" s="502">
        <v>-0.14990000000000001</v>
      </c>
      <c r="H56" s="233">
        <v>400</v>
      </c>
      <c r="I56" s="223">
        <v>400</v>
      </c>
      <c r="J56" s="264">
        <v>330</v>
      </c>
      <c r="K56" s="227">
        <v>400</v>
      </c>
      <c r="L56" s="237">
        <v>35823153</v>
      </c>
      <c r="M56" s="237">
        <v>994</v>
      </c>
      <c r="N56" s="237">
        <v>81</v>
      </c>
      <c r="O56" s="257">
        <v>45434.707349537035</v>
      </c>
      <c r="P56" s="384">
        <v>55</v>
      </c>
      <c r="Q56" s="546"/>
      <c r="R56" s="580"/>
      <c r="S56" s="554"/>
      <c r="T56" s="577"/>
      <c r="U56" s="543"/>
      <c r="V56" s="496"/>
      <c r="W56" s="494"/>
      <c r="X56" s="451"/>
      <c r="Y56" s="443" t="str">
        <f t="shared" si="26"/>
        <v/>
      </c>
      <c r="Z56" s="444"/>
      <c r="AA56" s="397">
        <f t="shared" si="27"/>
        <v>0</v>
      </c>
      <c r="AB56" s="517">
        <f>IF(F56&lt;&gt;"",((MID(A56,5,4)+F56)-$F$61)*IF(V56&lt;&gt;"",V56,1),"")</f>
        <v>480.0600000000004</v>
      </c>
    </row>
    <row r="57" spans="1:40" ht="12.75" customHeight="1">
      <c r="A57" s="643" t="s">
        <v>663</v>
      </c>
      <c r="B57" s="572">
        <v>1</v>
      </c>
      <c r="C57" s="622">
        <v>300</v>
      </c>
      <c r="D57" s="624">
        <v>360</v>
      </c>
      <c r="E57" s="569">
        <v>30</v>
      </c>
      <c r="F57" s="491"/>
      <c r="G57" s="503"/>
      <c r="H57" s="231"/>
      <c r="I57" s="222"/>
      <c r="J57" s="259"/>
      <c r="K57" s="226">
        <v>359</v>
      </c>
      <c r="L57" s="229"/>
      <c r="M57" s="229"/>
      <c r="N57" s="229"/>
      <c r="O57" s="256"/>
      <c r="P57" s="385">
        <v>56</v>
      </c>
      <c r="Q57" s="547"/>
      <c r="R57" s="579"/>
      <c r="S57" s="555"/>
      <c r="T57" s="576"/>
      <c r="U57" s="544"/>
      <c r="V57" s="495"/>
      <c r="W57" s="381"/>
      <c r="X57" s="421"/>
      <c r="Y57" s="439" t="str">
        <f t="shared" si="26"/>
        <v/>
      </c>
      <c r="Z57" s="440"/>
      <c r="AA57" s="398">
        <f t="shared" si="27"/>
        <v>0</v>
      </c>
      <c r="AB57" s="501" t="str">
        <f>IF(F57&lt;&gt;"",((MID(A57,5,4)+F57)-$F$61)*IF(V57&lt;&gt;"",V57,1),"")</f>
        <v/>
      </c>
    </row>
    <row r="58" spans="1:40" ht="12.75" customHeight="1">
      <c r="A58" s="644" t="s">
        <v>664</v>
      </c>
      <c r="B58" s="570">
        <v>90</v>
      </c>
      <c r="C58" s="623">
        <v>90</v>
      </c>
      <c r="D58" s="623">
        <v>125</v>
      </c>
      <c r="E58" s="570">
        <v>64</v>
      </c>
      <c r="F58" s="593">
        <v>115</v>
      </c>
      <c r="G58" s="502">
        <v>-0.23329999999999998</v>
      </c>
      <c r="H58" s="233">
        <v>125</v>
      </c>
      <c r="I58" s="223">
        <v>125</v>
      </c>
      <c r="J58" s="264">
        <v>115</v>
      </c>
      <c r="K58" s="227">
        <v>150</v>
      </c>
      <c r="L58" s="237">
        <v>1147900</v>
      </c>
      <c r="M58" s="237">
        <v>96</v>
      </c>
      <c r="N58" s="237">
        <v>10</v>
      </c>
      <c r="O58" s="257">
        <v>45434.690740740742</v>
      </c>
      <c r="P58" s="384">
        <v>57</v>
      </c>
      <c r="Q58" s="546"/>
      <c r="R58" s="580"/>
      <c r="S58" s="554"/>
      <c r="T58" s="577"/>
      <c r="U58" s="543"/>
      <c r="V58" s="496"/>
      <c r="W58" s="494"/>
      <c r="X58" s="451"/>
      <c r="Y58" s="441" t="str">
        <f t="shared" si="26"/>
        <v/>
      </c>
      <c r="Z58" s="442"/>
      <c r="AA58" s="397">
        <f t="shared" si="27"/>
        <v>0</v>
      </c>
      <c r="AB58" s="517">
        <f>IF(F58&lt;&gt;"",((MID(A58,5,4)+F58)-$F$61)*IF(V58&lt;&gt;"",V58,1),"")</f>
        <v>1099.0500000000002</v>
      </c>
    </row>
    <row r="59" spans="1:40" ht="12.75" customHeight="1">
      <c r="A59" s="731" t="s">
        <v>665</v>
      </c>
      <c r="B59" s="732">
        <v>10</v>
      </c>
      <c r="C59" s="733">
        <v>62</v>
      </c>
      <c r="D59" s="734">
        <v>94</v>
      </c>
      <c r="E59" s="735">
        <v>30</v>
      </c>
      <c r="F59" s="736">
        <v>93</v>
      </c>
      <c r="G59" s="737">
        <v>3.3300000000000003E-2</v>
      </c>
      <c r="H59" s="738">
        <v>89</v>
      </c>
      <c r="I59" s="739">
        <v>93</v>
      </c>
      <c r="J59" s="740">
        <v>80</v>
      </c>
      <c r="K59" s="741">
        <v>90</v>
      </c>
      <c r="L59" s="742">
        <v>2044610</v>
      </c>
      <c r="M59" s="742">
        <v>229</v>
      </c>
      <c r="N59" s="742">
        <v>10</v>
      </c>
      <c r="O59" s="743">
        <v>45434.684606481482</v>
      </c>
      <c r="P59" s="744">
        <v>58</v>
      </c>
      <c r="Q59" s="547"/>
      <c r="R59" s="579"/>
      <c r="S59" s="555"/>
      <c r="T59" s="576"/>
      <c r="U59" s="544"/>
      <c r="V59" s="495"/>
      <c r="W59" s="745"/>
      <c r="X59" s="746"/>
      <c r="Y59" s="747" t="str">
        <f t="shared" si="26"/>
        <v/>
      </c>
      <c r="Z59" s="748"/>
      <c r="AA59" s="749">
        <f t="shared" si="27"/>
        <v>0</v>
      </c>
      <c r="AB59" s="750">
        <f>IF(F59&lt;&gt;"",((MID(A59,5,4)+F59)-$F$61)*IF(V59&lt;&gt;"",V59,1),"")</f>
        <v>1277.0500000000002</v>
      </c>
    </row>
    <row r="60" spans="1:40">
      <c r="A60" s="561" t="s">
        <v>334</v>
      </c>
      <c r="B60" s="571">
        <v>5</v>
      </c>
      <c r="C60" s="625">
        <v>4150</v>
      </c>
      <c r="D60" s="625">
        <v>4220</v>
      </c>
      <c r="E60" s="571">
        <v>5</v>
      </c>
      <c r="F60" s="594">
        <v>4216</v>
      </c>
      <c r="G60" s="502">
        <v>7.0999999999999995E-3</v>
      </c>
      <c r="H60" s="232">
        <v>4190</v>
      </c>
      <c r="I60" s="224">
        <v>4216</v>
      </c>
      <c r="J60" s="261">
        <v>4051</v>
      </c>
      <c r="K60" s="228">
        <v>4186.1000000000004</v>
      </c>
      <c r="L60" s="239">
        <v>392064313</v>
      </c>
      <c r="M60" s="228">
        <v>95026</v>
      </c>
      <c r="N60" s="239">
        <v>1025</v>
      </c>
      <c r="O60" s="255">
        <v>45434.687407407408</v>
      </c>
      <c r="P60" s="384">
        <v>59</v>
      </c>
      <c r="Q60" s="251"/>
      <c r="R60" s="413">
        <v>0</v>
      </c>
      <c r="S60" s="425">
        <v>0</v>
      </c>
      <c r="T60" s="548">
        <v>0</v>
      </c>
      <c r="U60" s="548"/>
      <c r="V60" s="548"/>
      <c r="W60" s="726"/>
      <c r="X60" s="727"/>
      <c r="Y60" s="399">
        <f>IF(D60&lt;&gt;0,($C61*(1-$AA$1))-$D60,0)</f>
        <v>-114</v>
      </c>
      <c r="Z60" s="728"/>
      <c r="AA60" s="729">
        <v>33.69</v>
      </c>
      <c r="AB60" s="730"/>
    </row>
    <row r="61" spans="1:40" ht="12.75" customHeight="1">
      <c r="A61" s="759" t="s">
        <v>335</v>
      </c>
      <c r="B61" s="760">
        <v>467</v>
      </c>
      <c r="C61" s="761">
        <v>4106</v>
      </c>
      <c r="D61" s="762">
        <v>4120</v>
      </c>
      <c r="E61" s="763">
        <v>1</v>
      </c>
      <c r="F61" s="764">
        <v>4119.95</v>
      </c>
      <c r="G61" s="765">
        <v>-1.9699999999999999E-2</v>
      </c>
      <c r="H61" s="766">
        <v>4239.45</v>
      </c>
      <c r="I61" s="767">
        <v>4239.45</v>
      </c>
      <c r="J61" s="768">
        <v>4050</v>
      </c>
      <c r="K61" s="769">
        <v>4203.1000000000004</v>
      </c>
      <c r="L61" s="770">
        <v>9009334159</v>
      </c>
      <c r="M61" s="769">
        <v>2191266</v>
      </c>
      <c r="N61" s="770">
        <v>7410</v>
      </c>
      <c r="O61" s="771">
        <v>45434.708321759259</v>
      </c>
      <c r="P61" s="772">
        <v>60</v>
      </c>
      <c r="Q61" s="773">
        <v>0</v>
      </c>
      <c r="R61" s="774">
        <v>0</v>
      </c>
      <c r="S61" s="775">
        <v>0</v>
      </c>
      <c r="T61" s="776">
        <v>0</v>
      </c>
      <c r="U61" s="776"/>
      <c r="V61" s="776"/>
      <c r="W61" s="777">
        <v>0</v>
      </c>
      <c r="X61" s="778">
        <v>0</v>
      </c>
      <c r="Y61" s="779" t="str">
        <f>IFERROR(INT(#REF!/(F60)),"")</f>
        <v/>
      </c>
      <c r="Z61" s="780"/>
      <c r="AA61" s="781">
        <f>F61/AA60*10</f>
        <v>1222.8999703176016</v>
      </c>
      <c r="AB61" s="782"/>
    </row>
    <row r="62" spans="1:40" ht="12.75" customHeight="1">
      <c r="A62" s="485" t="s">
        <v>13</v>
      </c>
      <c r="B62" s="567">
        <v>980</v>
      </c>
      <c r="C62" s="620">
        <v>68900</v>
      </c>
      <c r="D62" s="621">
        <v>68980</v>
      </c>
      <c r="E62" s="571">
        <v>73</v>
      </c>
      <c r="F62" s="594">
        <v>68940</v>
      </c>
      <c r="G62" s="502">
        <v>1.0800000000000001E-2</v>
      </c>
      <c r="H62" s="232">
        <v>69980</v>
      </c>
      <c r="I62" s="224">
        <v>69980</v>
      </c>
      <c r="J62" s="261">
        <v>67240</v>
      </c>
      <c r="K62" s="228">
        <v>68200</v>
      </c>
      <c r="L62" s="239">
        <v>188390198280</v>
      </c>
      <c r="M62" s="228">
        <v>274970722</v>
      </c>
      <c r="N62" s="239">
        <v>106807</v>
      </c>
      <c r="O62" s="255">
        <v>45434.687696759262</v>
      </c>
      <c r="P62" s="384">
        <v>61</v>
      </c>
      <c r="Q62" s="251">
        <v>0</v>
      </c>
      <c r="R62" s="413">
        <v>0</v>
      </c>
      <c r="S62" s="425">
        <v>0</v>
      </c>
      <c r="T62" s="548">
        <v>0</v>
      </c>
      <c r="U62" s="548"/>
      <c r="V62" s="548"/>
      <c r="W62" s="518">
        <f t="shared" ref="W62" si="28">(V62*X62)</f>
        <v>0</v>
      </c>
      <c r="X62" s="422"/>
      <c r="Y62" s="399">
        <f>IF(D62&lt;&gt;0,($C63*(1-$AA$1))-$D62,0)</f>
        <v>-300</v>
      </c>
      <c r="Z62" s="400"/>
      <c r="AA62" s="401"/>
      <c r="AB62" s="730"/>
      <c r="AN62" s="304"/>
    </row>
    <row r="63" spans="1:40" ht="12.75" customHeight="1">
      <c r="A63" s="366" t="s">
        <v>2</v>
      </c>
      <c r="B63" s="566">
        <v>31887</v>
      </c>
      <c r="C63" s="622">
        <v>68680</v>
      </c>
      <c r="D63" s="622">
        <v>68700</v>
      </c>
      <c r="E63" s="566">
        <v>56801</v>
      </c>
      <c r="F63" s="491">
        <v>68680</v>
      </c>
      <c r="G63" s="503">
        <v>9.3999999999999986E-3</v>
      </c>
      <c r="H63" s="231">
        <v>68000</v>
      </c>
      <c r="I63" s="222">
        <v>69800</v>
      </c>
      <c r="J63" s="259">
        <v>67360</v>
      </c>
      <c r="K63" s="226">
        <v>68040</v>
      </c>
      <c r="L63" s="229">
        <v>144004935297</v>
      </c>
      <c r="M63" s="226">
        <v>209824449</v>
      </c>
      <c r="N63" s="229">
        <v>47774</v>
      </c>
      <c r="O63" s="256">
        <v>45434.708518518521</v>
      </c>
      <c r="P63" s="385">
        <v>30</v>
      </c>
      <c r="Q63" s="249">
        <v>0</v>
      </c>
      <c r="R63" s="412">
        <v>0</v>
      </c>
      <c r="S63" s="426">
        <v>0</v>
      </c>
      <c r="T63" s="549">
        <v>0</v>
      </c>
      <c r="U63" s="549"/>
      <c r="V63" s="549"/>
      <c r="W63" s="380">
        <f>V62*(F63/100)</f>
        <v>0</v>
      </c>
      <c r="X63" s="421"/>
      <c r="Y63" s="377" t="str">
        <f>IFERROR(INT(#REF!/(F30/100)),"")</f>
        <v/>
      </c>
      <c r="Z63" s="402"/>
      <c r="AA63" s="403"/>
      <c r="AB63" s="500"/>
      <c r="AN63" s="304"/>
    </row>
    <row r="64" spans="1:40" ht="12.75" hidden="1" customHeight="1">
      <c r="A64" s="484" t="s">
        <v>15</v>
      </c>
      <c r="B64" s="567">
        <v>1441</v>
      </c>
      <c r="C64" s="620">
        <v>54.9</v>
      </c>
      <c r="D64" s="621">
        <v>55.2</v>
      </c>
      <c r="E64" s="571">
        <v>27688</v>
      </c>
      <c r="F64" s="593">
        <v>54.9</v>
      </c>
      <c r="G64" s="502">
        <v>-3.3599999999999998E-2</v>
      </c>
      <c r="H64" s="233">
        <v>56.85</v>
      </c>
      <c r="I64" s="223">
        <v>56.85</v>
      </c>
      <c r="J64" s="264">
        <v>54.61</v>
      </c>
      <c r="K64" s="227">
        <v>56.81</v>
      </c>
      <c r="L64" s="237">
        <v>51534909</v>
      </c>
      <c r="M64" s="227">
        <v>93017953</v>
      </c>
      <c r="N64" s="237">
        <v>17108</v>
      </c>
      <c r="O64" s="257">
        <v>45434.6878125</v>
      </c>
      <c r="P64" s="384">
        <v>63</v>
      </c>
      <c r="Q64" s="250">
        <v>0</v>
      </c>
      <c r="R64" s="415">
        <v>0</v>
      </c>
      <c r="S64" s="427">
        <v>0</v>
      </c>
      <c r="T64" s="550">
        <v>0</v>
      </c>
      <c r="U64" s="550"/>
      <c r="V64" s="550"/>
      <c r="W64" s="519">
        <f t="shared" ref="W64:W66" si="29">(V64*X64)</f>
        <v>0</v>
      </c>
      <c r="X64" s="424"/>
      <c r="Y64" s="404">
        <f>IF(D64&lt;&gt;0,($C65*(1-$AA$1))-$D64,0)</f>
        <v>-0.70000000000000284</v>
      </c>
      <c r="Z64" s="405">
        <f>IFERROR(IF(C64&lt;&gt;"",$AB$1/(D62/100)*(C64/100),""),"")</f>
        <v>97.922016733628794</v>
      </c>
      <c r="AA64" s="406">
        <f>IFERROR($AC$1/(D64/100)*(C62/100),"")</f>
        <v>124818.84057971014</v>
      </c>
      <c r="AB64" s="517"/>
      <c r="AN64" s="304"/>
    </row>
    <row r="65" spans="1:40" ht="12.75" hidden="1" customHeight="1">
      <c r="A65" s="366" t="s">
        <v>3</v>
      </c>
      <c r="B65" s="566">
        <v>500000</v>
      </c>
      <c r="C65" s="622">
        <v>54.5</v>
      </c>
      <c r="D65" s="622">
        <v>55</v>
      </c>
      <c r="E65" s="566">
        <v>1000000</v>
      </c>
      <c r="F65" s="491">
        <v>54.7</v>
      </c>
      <c r="G65" s="595">
        <v>-3.5099999999999999E-2</v>
      </c>
      <c r="H65" s="231">
        <v>56.81</v>
      </c>
      <c r="I65" s="222">
        <v>56.81</v>
      </c>
      <c r="J65" s="259">
        <v>54.67</v>
      </c>
      <c r="K65" s="226">
        <v>56.69</v>
      </c>
      <c r="L65" s="229">
        <v>5487339</v>
      </c>
      <c r="M65" s="226">
        <v>9942932</v>
      </c>
      <c r="N65" s="229">
        <v>1982</v>
      </c>
      <c r="O65" s="256">
        <v>45434.703750000001</v>
      </c>
      <c r="P65" s="385">
        <v>64</v>
      </c>
      <c r="Q65" s="249">
        <v>0</v>
      </c>
      <c r="R65" s="412">
        <v>0</v>
      </c>
      <c r="S65" s="426">
        <v>0</v>
      </c>
      <c r="T65" s="549">
        <v>0</v>
      </c>
      <c r="U65" s="549"/>
      <c r="V65" s="549"/>
      <c r="W65" s="520">
        <f>V64*(F64/100)</f>
        <v>0</v>
      </c>
      <c r="X65" s="421"/>
      <c r="Y65" s="378" t="str">
        <f>IFERROR(INT(#REF!/(F64/100)),"")</f>
        <v/>
      </c>
      <c r="Z65" s="407">
        <f>IFERROR(IF(C65&lt;&gt;"",$AB$1/(D63/100)*(C65/100),""),"")</f>
        <v>97.604751507589924</v>
      </c>
      <c r="AA65" s="408">
        <f>IFERROR($AC$1/(D65/100)*(C63/100),"")</f>
        <v>124872.72727272726</v>
      </c>
      <c r="AB65" s="500"/>
      <c r="AN65" s="304"/>
    </row>
    <row r="66" spans="1:40" ht="12.75" customHeight="1">
      <c r="A66" s="484" t="s">
        <v>14</v>
      </c>
      <c r="B66" s="567">
        <v>19919</v>
      </c>
      <c r="C66" s="620">
        <v>55.9</v>
      </c>
      <c r="D66" s="621">
        <v>56</v>
      </c>
      <c r="E66" s="571">
        <v>24451</v>
      </c>
      <c r="F66" s="594">
        <v>56</v>
      </c>
      <c r="G66" s="502">
        <v>-3.6900000000000002E-2</v>
      </c>
      <c r="H66" s="233">
        <v>57.51</v>
      </c>
      <c r="I66" s="223">
        <v>57.68</v>
      </c>
      <c r="J66" s="264">
        <v>55.7</v>
      </c>
      <c r="K66" s="227">
        <v>58.15</v>
      </c>
      <c r="L66" s="237">
        <v>109724996</v>
      </c>
      <c r="M66" s="227">
        <v>193872688</v>
      </c>
      <c r="N66" s="237">
        <v>94642</v>
      </c>
      <c r="O66" s="257">
        <v>45434.6875</v>
      </c>
      <c r="P66" s="384">
        <v>65</v>
      </c>
      <c r="Q66" s="250">
        <v>0</v>
      </c>
      <c r="R66" s="415">
        <v>0</v>
      </c>
      <c r="S66" s="427">
        <v>0</v>
      </c>
      <c r="T66" s="550">
        <v>0</v>
      </c>
      <c r="U66" s="550"/>
      <c r="V66" s="550"/>
      <c r="W66" s="521">
        <f t="shared" si="29"/>
        <v>0</v>
      </c>
      <c r="X66" s="423"/>
      <c r="Y66" s="409">
        <f>IF(D66&lt;&gt;0,($C67*(1-$AA$1))-$D66,0)</f>
        <v>-0.18999999999999773</v>
      </c>
      <c r="Z66" s="410">
        <f>IFERROR(IF(C66&lt;&gt;"",$AB$1/(D62/100)*(C66/100),""),"")</f>
        <v>99.705660025680316</v>
      </c>
      <c r="AA66" s="411">
        <f>IFERROR($AC$1/(D66/100)*(C62/100),"")</f>
        <v>123035.71428571428</v>
      </c>
      <c r="AB66" s="517"/>
    </row>
    <row r="67" spans="1:40" ht="12.75" customHeight="1">
      <c r="A67" s="468" t="s">
        <v>4</v>
      </c>
      <c r="B67" s="626">
        <v>2401</v>
      </c>
      <c r="C67" s="627">
        <v>55.81</v>
      </c>
      <c r="D67" s="627">
        <v>55.83</v>
      </c>
      <c r="E67" s="626">
        <v>925</v>
      </c>
      <c r="F67" s="493">
        <v>55.81</v>
      </c>
      <c r="G67" s="505">
        <v>-0.04</v>
      </c>
      <c r="H67" s="469">
        <v>57.98</v>
      </c>
      <c r="I67" s="470">
        <v>57.98</v>
      </c>
      <c r="J67" s="471">
        <v>55.67</v>
      </c>
      <c r="K67" s="472">
        <v>58.14</v>
      </c>
      <c r="L67" s="473">
        <v>27813641</v>
      </c>
      <c r="M67" s="472">
        <v>49172617</v>
      </c>
      <c r="N67" s="473">
        <v>22456</v>
      </c>
      <c r="O67" s="474">
        <v>45434.708414351851</v>
      </c>
      <c r="P67" s="385">
        <v>66</v>
      </c>
      <c r="Q67" s="475">
        <v>0</v>
      </c>
      <c r="R67" s="476">
        <v>0</v>
      </c>
      <c r="S67" s="477">
        <v>0</v>
      </c>
      <c r="T67" s="551">
        <v>0</v>
      </c>
      <c r="U67" s="551"/>
      <c r="V67" s="551"/>
      <c r="W67" s="522">
        <f>V66*(C66/100)</f>
        <v>0</v>
      </c>
      <c r="X67" s="478"/>
      <c r="Y67" s="479" t="str">
        <f>IFERROR(INT(#REF!/(F66/100)),"")</f>
        <v/>
      </c>
      <c r="Z67" s="480">
        <f>IFERROR(IF(C67&lt;&gt;"",$AB$1/(D63/100)*(C67/100),""),"")</f>
        <v>99.950847369515486</v>
      </c>
      <c r="AA67" s="481">
        <f>IFERROR($AC$1/(D67/100)*(C63/100),"")</f>
        <v>123016.29948056598</v>
      </c>
      <c r="AB67" s="500"/>
    </row>
    <row r="68" spans="1:40" ht="12.75" customHeight="1">
      <c r="A68" s="485" t="s">
        <v>16</v>
      </c>
      <c r="B68" s="567">
        <v>500</v>
      </c>
      <c r="C68" s="620">
        <v>70450</v>
      </c>
      <c r="D68" s="621">
        <v>71140</v>
      </c>
      <c r="E68" s="571">
        <v>413</v>
      </c>
      <c r="F68" s="593">
        <v>70700</v>
      </c>
      <c r="G68" s="502">
        <v>1.4999999999999999E-2</v>
      </c>
      <c r="H68" s="232">
        <v>70170</v>
      </c>
      <c r="I68" s="224">
        <v>71150</v>
      </c>
      <c r="J68" s="261">
        <v>68020</v>
      </c>
      <c r="K68" s="228">
        <v>69650</v>
      </c>
      <c r="L68" s="239">
        <v>14821927879</v>
      </c>
      <c r="M68" s="228">
        <v>21128797</v>
      </c>
      <c r="N68" s="239">
        <v>8983</v>
      </c>
      <c r="O68" s="255">
        <v>45434.687743055554</v>
      </c>
      <c r="P68" s="384">
        <v>67</v>
      </c>
      <c r="Q68" s="251"/>
      <c r="R68" s="413">
        <v>0</v>
      </c>
      <c r="S68" s="425">
        <v>0</v>
      </c>
      <c r="T68" s="548">
        <v>0</v>
      </c>
      <c r="U68" s="548"/>
      <c r="V68" s="548">
        <v>0</v>
      </c>
      <c r="W68" s="518">
        <f t="shared" ref="W68:W80" si="30">(V68*X68)</f>
        <v>0</v>
      </c>
      <c r="X68" s="422"/>
      <c r="Y68" s="399">
        <f>IF(D68&lt;&gt;0,($C69*(1-$AA$1))-$D68,0)</f>
        <v>-450</v>
      </c>
      <c r="Z68" s="400"/>
      <c r="AA68" s="401"/>
      <c r="AB68" s="517"/>
    </row>
    <row r="69" spans="1:40" ht="12.75" customHeight="1">
      <c r="A69" s="366" t="s">
        <v>5</v>
      </c>
      <c r="B69" s="566">
        <v>4</v>
      </c>
      <c r="C69" s="622">
        <v>70690</v>
      </c>
      <c r="D69" s="622">
        <v>70700</v>
      </c>
      <c r="E69" s="566">
        <v>14272</v>
      </c>
      <c r="F69" s="491">
        <v>70700</v>
      </c>
      <c r="G69" s="503">
        <v>7.4999999999999997E-3</v>
      </c>
      <c r="H69" s="231">
        <v>70000</v>
      </c>
      <c r="I69" s="222">
        <v>71300</v>
      </c>
      <c r="J69" s="259">
        <v>69000</v>
      </c>
      <c r="K69" s="226">
        <v>70170</v>
      </c>
      <c r="L69" s="229">
        <v>26600082804</v>
      </c>
      <c r="M69" s="226">
        <v>37856465</v>
      </c>
      <c r="N69" s="229">
        <v>9032</v>
      </c>
      <c r="O69" s="256">
        <v>45434.708356481482</v>
      </c>
      <c r="P69" s="385">
        <v>68</v>
      </c>
      <c r="Q69" s="249">
        <v>0</v>
      </c>
      <c r="R69" s="412">
        <v>0</v>
      </c>
      <c r="S69" s="426">
        <v>0</v>
      </c>
      <c r="T69" s="549">
        <v>0</v>
      </c>
      <c r="U69" s="549"/>
      <c r="V69" s="549">
        <v>0</v>
      </c>
      <c r="W69" s="379">
        <f>V68*(F69/100)</f>
        <v>0</v>
      </c>
      <c r="X69" s="421"/>
      <c r="Y69" s="377" t="str">
        <f>IFERROR(INT(#REF!/(F68/100)),"")</f>
        <v/>
      </c>
      <c r="Z69" s="402"/>
      <c r="AA69" s="403"/>
      <c r="AB69" s="500"/>
    </row>
    <row r="70" spans="1:40" ht="12.75" hidden="1" customHeight="1">
      <c r="A70" s="484" t="s">
        <v>17</v>
      </c>
      <c r="B70" s="567">
        <v>210334</v>
      </c>
      <c r="C70" s="620">
        <v>56</v>
      </c>
      <c r="D70" s="621">
        <v>56.35</v>
      </c>
      <c r="E70" s="571">
        <v>100</v>
      </c>
      <c r="F70" s="593">
        <v>56.25</v>
      </c>
      <c r="G70" s="502">
        <v>-3.2599999999999997E-2</v>
      </c>
      <c r="H70" s="233">
        <v>58.59</v>
      </c>
      <c r="I70" s="223">
        <v>58.6</v>
      </c>
      <c r="J70" s="264">
        <v>55.6</v>
      </c>
      <c r="K70" s="227">
        <v>58.15</v>
      </c>
      <c r="L70" s="237">
        <v>6040563</v>
      </c>
      <c r="M70" s="227">
        <v>10706656</v>
      </c>
      <c r="N70" s="237">
        <v>2368</v>
      </c>
      <c r="O70" s="257">
        <v>45434.683125000003</v>
      </c>
      <c r="P70" s="384">
        <v>69</v>
      </c>
      <c r="Q70" s="250">
        <v>0</v>
      </c>
      <c r="R70" s="415">
        <v>0</v>
      </c>
      <c r="S70" s="427">
        <v>0</v>
      </c>
      <c r="T70" s="550">
        <v>0</v>
      </c>
      <c r="U70" s="550"/>
      <c r="V70" s="550">
        <v>0</v>
      </c>
      <c r="W70" s="519">
        <f t="shared" ref="W70" si="31">(V70*X70)</f>
        <v>0</v>
      </c>
      <c r="X70" s="424"/>
      <c r="Y70" s="404">
        <f>IF(D70&lt;&gt;0,($C71*(1-$AA$1))-$D70,0)</f>
        <v>-0.60000000000000142</v>
      </c>
      <c r="Z70" s="405">
        <f>IFERROR(IF(C70&lt;&gt;"",$AB$1/(D68/100)*(C70/100),""),"")</f>
        <v>96.851279167838072</v>
      </c>
      <c r="AA70" s="406">
        <f>IFERROR($AC$1/(D70/100)*(C68/100),"")</f>
        <v>125022.18278615794</v>
      </c>
      <c r="AB70" s="517"/>
    </row>
    <row r="71" spans="1:40" ht="12.75" hidden="1" customHeight="1">
      <c r="A71" s="366" t="s">
        <v>6</v>
      </c>
      <c r="B71" s="566">
        <v>500000</v>
      </c>
      <c r="C71" s="622">
        <v>55.75</v>
      </c>
      <c r="D71" s="622">
        <v>56.4</v>
      </c>
      <c r="E71" s="566">
        <v>500000</v>
      </c>
      <c r="F71" s="491">
        <v>56</v>
      </c>
      <c r="G71" s="595">
        <v>-4.2699999999999995E-2</v>
      </c>
      <c r="H71" s="231">
        <v>58.59</v>
      </c>
      <c r="I71" s="222">
        <v>58.59</v>
      </c>
      <c r="J71" s="259">
        <v>55.73</v>
      </c>
      <c r="K71" s="226">
        <v>58.5</v>
      </c>
      <c r="L71" s="229">
        <v>846073</v>
      </c>
      <c r="M71" s="226">
        <v>1495248</v>
      </c>
      <c r="N71" s="229">
        <v>654</v>
      </c>
      <c r="O71" s="256">
        <v>45434.702986111108</v>
      </c>
      <c r="P71" s="385">
        <v>70</v>
      </c>
      <c r="Q71" s="249">
        <v>0</v>
      </c>
      <c r="R71" s="412">
        <v>0</v>
      </c>
      <c r="S71" s="426">
        <v>0</v>
      </c>
      <c r="T71" s="549">
        <v>0</v>
      </c>
      <c r="U71" s="549"/>
      <c r="V71" s="549">
        <v>0</v>
      </c>
      <c r="W71" s="520">
        <f>V70*(F70/100)</f>
        <v>0</v>
      </c>
      <c r="X71" s="421"/>
      <c r="Y71" s="378" t="str">
        <f>IFERROR(INT(#REF!/(F70/100)),"")</f>
        <v/>
      </c>
      <c r="Z71" s="407">
        <f>IFERROR(IF(C71&lt;&gt;"",$AB$1/(D69/100)*(C71/100),""),"")</f>
        <v>97.018968478480502</v>
      </c>
      <c r="AA71" s="408">
        <f>IFERROR($AC$1/(D71/100)*(C69/100),"")</f>
        <v>125336.87943262412</v>
      </c>
      <c r="AB71" s="500"/>
    </row>
    <row r="72" spans="1:40" ht="12.75" customHeight="1">
      <c r="A72" s="484" t="s">
        <v>18</v>
      </c>
      <c r="B72" s="567">
        <v>13000</v>
      </c>
      <c r="C72" s="620">
        <v>57.01</v>
      </c>
      <c r="D72" s="621">
        <v>57.6</v>
      </c>
      <c r="E72" s="571">
        <v>3930</v>
      </c>
      <c r="F72" s="594">
        <v>57.6</v>
      </c>
      <c r="G72" s="502">
        <v>-3.1899999999999998E-2</v>
      </c>
      <c r="H72" s="233">
        <v>59.84</v>
      </c>
      <c r="I72" s="223">
        <v>59.84</v>
      </c>
      <c r="J72" s="264">
        <v>57.06</v>
      </c>
      <c r="K72" s="227">
        <v>59.5</v>
      </c>
      <c r="L72" s="237">
        <v>4278254</v>
      </c>
      <c r="M72" s="227">
        <v>7396528</v>
      </c>
      <c r="N72" s="237">
        <v>4997</v>
      </c>
      <c r="O72" s="257">
        <v>45434.687569444446</v>
      </c>
      <c r="P72" s="384">
        <v>71</v>
      </c>
      <c r="Q72" s="250">
        <v>0</v>
      </c>
      <c r="R72" s="415">
        <v>0</v>
      </c>
      <c r="S72" s="427">
        <v>0</v>
      </c>
      <c r="T72" s="550">
        <v>0</v>
      </c>
      <c r="U72" s="550"/>
      <c r="V72" s="550">
        <v>0</v>
      </c>
      <c r="W72" s="521">
        <f t="shared" si="30"/>
        <v>0</v>
      </c>
      <c r="X72" s="423"/>
      <c r="Y72" s="409">
        <f>IF(D72&lt;&gt;0,($C73*(1-$AA$1))-$D72,0)</f>
        <v>-0.24000000000000199</v>
      </c>
      <c r="Z72" s="410">
        <f>IFERROR(IF(C72&lt;&gt;"",$AB$1/(D68/100)*(C72/100),""),"")</f>
        <v>98.598061167115134</v>
      </c>
      <c r="AA72" s="411">
        <f>IFERROR($AC$1/(D72/100)*(C68/100),"")</f>
        <v>122309.02777777777</v>
      </c>
      <c r="AB72" s="517"/>
    </row>
    <row r="73" spans="1:40" ht="12.75" customHeight="1">
      <c r="A73" s="468" t="s">
        <v>7</v>
      </c>
      <c r="B73" s="626">
        <v>6275</v>
      </c>
      <c r="C73" s="627">
        <v>57.36</v>
      </c>
      <c r="D73" s="627">
        <v>57.9</v>
      </c>
      <c r="E73" s="626">
        <v>15499</v>
      </c>
      <c r="F73" s="493">
        <v>57.9</v>
      </c>
      <c r="G73" s="505">
        <v>-2.6800000000000001E-2</v>
      </c>
      <c r="H73" s="469">
        <v>59.01</v>
      </c>
      <c r="I73" s="470">
        <v>59.8</v>
      </c>
      <c r="J73" s="471">
        <v>57.07</v>
      </c>
      <c r="K73" s="472">
        <v>59.5</v>
      </c>
      <c r="L73" s="482">
        <v>2395655</v>
      </c>
      <c r="M73" s="472">
        <v>4143754</v>
      </c>
      <c r="N73" s="473">
        <v>2879</v>
      </c>
      <c r="O73" s="474">
        <v>45434.708356481482</v>
      </c>
      <c r="P73" s="385">
        <v>72</v>
      </c>
      <c r="Q73" s="475">
        <v>0</v>
      </c>
      <c r="R73" s="476">
        <v>0</v>
      </c>
      <c r="S73" s="477">
        <v>0</v>
      </c>
      <c r="T73" s="551">
        <v>0</v>
      </c>
      <c r="U73" s="551"/>
      <c r="V73" s="551">
        <v>0</v>
      </c>
      <c r="W73" s="523">
        <f>V72*(F72/100)</f>
        <v>0</v>
      </c>
      <c r="X73" s="435"/>
      <c r="Y73" s="456" t="str">
        <f>IFERROR(INT(#REF!/(F72/100)),"")</f>
        <v/>
      </c>
      <c r="Z73" s="457">
        <f>IFERROR(IF(C73&lt;&gt;"",$AB$1/(D69/100)*(C73/100),""),"")</f>
        <v>99.82077187310567</v>
      </c>
      <c r="AA73" s="458">
        <f>IFERROR($AC$1/(D73/100)*(C69/100),"")</f>
        <v>122089.81001727116</v>
      </c>
      <c r="AB73" s="500"/>
    </row>
    <row r="74" spans="1:40" ht="12.75" customHeight="1">
      <c r="A74" s="485" t="s">
        <v>579</v>
      </c>
      <c r="B74" s="567"/>
      <c r="C74" s="620"/>
      <c r="D74" s="621"/>
      <c r="E74" s="571"/>
      <c r="F74" s="593"/>
      <c r="G74" s="502"/>
      <c r="H74" s="232"/>
      <c r="I74" s="224"/>
      <c r="J74" s="261"/>
      <c r="K74" s="228"/>
      <c r="L74" s="239"/>
      <c r="M74" s="228"/>
      <c r="N74" s="239"/>
      <c r="O74" s="255"/>
      <c r="P74" s="384">
        <v>73</v>
      </c>
      <c r="Q74" s="251">
        <v>0</v>
      </c>
      <c r="R74" s="413">
        <v>0</v>
      </c>
      <c r="S74" s="425">
        <v>0</v>
      </c>
      <c r="T74" s="548">
        <v>0</v>
      </c>
      <c r="U74" s="548"/>
      <c r="V74" s="548"/>
      <c r="W74" s="524">
        <f>V74*X74</f>
        <v>0</v>
      </c>
      <c r="X74" s="422"/>
      <c r="Y74" s="399">
        <f>IF(D74&lt;&gt;0,($C75*(1-$AA$1))-$D74,0)</f>
        <v>0</v>
      </c>
      <c r="Z74" s="400"/>
      <c r="AA74" s="401"/>
      <c r="AB74" s="517"/>
    </row>
    <row r="75" spans="1:40" ht="12.75" customHeight="1">
      <c r="A75" s="366" t="s">
        <v>636</v>
      </c>
      <c r="B75" s="566"/>
      <c r="C75" s="622"/>
      <c r="D75" s="622"/>
      <c r="E75" s="566"/>
      <c r="F75" s="491"/>
      <c r="G75" s="503"/>
      <c r="H75" s="231"/>
      <c r="I75" s="222"/>
      <c r="J75" s="259"/>
      <c r="K75" s="226"/>
      <c r="L75" s="229"/>
      <c r="M75" s="226"/>
      <c r="N75" s="229"/>
      <c r="O75" s="256"/>
      <c r="P75" s="385">
        <v>74</v>
      </c>
      <c r="Q75" s="249">
        <v>0</v>
      </c>
      <c r="R75" s="412">
        <v>0</v>
      </c>
      <c r="S75" s="426">
        <v>0</v>
      </c>
      <c r="T75" s="549">
        <v>0</v>
      </c>
      <c r="U75" s="549"/>
      <c r="V75" s="549">
        <v>0</v>
      </c>
      <c r="W75" s="311">
        <f>V74*(F74/100)</f>
        <v>0</v>
      </c>
      <c r="X75" s="421"/>
      <c r="Y75" s="377" t="str">
        <f>IFERROR(INT(#REF!/(F74/100)),"")</f>
        <v/>
      </c>
      <c r="Z75" s="402"/>
      <c r="AA75" s="403"/>
      <c r="AB75" s="500"/>
    </row>
    <row r="76" spans="1:40" ht="12.75" customHeight="1">
      <c r="A76" s="484" t="s">
        <v>580</v>
      </c>
      <c r="B76" s="567"/>
      <c r="C76" s="620"/>
      <c r="D76" s="621"/>
      <c r="E76" s="571"/>
      <c r="F76" s="593"/>
      <c r="G76" s="502"/>
      <c r="H76" s="233"/>
      <c r="I76" s="223"/>
      <c r="J76" s="264"/>
      <c r="K76" s="227"/>
      <c r="L76" s="237"/>
      <c r="M76" s="227"/>
      <c r="N76" s="237"/>
      <c r="O76" s="257"/>
      <c r="P76" s="384">
        <v>75</v>
      </c>
      <c r="Q76" s="250">
        <v>0</v>
      </c>
      <c r="R76" s="415">
        <v>0</v>
      </c>
      <c r="S76" s="427">
        <v>0</v>
      </c>
      <c r="T76" s="550">
        <v>0</v>
      </c>
      <c r="U76" s="550"/>
      <c r="V76" s="550">
        <v>0</v>
      </c>
      <c r="W76" s="525">
        <f t="shared" ref="W76" si="32">(V76*X76)</f>
        <v>0</v>
      </c>
      <c r="X76" s="424"/>
      <c r="Y76" s="404">
        <f>IF(D76&lt;&gt;0,($C77*(1-$AA$1))-$D76,0)</f>
        <v>0</v>
      </c>
      <c r="Z76" s="405" t="str">
        <f>IFERROR(IF(C76&lt;&gt;"",$AB$1/(D74/100)*(C76/100),""),"")</f>
        <v/>
      </c>
      <c r="AA76" s="406" t="str">
        <f>IFERROR($AC$1/(D76/100)*(C74/100),"")</f>
        <v/>
      </c>
      <c r="AB76" s="517"/>
    </row>
    <row r="77" spans="1:40" ht="12.75" customHeight="1">
      <c r="A77" s="366" t="s">
        <v>581</v>
      </c>
      <c r="B77" s="566"/>
      <c r="C77" s="622"/>
      <c r="D77" s="622"/>
      <c r="E77" s="566"/>
      <c r="F77" s="491"/>
      <c r="G77" s="595"/>
      <c r="H77" s="231"/>
      <c r="I77" s="222"/>
      <c r="J77" s="259"/>
      <c r="K77" s="226"/>
      <c r="L77" s="229"/>
      <c r="M77" s="226"/>
      <c r="N77" s="229"/>
      <c r="O77" s="256"/>
      <c r="P77" s="385">
        <v>76</v>
      </c>
      <c r="Q77" s="249">
        <v>0</v>
      </c>
      <c r="R77" s="412">
        <v>0</v>
      </c>
      <c r="S77" s="426">
        <v>0</v>
      </c>
      <c r="T77" s="549">
        <v>0</v>
      </c>
      <c r="U77" s="549"/>
      <c r="V77" s="549">
        <v>0</v>
      </c>
      <c r="W77" s="526">
        <f>V76*(F76/100)</f>
        <v>0</v>
      </c>
      <c r="X77" s="421"/>
      <c r="Y77" s="378" t="str">
        <f>IFERROR(INT(#REF!/(F76/100)),"")</f>
        <v/>
      </c>
      <c r="Z77" s="407" t="str">
        <f>IFERROR(IF(C77&lt;&gt;"",$AB$1/(D75/100)*(C77/100),""),"")</f>
        <v/>
      </c>
      <c r="AA77" s="408" t="str">
        <f>IFERROR($AC$1/(D77/100)*(C75/100),"")</f>
        <v/>
      </c>
      <c r="AB77" s="500"/>
    </row>
    <row r="78" spans="1:40" ht="12.75" customHeight="1">
      <c r="A78" s="484" t="s">
        <v>582</v>
      </c>
      <c r="B78" s="567"/>
      <c r="C78" s="620"/>
      <c r="D78" s="621"/>
      <c r="E78" s="571"/>
      <c r="F78" s="594"/>
      <c r="G78" s="502"/>
      <c r="H78" s="233"/>
      <c r="I78" s="223"/>
      <c r="J78" s="264"/>
      <c r="K78" s="227"/>
      <c r="L78" s="237"/>
      <c r="M78" s="227"/>
      <c r="N78" s="237"/>
      <c r="O78" s="257"/>
      <c r="P78" s="384">
        <v>77</v>
      </c>
      <c r="Q78" s="250">
        <v>0</v>
      </c>
      <c r="R78" s="415">
        <v>0</v>
      </c>
      <c r="S78" s="427">
        <v>0</v>
      </c>
      <c r="T78" s="550">
        <v>0</v>
      </c>
      <c r="U78" s="550"/>
      <c r="V78" s="550">
        <v>0</v>
      </c>
      <c r="W78" s="527">
        <f t="shared" si="30"/>
        <v>0</v>
      </c>
      <c r="X78" s="423"/>
      <c r="Y78" s="409">
        <f>IF(D78&lt;&gt;0,($C79*(1-$AA$1))-$D78,0)</f>
        <v>0</v>
      </c>
      <c r="Z78" s="410" t="str">
        <f>IFERROR(IF(C78&lt;&gt;"",$AB$1/(D74/100)*(C78/100),""),"")</f>
        <v/>
      </c>
      <c r="AA78" s="411" t="str">
        <f>IFERROR($AC$1/(D78/100)*(C74/100),"")</f>
        <v/>
      </c>
      <c r="AB78" s="517"/>
      <c r="AC78"/>
    </row>
    <row r="79" spans="1:40" ht="12.75" customHeight="1">
      <c r="A79" s="468" t="s">
        <v>583</v>
      </c>
      <c r="B79" s="626"/>
      <c r="C79" s="627"/>
      <c r="D79" s="627"/>
      <c r="E79" s="626"/>
      <c r="F79" s="493"/>
      <c r="G79" s="505"/>
      <c r="H79" s="469"/>
      <c r="I79" s="470"/>
      <c r="J79" s="471"/>
      <c r="K79" s="472"/>
      <c r="L79" s="473"/>
      <c r="M79" s="472"/>
      <c r="N79" s="473"/>
      <c r="O79" s="474"/>
      <c r="P79" s="385">
        <v>78</v>
      </c>
      <c r="Q79" s="475">
        <v>0</v>
      </c>
      <c r="R79" s="476">
        <v>0</v>
      </c>
      <c r="S79" s="477">
        <v>0</v>
      </c>
      <c r="T79" s="551">
        <v>0</v>
      </c>
      <c r="U79" s="551"/>
      <c r="V79" s="551">
        <v>0</v>
      </c>
      <c r="W79" s="528">
        <f>V78*(F78/100)</f>
        <v>0</v>
      </c>
      <c r="X79" s="435"/>
      <c r="Y79" s="456" t="str">
        <f>IFERROR(INT(#REF!/(F78/100)),"")</f>
        <v/>
      </c>
      <c r="Z79" s="457" t="str">
        <f>IFERROR(IF(C79&lt;&gt;"",$AB$1/(D75/100)*(C79/100),""),"")</f>
        <v/>
      </c>
      <c r="AA79" s="458" t="str">
        <f>IFERROR($AC$1/(D79/100)*(C75/100),"")</f>
        <v/>
      </c>
      <c r="AB79" s="500"/>
      <c r="AC79"/>
    </row>
    <row r="80" spans="1:40" ht="12.75" customHeight="1">
      <c r="A80" s="485" t="s">
        <v>591</v>
      </c>
      <c r="B80" s="567">
        <v>10676501</v>
      </c>
      <c r="C80" s="620">
        <v>128.9</v>
      </c>
      <c r="D80" s="621">
        <v>132</v>
      </c>
      <c r="E80" s="571">
        <v>185</v>
      </c>
      <c r="F80" s="593">
        <v>128.9</v>
      </c>
      <c r="G80" s="502">
        <v>6.9999999999999993E-3</v>
      </c>
      <c r="H80" s="232">
        <v>129.85</v>
      </c>
      <c r="I80" s="224">
        <v>130</v>
      </c>
      <c r="J80" s="261">
        <v>124.01</v>
      </c>
      <c r="K80" s="228">
        <v>128</v>
      </c>
      <c r="L80" s="239">
        <v>112126641</v>
      </c>
      <c r="M80" s="228">
        <v>87321376</v>
      </c>
      <c r="N80" s="239">
        <v>279</v>
      </c>
      <c r="O80" s="255">
        <v>45434.684907407405</v>
      </c>
      <c r="P80" s="384">
        <v>79</v>
      </c>
      <c r="Q80" s="251">
        <v>0</v>
      </c>
      <c r="R80" s="413">
        <v>0</v>
      </c>
      <c r="S80" s="425">
        <v>0</v>
      </c>
      <c r="T80" s="548">
        <v>0</v>
      </c>
      <c r="U80" s="548"/>
      <c r="V80" s="548"/>
      <c r="W80" s="524">
        <f t="shared" si="30"/>
        <v>0</v>
      </c>
      <c r="X80" s="422"/>
      <c r="Y80" s="399">
        <f>IF(D80&lt;&gt;0,($C81*(1-$AA$1))-$D80,0)</f>
        <v>-3</v>
      </c>
      <c r="Z80" s="400"/>
      <c r="AA80" s="401"/>
      <c r="AB80" s="517"/>
      <c r="AC80"/>
    </row>
    <row r="81" spans="1:29" ht="12.75" customHeight="1">
      <c r="A81" s="366" t="s">
        <v>637</v>
      </c>
      <c r="B81" s="566">
        <v>1895750</v>
      </c>
      <c r="C81" s="622">
        <v>129</v>
      </c>
      <c r="D81" s="622">
        <v>129.495</v>
      </c>
      <c r="E81" s="566">
        <v>636683</v>
      </c>
      <c r="F81" s="491">
        <v>129</v>
      </c>
      <c r="G81" s="503">
        <v>-6.5000000000000006E-3</v>
      </c>
      <c r="H81" s="231">
        <v>129.97999999999999</v>
      </c>
      <c r="I81" s="222">
        <v>131.24700000000001</v>
      </c>
      <c r="J81" s="259">
        <v>128.25</v>
      </c>
      <c r="K81" s="226">
        <v>129.85</v>
      </c>
      <c r="L81" s="229">
        <v>2229719508</v>
      </c>
      <c r="M81" s="226">
        <v>1727027444</v>
      </c>
      <c r="N81" s="229">
        <v>965</v>
      </c>
      <c r="O81" s="256">
        <v>45434.708634259259</v>
      </c>
      <c r="P81" s="385">
        <v>80</v>
      </c>
      <c r="Q81" s="249">
        <v>0</v>
      </c>
      <c r="R81" s="412">
        <v>0</v>
      </c>
      <c r="S81" s="426">
        <v>0</v>
      </c>
      <c r="T81" s="549">
        <v>0</v>
      </c>
      <c r="U81" s="549"/>
      <c r="V81" s="549"/>
      <c r="W81" s="311">
        <f>V80*(D81/100)</f>
        <v>0</v>
      </c>
      <c r="X81" s="421"/>
      <c r="Y81" s="377" t="str">
        <f>IFERROR(INT(#REF!/(F80/100)),"")</f>
        <v/>
      </c>
      <c r="Z81" s="402"/>
      <c r="AA81" s="403"/>
      <c r="AB81" s="500"/>
      <c r="AC81"/>
    </row>
    <row r="82" spans="1:29" ht="12.75" customHeight="1">
      <c r="A82" s="484" t="s">
        <v>592</v>
      </c>
      <c r="B82" s="567"/>
      <c r="C82" s="620"/>
      <c r="D82" s="621"/>
      <c r="E82" s="571"/>
      <c r="F82" s="593"/>
      <c r="G82" s="502"/>
      <c r="H82" s="233"/>
      <c r="I82" s="223"/>
      <c r="J82" s="264"/>
      <c r="K82" s="227">
        <v>0.12</v>
      </c>
      <c r="L82" s="237"/>
      <c r="M82" s="227"/>
      <c r="N82" s="237"/>
      <c r="O82" s="257"/>
      <c r="P82" s="384">
        <v>81</v>
      </c>
      <c r="Q82" s="250">
        <v>0</v>
      </c>
      <c r="R82" s="415">
        <v>0</v>
      </c>
      <c r="S82" s="427">
        <v>0</v>
      </c>
      <c r="T82" s="550">
        <v>0</v>
      </c>
      <c r="U82" s="550"/>
      <c r="V82" s="550"/>
      <c r="W82" s="525">
        <f t="shared" ref="W82" si="33">(V82*X82)</f>
        <v>0</v>
      </c>
      <c r="X82" s="424"/>
      <c r="Y82" s="404">
        <f>IF(D82&lt;&gt;0,($C83*(1-$AA$1))-$D82,0)</f>
        <v>0</v>
      </c>
      <c r="Z82" s="405" t="str">
        <f t="shared" ref="Z82:Z83" si="34">IFERROR(IF(C82&lt;&gt;"",$AB$1/(D80/100)*(C82/100),""),"")</f>
        <v/>
      </c>
      <c r="AA82" s="406" t="str">
        <f t="shared" ref="AA82:AA83" si="35">IFERROR($AC$1/(D82/100)*(C80/100),"")</f>
        <v/>
      </c>
      <c r="AB82" s="517"/>
      <c r="AC82"/>
    </row>
    <row r="83" spans="1:29" ht="12.75" customHeight="1">
      <c r="A83" s="366" t="s">
        <v>593</v>
      </c>
      <c r="B83" s="566"/>
      <c r="C83" s="622"/>
      <c r="D83" s="622"/>
      <c r="E83" s="566"/>
      <c r="F83" s="491"/>
      <c r="G83" s="595"/>
      <c r="H83" s="231"/>
      <c r="I83" s="222"/>
      <c r="J83" s="259"/>
      <c r="K83" s="226">
        <v>0.12</v>
      </c>
      <c r="L83" s="229"/>
      <c r="M83" s="226"/>
      <c r="N83" s="229"/>
      <c r="O83" s="256"/>
      <c r="P83" s="385">
        <v>82</v>
      </c>
      <c r="Q83" s="249">
        <v>0</v>
      </c>
      <c r="R83" s="412">
        <v>0</v>
      </c>
      <c r="S83" s="426">
        <v>0</v>
      </c>
      <c r="T83" s="549">
        <v>0</v>
      </c>
      <c r="U83" s="549"/>
      <c r="V83" s="549">
        <v>0</v>
      </c>
      <c r="W83" s="526">
        <f>V82*(F82/100)</f>
        <v>0</v>
      </c>
      <c r="X83" s="421"/>
      <c r="Y83" s="378" t="str">
        <f>IFERROR(INT(#REF!/(F82/100)),"")</f>
        <v/>
      </c>
      <c r="Z83" s="407" t="str">
        <f t="shared" si="34"/>
        <v/>
      </c>
      <c r="AA83" s="408" t="str">
        <f t="shared" si="35"/>
        <v/>
      </c>
      <c r="AB83" s="500"/>
      <c r="AC83"/>
    </row>
    <row r="84" spans="1:29" ht="12.75" customHeight="1">
      <c r="A84" s="484" t="s">
        <v>594</v>
      </c>
      <c r="B84" s="567"/>
      <c r="C84" s="620"/>
      <c r="D84" s="621"/>
      <c r="E84" s="571"/>
      <c r="F84" s="594"/>
      <c r="G84" s="502"/>
      <c r="H84" s="233"/>
      <c r="I84" s="223"/>
      <c r="J84" s="264"/>
      <c r="K84" s="227">
        <v>0.13</v>
      </c>
      <c r="L84" s="237"/>
      <c r="M84" s="227"/>
      <c r="N84" s="237"/>
      <c r="O84" s="257"/>
      <c r="P84" s="384">
        <v>83</v>
      </c>
      <c r="Q84" s="250">
        <v>0</v>
      </c>
      <c r="R84" s="415">
        <v>0</v>
      </c>
      <c r="S84" s="427">
        <v>0</v>
      </c>
      <c r="T84" s="550">
        <v>0</v>
      </c>
      <c r="U84" s="550"/>
      <c r="V84" s="550">
        <v>0</v>
      </c>
      <c r="W84" s="527">
        <f t="shared" ref="W84" si="36">(V84*X84)</f>
        <v>0</v>
      </c>
      <c r="X84" s="423"/>
      <c r="Y84" s="409">
        <f>IF(D84&lt;&gt;0,($C85*(1-$AA$1))-$D84,0)</f>
        <v>0</v>
      </c>
      <c r="Z84" s="410" t="str">
        <f t="shared" ref="Z84:Z85" si="37">IFERROR(IF(C84&lt;&gt;"",$AB$1/(D80/100)*(C84/100),""),"")</f>
        <v/>
      </c>
      <c r="AA84" s="411" t="str">
        <f t="shared" ref="AA84:AA85" si="38">IFERROR($AC$1/(D84/100)*(C80/100),"")</f>
        <v/>
      </c>
      <c r="AB84" s="517"/>
      <c r="AC84"/>
    </row>
    <row r="85" spans="1:29" ht="12.75" customHeight="1">
      <c r="A85" s="468" t="s">
        <v>595</v>
      </c>
      <c r="B85" s="626"/>
      <c r="C85" s="627"/>
      <c r="D85" s="627">
        <v>1</v>
      </c>
      <c r="E85" s="626">
        <v>20136</v>
      </c>
      <c r="F85" s="493"/>
      <c r="G85" s="505"/>
      <c r="H85" s="469"/>
      <c r="I85" s="470"/>
      <c r="J85" s="471"/>
      <c r="K85" s="472"/>
      <c r="L85" s="473"/>
      <c r="M85" s="472"/>
      <c r="N85" s="473"/>
      <c r="O85" s="474"/>
      <c r="P85" s="385">
        <v>84</v>
      </c>
      <c r="Q85" s="475">
        <v>0</v>
      </c>
      <c r="R85" s="476">
        <v>0</v>
      </c>
      <c r="S85" s="477">
        <v>0</v>
      </c>
      <c r="T85" s="551">
        <v>0</v>
      </c>
      <c r="U85" s="551"/>
      <c r="V85" s="551">
        <v>0</v>
      </c>
      <c r="W85" s="529">
        <f>V84*(F84/100)</f>
        <v>0</v>
      </c>
      <c r="X85" s="435"/>
      <c r="Y85" s="456" t="str">
        <f>IFERROR(INT(#REF!/(F84/100)),"")</f>
        <v/>
      </c>
      <c r="Z85" s="457" t="str">
        <f t="shared" si="37"/>
        <v/>
      </c>
      <c r="AA85" s="458">
        <f t="shared" si="38"/>
        <v>12900</v>
      </c>
      <c r="AB85" s="500"/>
      <c r="AC85"/>
    </row>
    <row r="86" spans="1:29" ht="12.75" customHeight="1">
      <c r="A86" s="485" t="s">
        <v>546</v>
      </c>
      <c r="B86" s="567">
        <v>1000</v>
      </c>
      <c r="C86" s="620">
        <v>58900</v>
      </c>
      <c r="D86" s="621">
        <v>59670</v>
      </c>
      <c r="E86" s="571">
        <v>244</v>
      </c>
      <c r="F86" s="593">
        <v>59290</v>
      </c>
      <c r="G86" s="502">
        <v>8.1000000000000013E-3</v>
      </c>
      <c r="H86" s="232">
        <v>58800</v>
      </c>
      <c r="I86" s="224">
        <v>59670</v>
      </c>
      <c r="J86" s="261">
        <v>56000</v>
      </c>
      <c r="K86" s="228">
        <v>58810</v>
      </c>
      <c r="L86" s="239">
        <v>333161690</v>
      </c>
      <c r="M86" s="228">
        <v>569636</v>
      </c>
      <c r="N86" s="239">
        <v>1041</v>
      </c>
      <c r="O86" s="255">
        <v>45434.685185185182</v>
      </c>
      <c r="P86" s="384">
        <v>85</v>
      </c>
      <c r="Q86" s="251">
        <v>0</v>
      </c>
      <c r="R86" s="413">
        <v>0</v>
      </c>
      <c r="S86" s="425">
        <v>0</v>
      </c>
      <c r="T86" s="548">
        <v>0</v>
      </c>
      <c r="U86" s="548"/>
      <c r="V86" s="548"/>
      <c r="W86" s="524">
        <f t="shared" ref="W86" si="39">(V86*X86)</f>
        <v>0</v>
      </c>
      <c r="X86" s="422"/>
      <c r="Y86" s="399">
        <f>IF(D86&lt;&gt;0,($C87*(1-$AA$1))-$D86,0)</f>
        <v>-580</v>
      </c>
      <c r="Z86" s="400"/>
      <c r="AA86" s="401"/>
      <c r="AB86" s="517"/>
      <c r="AC86"/>
    </row>
    <row r="87" spans="1:29" ht="12.75" customHeight="1">
      <c r="A87" s="366" t="s">
        <v>182</v>
      </c>
      <c r="B87" s="566">
        <v>1</v>
      </c>
      <c r="C87" s="622">
        <v>59090</v>
      </c>
      <c r="D87" s="622">
        <v>59100</v>
      </c>
      <c r="E87" s="566">
        <v>4395</v>
      </c>
      <c r="F87" s="491">
        <v>59100</v>
      </c>
      <c r="G87" s="503">
        <v>6.8000000000000005E-3</v>
      </c>
      <c r="H87" s="231">
        <v>58700</v>
      </c>
      <c r="I87" s="222">
        <v>59870</v>
      </c>
      <c r="J87" s="259">
        <v>57800</v>
      </c>
      <c r="K87" s="226">
        <v>58700</v>
      </c>
      <c r="L87" s="229">
        <v>2672941543</v>
      </c>
      <c r="M87" s="226">
        <v>4542455</v>
      </c>
      <c r="N87" s="229">
        <v>2723</v>
      </c>
      <c r="O87" s="256">
        <v>45434.708356481482</v>
      </c>
      <c r="P87" s="385">
        <v>86</v>
      </c>
      <c r="Q87" s="249">
        <v>0</v>
      </c>
      <c r="R87" s="412">
        <v>0</v>
      </c>
      <c r="S87" s="426">
        <v>0</v>
      </c>
      <c r="T87" s="549">
        <v>0</v>
      </c>
      <c r="U87" s="549"/>
      <c r="V87" s="549">
        <v>0</v>
      </c>
      <c r="W87" s="311">
        <f>V86*(F86/100)</f>
        <v>0</v>
      </c>
      <c r="X87" s="421"/>
      <c r="Y87" s="377" t="str">
        <f>IFERROR(INT(#REF!/(F86/100)),"")</f>
        <v/>
      </c>
      <c r="Z87" s="402"/>
      <c r="AA87" s="403"/>
      <c r="AB87" s="500"/>
      <c r="AC87"/>
    </row>
    <row r="88" spans="1:29">
      <c r="A88" s="484" t="s">
        <v>547</v>
      </c>
      <c r="B88" s="567"/>
      <c r="C88" s="620"/>
      <c r="D88" s="621"/>
      <c r="E88" s="571"/>
      <c r="F88" s="593"/>
      <c r="G88" s="502"/>
      <c r="H88" s="233"/>
      <c r="I88" s="223"/>
      <c r="J88" s="223"/>
      <c r="K88" s="247">
        <v>52.5</v>
      </c>
      <c r="L88" s="237"/>
      <c r="M88" s="227"/>
      <c r="N88" s="237"/>
      <c r="O88" s="257"/>
      <c r="P88" s="384">
        <v>87</v>
      </c>
      <c r="Q88" s="250">
        <v>0</v>
      </c>
      <c r="R88" s="415">
        <v>0</v>
      </c>
      <c r="S88" s="427">
        <v>0</v>
      </c>
      <c r="T88" s="550">
        <v>0</v>
      </c>
      <c r="U88" s="550"/>
      <c r="V88" s="550"/>
      <c r="W88" s="525">
        <f t="shared" ref="W88" si="40">(V88*X88)</f>
        <v>0</v>
      </c>
      <c r="X88" s="424"/>
      <c r="Y88" s="404">
        <f>IF(D88&lt;&gt;0,($C89*(1-$AA$1))-$D88,0)</f>
        <v>0</v>
      </c>
      <c r="Z88" s="405" t="str">
        <f t="shared" ref="Z88:Z89" si="41">IFERROR(IF(C88&lt;&gt;"",$AB$1/(D86/100)*(C88/100),""),"")</f>
        <v/>
      </c>
      <c r="AA88" s="406" t="str">
        <f t="shared" ref="AA88:AA89" si="42">IFERROR($AC$1/(D88/100)*(C86/100),"")</f>
        <v/>
      </c>
      <c r="AB88" s="517"/>
      <c r="AC88"/>
    </row>
    <row r="89" spans="1:29" ht="12.75" customHeight="1">
      <c r="A89" s="366" t="s">
        <v>229</v>
      </c>
      <c r="B89" s="566"/>
      <c r="C89" s="622"/>
      <c r="D89" s="622"/>
      <c r="E89" s="566"/>
      <c r="F89" s="491"/>
      <c r="G89" s="595"/>
      <c r="H89" s="231"/>
      <c r="I89" s="222"/>
      <c r="J89" s="222"/>
      <c r="K89" s="244">
        <v>35.869999999999997</v>
      </c>
      <c r="L89" s="229"/>
      <c r="M89" s="226"/>
      <c r="N89" s="229"/>
      <c r="O89" s="256"/>
      <c r="P89" s="385">
        <v>88</v>
      </c>
      <c r="Q89" s="249">
        <v>0</v>
      </c>
      <c r="R89" s="412">
        <v>0</v>
      </c>
      <c r="S89" s="426">
        <v>0</v>
      </c>
      <c r="T89" s="549">
        <v>0</v>
      </c>
      <c r="U89" s="549"/>
      <c r="V89" s="549">
        <v>0</v>
      </c>
      <c r="W89" s="526">
        <f>V88*(F88/100)</f>
        <v>0</v>
      </c>
      <c r="X89" s="421"/>
      <c r="Y89" s="378" t="str">
        <f>IFERROR(INT(#REF!/(F88/100)),"")</f>
        <v/>
      </c>
      <c r="Z89" s="407" t="str">
        <f t="shared" si="41"/>
        <v/>
      </c>
      <c r="AA89" s="408" t="str">
        <f t="shared" si="42"/>
        <v/>
      </c>
      <c r="AB89" s="500"/>
      <c r="AC89"/>
    </row>
    <row r="90" spans="1:29" ht="12.75" customHeight="1">
      <c r="A90" s="484" t="s">
        <v>548</v>
      </c>
      <c r="B90" s="567">
        <v>200</v>
      </c>
      <c r="C90" s="620">
        <v>48</v>
      </c>
      <c r="D90" s="621">
        <v>48.18</v>
      </c>
      <c r="E90" s="571">
        <v>456</v>
      </c>
      <c r="F90" s="594">
        <v>48</v>
      </c>
      <c r="G90" s="502">
        <v>-4.5700000000000005E-2</v>
      </c>
      <c r="H90" s="233">
        <v>50</v>
      </c>
      <c r="I90" s="223">
        <v>52</v>
      </c>
      <c r="J90" s="223">
        <v>47.918999999999997</v>
      </c>
      <c r="K90" s="247">
        <v>50.3</v>
      </c>
      <c r="L90" s="237">
        <v>141502</v>
      </c>
      <c r="M90" s="227">
        <v>291648</v>
      </c>
      <c r="N90" s="237">
        <v>359</v>
      </c>
      <c r="O90" s="257">
        <v>45434.68372685185</v>
      </c>
      <c r="P90" s="384">
        <v>89</v>
      </c>
      <c r="Q90" s="250">
        <v>0</v>
      </c>
      <c r="R90" s="415">
        <v>0</v>
      </c>
      <c r="S90" s="427">
        <v>0</v>
      </c>
      <c r="T90" s="550">
        <v>0</v>
      </c>
      <c r="U90" s="550"/>
      <c r="V90" s="550">
        <v>0</v>
      </c>
      <c r="W90" s="527">
        <f t="shared" ref="W90" si="43">(V90*X90)</f>
        <v>0</v>
      </c>
      <c r="X90" s="423"/>
      <c r="Y90" s="409">
        <f>IF(D90&lt;&gt;0,($C91*(1-$AA$1))-$D90,0)</f>
        <v>-0.13000000000000256</v>
      </c>
      <c r="Z90" s="410">
        <f t="shared" ref="Z90:Z91" si="44">IFERROR(IF(C90&lt;&gt;"",$AB$1/(D86/100)*(C90/100),""),"")</f>
        <v>98.972922502334256</v>
      </c>
      <c r="AA90" s="411">
        <f t="shared" ref="AA90:AA91" si="45">IFERROR($AC$1/(D90/100)*(C86/100),"")</f>
        <v>122249.89622249897</v>
      </c>
      <c r="AB90" s="517"/>
      <c r="AC90"/>
    </row>
    <row r="91" spans="1:29" ht="12.75" customHeight="1">
      <c r="A91" s="468" t="s">
        <v>230</v>
      </c>
      <c r="B91" s="626">
        <v>3967</v>
      </c>
      <c r="C91" s="627">
        <v>48.05</v>
      </c>
      <c r="D91" s="627">
        <v>48.1</v>
      </c>
      <c r="E91" s="626">
        <v>481</v>
      </c>
      <c r="F91" s="493">
        <v>48.1</v>
      </c>
      <c r="G91" s="505">
        <v>-4.8399999999999999E-2</v>
      </c>
      <c r="H91" s="469">
        <v>50</v>
      </c>
      <c r="I91" s="470">
        <v>50.6</v>
      </c>
      <c r="J91" s="470">
        <v>47.750999999999998</v>
      </c>
      <c r="K91" s="483">
        <v>50.55</v>
      </c>
      <c r="L91" s="473">
        <v>525227</v>
      </c>
      <c r="M91" s="472">
        <v>1088082</v>
      </c>
      <c r="N91" s="473">
        <v>1085</v>
      </c>
      <c r="O91" s="474">
        <v>45434.70853009259</v>
      </c>
      <c r="P91" s="385">
        <v>90</v>
      </c>
      <c r="Q91" s="475">
        <v>0</v>
      </c>
      <c r="R91" s="476">
        <v>0</v>
      </c>
      <c r="S91" s="477">
        <v>0</v>
      </c>
      <c r="T91" s="551">
        <v>0</v>
      </c>
      <c r="U91" s="551"/>
      <c r="V91" s="551">
        <v>0</v>
      </c>
      <c r="W91" s="529">
        <f>V90*(F90/100)</f>
        <v>0</v>
      </c>
      <c r="X91" s="435"/>
      <c r="Y91" s="456" t="str">
        <f>IFERROR(INT(#REF!/(F90/100)),"")</f>
        <v/>
      </c>
      <c r="Z91" s="457">
        <f t="shared" si="44"/>
        <v>100.03157481266616</v>
      </c>
      <c r="AA91" s="458">
        <f t="shared" si="45"/>
        <v>122848.23284823283</v>
      </c>
      <c r="AB91" s="500"/>
      <c r="AC91"/>
    </row>
    <row r="92" spans="1:29" ht="12.75" customHeight="1">
      <c r="A92" s="485" t="s">
        <v>540</v>
      </c>
      <c r="B92" s="567">
        <v>166</v>
      </c>
      <c r="C92" s="620">
        <v>72300</v>
      </c>
      <c r="D92" s="621">
        <v>73800</v>
      </c>
      <c r="E92" s="571">
        <v>1097</v>
      </c>
      <c r="F92" s="593">
        <v>72300</v>
      </c>
      <c r="G92" s="502">
        <v>2.1899999999999999E-2</v>
      </c>
      <c r="H92" s="232">
        <v>70860</v>
      </c>
      <c r="I92" s="224">
        <v>73800</v>
      </c>
      <c r="J92" s="224">
        <v>69500</v>
      </c>
      <c r="K92" s="246">
        <v>70750</v>
      </c>
      <c r="L92" s="239">
        <v>289064087</v>
      </c>
      <c r="M92" s="228">
        <v>403148</v>
      </c>
      <c r="N92" s="239">
        <v>1156</v>
      </c>
      <c r="O92" s="255">
        <v>45434.687777777777</v>
      </c>
      <c r="P92" s="384">
        <v>91</v>
      </c>
      <c r="Q92" s="251">
        <v>0</v>
      </c>
      <c r="R92" s="413">
        <v>0</v>
      </c>
      <c r="S92" s="425">
        <v>0</v>
      </c>
      <c r="T92" s="548">
        <v>0</v>
      </c>
      <c r="U92" s="548"/>
      <c r="V92" s="548">
        <v>0</v>
      </c>
      <c r="W92" s="524">
        <f t="shared" ref="W92" si="46">(V92*X92)</f>
        <v>0</v>
      </c>
      <c r="X92" s="422"/>
      <c r="Y92" s="399">
        <f>IF(D92&lt;&gt;0,($C93*(1-$AA$1))-$D92,0)</f>
        <v>-2240</v>
      </c>
      <c r="Z92" s="400"/>
      <c r="AA92" s="401"/>
      <c r="AB92" s="517"/>
      <c r="AC92"/>
    </row>
    <row r="93" spans="1:29" ht="12.75" customHeight="1">
      <c r="A93" s="366" t="s">
        <v>185</v>
      </c>
      <c r="B93" s="566">
        <v>100</v>
      </c>
      <c r="C93" s="622">
        <v>71560</v>
      </c>
      <c r="D93" s="622">
        <v>72170</v>
      </c>
      <c r="E93" s="566">
        <v>87</v>
      </c>
      <c r="F93" s="491">
        <v>72170</v>
      </c>
      <c r="G93" s="503">
        <v>1.3000000000000001E-2</v>
      </c>
      <c r="H93" s="231">
        <v>71240</v>
      </c>
      <c r="I93" s="222">
        <v>72500</v>
      </c>
      <c r="J93" s="222">
        <v>70100</v>
      </c>
      <c r="K93" s="244">
        <v>71240</v>
      </c>
      <c r="L93" s="229">
        <v>492944840</v>
      </c>
      <c r="M93" s="226">
        <v>688787</v>
      </c>
      <c r="N93" s="229">
        <v>1985</v>
      </c>
      <c r="O93" s="256">
        <v>45434.708541666667</v>
      </c>
      <c r="P93" s="385">
        <v>92</v>
      </c>
      <c r="Q93" s="249">
        <v>0</v>
      </c>
      <c r="R93" s="412">
        <v>0</v>
      </c>
      <c r="S93" s="426">
        <v>0</v>
      </c>
      <c r="T93" s="549">
        <v>0</v>
      </c>
      <c r="U93" s="549"/>
      <c r="V93" s="549">
        <v>0</v>
      </c>
      <c r="W93" s="311">
        <f>V92*(F92/100)</f>
        <v>0</v>
      </c>
      <c r="X93" s="421"/>
      <c r="Y93" s="377" t="str">
        <f>IFERROR(INT(#REF!/(F92/100)),"")</f>
        <v/>
      </c>
      <c r="Z93" s="402"/>
      <c r="AA93" s="403"/>
      <c r="AB93" s="500"/>
      <c r="AC93"/>
    </row>
    <row r="94" spans="1:29" ht="12.75" customHeight="1">
      <c r="A94" s="484" t="s">
        <v>541</v>
      </c>
      <c r="B94" s="567"/>
      <c r="C94" s="620"/>
      <c r="D94" s="621"/>
      <c r="E94" s="571"/>
      <c r="F94" s="593">
        <v>57</v>
      </c>
      <c r="G94" s="502">
        <v>4.0099999999999997E-2</v>
      </c>
      <c r="H94" s="233">
        <v>57</v>
      </c>
      <c r="I94" s="223">
        <v>57</v>
      </c>
      <c r="J94" s="223">
        <v>57</v>
      </c>
      <c r="K94" s="247">
        <v>54.8</v>
      </c>
      <c r="L94" s="237">
        <v>5246</v>
      </c>
      <c r="M94" s="227">
        <v>9204</v>
      </c>
      <c r="N94" s="237">
        <v>4</v>
      </c>
      <c r="O94" s="257">
        <v>45434.661238425928</v>
      </c>
      <c r="P94" s="384">
        <v>93</v>
      </c>
      <c r="Q94" s="250">
        <v>0</v>
      </c>
      <c r="R94" s="415">
        <v>0</v>
      </c>
      <c r="S94" s="427">
        <v>0</v>
      </c>
      <c r="T94" s="550">
        <v>0</v>
      </c>
      <c r="U94" s="550"/>
      <c r="V94" s="550"/>
      <c r="W94" s="525">
        <f t="shared" ref="W94" si="47">(V94*X94)</f>
        <v>0</v>
      </c>
      <c r="X94" s="424"/>
      <c r="Y94" s="404">
        <f>IF(D94&lt;&gt;0,($C95*(1-$AA$1))-$D94,0)</f>
        <v>0</v>
      </c>
      <c r="Z94" s="405" t="str">
        <f t="shared" ref="Z94:Z95" si="48">IFERROR(IF(C94&lt;&gt;"",$AB$1/(D92/100)*(C94/100),""),"")</f>
        <v/>
      </c>
      <c r="AA94" s="406" t="str">
        <f t="shared" ref="AA94:AA95" si="49">IFERROR($AC$1/(D94/100)*(C92/100),"")</f>
        <v/>
      </c>
      <c r="AB94" s="517"/>
      <c r="AC94"/>
    </row>
    <row r="95" spans="1:29" ht="12.75" customHeight="1">
      <c r="A95" s="366" t="s">
        <v>237</v>
      </c>
      <c r="B95" s="566"/>
      <c r="C95" s="622"/>
      <c r="D95" s="622"/>
      <c r="E95" s="566"/>
      <c r="F95" s="491"/>
      <c r="G95" s="595"/>
      <c r="H95" s="231"/>
      <c r="I95" s="222"/>
      <c r="J95" s="222"/>
      <c r="K95" s="244">
        <v>46.3</v>
      </c>
      <c r="L95" s="229"/>
      <c r="M95" s="226"/>
      <c r="N95" s="229"/>
      <c r="O95" s="256"/>
      <c r="P95" s="385">
        <v>94</v>
      </c>
      <c r="Q95" s="249">
        <v>0</v>
      </c>
      <c r="R95" s="412">
        <v>0</v>
      </c>
      <c r="S95" s="426">
        <v>0</v>
      </c>
      <c r="T95" s="549">
        <v>0</v>
      </c>
      <c r="U95" s="549"/>
      <c r="V95" s="549">
        <v>0</v>
      </c>
      <c r="W95" s="526">
        <f>V94*(F94/100)</f>
        <v>0</v>
      </c>
      <c r="X95" s="421"/>
      <c r="Y95" s="378" t="str">
        <f>IFERROR(INT(#REF!/(F94/100)),"")</f>
        <v/>
      </c>
      <c r="Z95" s="407" t="str">
        <f t="shared" si="48"/>
        <v/>
      </c>
      <c r="AA95" s="408" t="str">
        <f t="shared" si="49"/>
        <v/>
      </c>
      <c r="AB95" s="500"/>
    </row>
    <row r="96" spans="1:29" ht="12.75" customHeight="1">
      <c r="A96" s="484" t="s">
        <v>542</v>
      </c>
      <c r="B96" s="567">
        <v>35199</v>
      </c>
      <c r="C96" s="620">
        <v>58.25</v>
      </c>
      <c r="D96" s="621">
        <v>58.79</v>
      </c>
      <c r="E96" s="571">
        <v>378</v>
      </c>
      <c r="F96" s="594">
        <v>58.79</v>
      </c>
      <c r="G96" s="502">
        <v>-1.52E-2</v>
      </c>
      <c r="H96" s="233">
        <v>59.09</v>
      </c>
      <c r="I96" s="223">
        <v>61.47</v>
      </c>
      <c r="J96" s="223">
        <v>58</v>
      </c>
      <c r="K96" s="247">
        <v>59.7</v>
      </c>
      <c r="L96" s="237">
        <v>152677</v>
      </c>
      <c r="M96" s="227">
        <v>260217</v>
      </c>
      <c r="N96" s="237">
        <v>612</v>
      </c>
      <c r="O96" s="257">
        <v>45434.682615740741</v>
      </c>
      <c r="P96" s="384">
        <v>95</v>
      </c>
      <c r="Q96" s="250">
        <v>0</v>
      </c>
      <c r="R96" s="415">
        <v>0</v>
      </c>
      <c r="S96" s="427">
        <v>0</v>
      </c>
      <c r="T96" s="550">
        <v>0</v>
      </c>
      <c r="U96" s="550"/>
      <c r="V96" s="550">
        <v>0</v>
      </c>
      <c r="W96" s="527">
        <f t="shared" ref="W96" si="50">(V96*X96)</f>
        <v>0</v>
      </c>
      <c r="X96" s="423"/>
      <c r="Y96" s="409">
        <f>IF(D96&lt;&gt;0,($C97*(1-$AA$1))-$D96,0)</f>
        <v>-0.58999999999999631</v>
      </c>
      <c r="Z96" s="410">
        <f t="shared" ref="Z96:Z97" si="51">IFERROR(IF(C96&lt;&gt;"",$AB$1/(D92/100)*(C96/100),""),"")</f>
        <v>97.111522454510251</v>
      </c>
      <c r="AA96" s="411">
        <f t="shared" ref="AA96:AA97" si="52">IFERROR($AC$1/(D96/100)*(C92/100),"")</f>
        <v>122980.09865623405</v>
      </c>
      <c r="AB96" s="517"/>
      <c r="AC96" s="11"/>
    </row>
    <row r="97" spans="1:29" ht="12.75" customHeight="1">
      <c r="A97" s="468" t="s">
        <v>238</v>
      </c>
      <c r="B97" s="626">
        <v>300</v>
      </c>
      <c r="C97" s="627">
        <v>58.2</v>
      </c>
      <c r="D97" s="627">
        <v>58.49</v>
      </c>
      <c r="E97" s="626">
        <v>4730</v>
      </c>
      <c r="F97" s="493">
        <v>58.49</v>
      </c>
      <c r="G97" s="505">
        <v>-3.5699999999999996E-2</v>
      </c>
      <c r="H97" s="469">
        <v>61</v>
      </c>
      <c r="I97" s="470">
        <v>61.48</v>
      </c>
      <c r="J97" s="470">
        <v>58</v>
      </c>
      <c r="K97" s="483">
        <v>60.66</v>
      </c>
      <c r="L97" s="473">
        <v>165169</v>
      </c>
      <c r="M97" s="472">
        <v>281329</v>
      </c>
      <c r="N97" s="473">
        <v>678</v>
      </c>
      <c r="O97" s="474">
        <v>45434.708587962959</v>
      </c>
      <c r="P97" s="385">
        <v>96</v>
      </c>
      <c r="Q97" s="475">
        <v>0</v>
      </c>
      <c r="R97" s="476">
        <v>0</v>
      </c>
      <c r="S97" s="477">
        <v>0</v>
      </c>
      <c r="T97" s="551">
        <v>0</v>
      </c>
      <c r="U97" s="551"/>
      <c r="V97" s="551">
        <v>0</v>
      </c>
      <c r="W97" s="529">
        <f>V96*(F96/100)</f>
        <v>0</v>
      </c>
      <c r="X97" s="435"/>
      <c r="Y97" s="456" t="str">
        <f>IFERROR(INT(#REF!/(F96/100)),"")</f>
        <v/>
      </c>
      <c r="Z97" s="457">
        <f t="shared" si="51"/>
        <v>99.21960054632909</v>
      </c>
      <c r="AA97" s="458">
        <f t="shared" si="52"/>
        <v>122345.70011967859</v>
      </c>
      <c r="AB97" s="500"/>
      <c r="AC97" s="11"/>
    </row>
    <row r="98" spans="1:29" ht="12.75" customHeight="1">
      <c r="A98" s="485" t="s">
        <v>543</v>
      </c>
      <c r="B98" s="567">
        <v>1343</v>
      </c>
      <c r="C98" s="620">
        <v>55290</v>
      </c>
      <c r="D98" s="621">
        <v>55400</v>
      </c>
      <c r="E98" s="571">
        <v>2013</v>
      </c>
      <c r="F98" s="593">
        <v>55290</v>
      </c>
      <c r="G98" s="502">
        <v>2.5000000000000001E-3</v>
      </c>
      <c r="H98" s="232">
        <v>54890</v>
      </c>
      <c r="I98" s="224">
        <v>56050</v>
      </c>
      <c r="J98" s="224">
        <v>53000</v>
      </c>
      <c r="K98" s="246">
        <v>55150</v>
      </c>
      <c r="L98" s="239">
        <v>607346556</v>
      </c>
      <c r="M98" s="228">
        <v>1104200</v>
      </c>
      <c r="N98" s="239">
        <v>1619</v>
      </c>
      <c r="O98" s="255">
        <v>45434.687557870369</v>
      </c>
      <c r="P98" s="384">
        <v>97</v>
      </c>
      <c r="Q98" s="251">
        <v>0</v>
      </c>
      <c r="R98" s="413">
        <v>0</v>
      </c>
      <c r="S98" s="425">
        <v>0</v>
      </c>
      <c r="T98" s="548">
        <v>0</v>
      </c>
      <c r="U98" s="548"/>
      <c r="V98" s="548">
        <v>0</v>
      </c>
      <c r="W98" s="524">
        <f t="shared" ref="W98" si="53">(V98*X98)</f>
        <v>0</v>
      </c>
      <c r="X98" s="422"/>
      <c r="Y98" s="399">
        <f>IF(D98&lt;&gt;0,($C99*(1-$AA$1))-$D98,0)</f>
        <v>-200</v>
      </c>
      <c r="Z98" s="400"/>
      <c r="AA98" s="401"/>
      <c r="AB98" s="517"/>
      <c r="AC98" s="11"/>
    </row>
    <row r="99" spans="1:29" ht="12.75" customHeight="1">
      <c r="A99" s="366" t="s">
        <v>183</v>
      </c>
      <c r="B99" s="566">
        <v>10208</v>
      </c>
      <c r="C99" s="622">
        <v>55200</v>
      </c>
      <c r="D99" s="622">
        <v>55250</v>
      </c>
      <c r="E99" s="566">
        <v>8155</v>
      </c>
      <c r="F99" s="491">
        <v>55200</v>
      </c>
      <c r="G99" s="503">
        <v>-1.6000000000000001E-3</v>
      </c>
      <c r="H99" s="231">
        <v>55290</v>
      </c>
      <c r="I99" s="222">
        <v>55800</v>
      </c>
      <c r="J99" s="222">
        <v>54360</v>
      </c>
      <c r="K99" s="244">
        <v>55290</v>
      </c>
      <c r="L99" s="229">
        <v>3872583729</v>
      </c>
      <c r="M99" s="226">
        <v>7030688</v>
      </c>
      <c r="N99" s="229">
        <v>2961</v>
      </c>
      <c r="O99" s="256">
        <v>45434.708402777775</v>
      </c>
      <c r="P99" s="385">
        <v>98</v>
      </c>
      <c r="Q99" s="249">
        <v>0</v>
      </c>
      <c r="R99" s="412">
        <v>0</v>
      </c>
      <c r="S99" s="426">
        <v>0</v>
      </c>
      <c r="T99" s="549">
        <v>0</v>
      </c>
      <c r="U99" s="549"/>
      <c r="V99" s="549">
        <v>0</v>
      </c>
      <c r="W99" s="311">
        <f>V98*(F98/100)</f>
        <v>0</v>
      </c>
      <c r="X99" s="421"/>
      <c r="Y99" s="377" t="str">
        <f>IFERROR(INT(#REF!/(F98/100)),"")</f>
        <v/>
      </c>
      <c r="Z99" s="402"/>
      <c r="AA99" s="403"/>
      <c r="AB99" s="500"/>
      <c r="AC99" s="11"/>
    </row>
    <row r="100" spans="1:29" ht="12.75" customHeight="1">
      <c r="A100" s="484" t="s">
        <v>544</v>
      </c>
      <c r="B100" s="567"/>
      <c r="C100" s="620"/>
      <c r="D100" s="621"/>
      <c r="E100" s="571"/>
      <c r="F100" s="593"/>
      <c r="G100" s="502"/>
      <c r="H100" s="233"/>
      <c r="I100" s="223"/>
      <c r="J100" s="223"/>
      <c r="K100" s="247">
        <v>47.35</v>
      </c>
      <c r="L100" s="237"/>
      <c r="M100" s="227"/>
      <c r="N100" s="237"/>
      <c r="O100" s="257"/>
      <c r="P100" s="384">
        <v>99</v>
      </c>
      <c r="Q100" s="250">
        <v>0</v>
      </c>
      <c r="R100" s="415">
        <v>0</v>
      </c>
      <c r="S100" s="427">
        <v>0</v>
      </c>
      <c r="T100" s="550">
        <v>0</v>
      </c>
      <c r="U100" s="550"/>
      <c r="V100" s="550"/>
      <c r="W100" s="525">
        <f t="shared" ref="W100" si="54">(V100*X100)</f>
        <v>0</v>
      </c>
      <c r="X100" s="424"/>
      <c r="Y100" s="404">
        <f>IF(D100&lt;&gt;0,($C101*(1-$AA$1))-$D100,0)</f>
        <v>0</v>
      </c>
      <c r="Z100" s="405" t="str">
        <f t="shared" ref="Z100:Z101" si="55">IFERROR(IF(C100&lt;&gt;"",$AB$1/(D98/100)*(C100/100),""),"")</f>
        <v/>
      </c>
      <c r="AA100" s="406" t="str">
        <f t="shared" ref="AA100:AA101" si="56">IFERROR($AC$1/(D100/100)*(C98/100),"")</f>
        <v/>
      </c>
      <c r="AB100" s="517"/>
      <c r="AC100" s="11"/>
    </row>
    <row r="101" spans="1:29" ht="12.75" customHeight="1">
      <c r="A101" s="366" t="s">
        <v>239</v>
      </c>
      <c r="B101" s="566"/>
      <c r="C101" s="622"/>
      <c r="D101" s="622"/>
      <c r="E101" s="566"/>
      <c r="F101" s="491"/>
      <c r="G101" s="595"/>
      <c r="H101" s="231"/>
      <c r="I101" s="222"/>
      <c r="J101" s="222"/>
      <c r="K101" s="244">
        <v>47</v>
      </c>
      <c r="L101" s="229"/>
      <c r="M101" s="226"/>
      <c r="N101" s="229"/>
      <c r="O101" s="256"/>
      <c r="P101" s="385">
        <v>100</v>
      </c>
      <c r="Q101" s="249">
        <v>0</v>
      </c>
      <c r="R101" s="412">
        <v>0</v>
      </c>
      <c r="S101" s="426">
        <v>0</v>
      </c>
      <c r="T101" s="549">
        <v>0</v>
      </c>
      <c r="U101" s="549"/>
      <c r="V101" s="549">
        <v>0</v>
      </c>
      <c r="W101" s="526">
        <f>V100*(F100/100)</f>
        <v>0</v>
      </c>
      <c r="X101" s="421"/>
      <c r="Y101" s="378" t="str">
        <f>IFERROR(INT(#REF!/(F100/100)),"")</f>
        <v/>
      </c>
      <c r="Z101" s="407" t="str">
        <f t="shared" si="55"/>
        <v/>
      </c>
      <c r="AA101" s="408" t="str">
        <f t="shared" si="56"/>
        <v/>
      </c>
      <c r="AB101" s="500"/>
      <c r="AC101" s="11"/>
    </row>
    <row r="102" spans="1:29" ht="12.75" customHeight="1">
      <c r="A102" s="484" t="s">
        <v>545</v>
      </c>
      <c r="B102" s="567">
        <v>10</v>
      </c>
      <c r="C102" s="620">
        <v>44.56</v>
      </c>
      <c r="D102" s="621">
        <v>45</v>
      </c>
      <c r="E102" s="571">
        <v>100</v>
      </c>
      <c r="F102" s="594">
        <v>44.5</v>
      </c>
      <c r="G102" s="502">
        <v>-6.3099999999999989E-2</v>
      </c>
      <c r="H102" s="233">
        <v>47</v>
      </c>
      <c r="I102" s="223">
        <v>47.366999999999997</v>
      </c>
      <c r="J102" s="223">
        <v>44.1</v>
      </c>
      <c r="K102" s="247">
        <v>47.5</v>
      </c>
      <c r="L102" s="237">
        <v>251086</v>
      </c>
      <c r="M102" s="227">
        <v>553166</v>
      </c>
      <c r="N102" s="237">
        <v>698</v>
      </c>
      <c r="O102" s="257">
        <v>45434.68340277778</v>
      </c>
      <c r="P102" s="384">
        <v>101</v>
      </c>
      <c r="Q102" s="250">
        <v>0</v>
      </c>
      <c r="R102" s="415">
        <v>0</v>
      </c>
      <c r="S102" s="427">
        <v>0</v>
      </c>
      <c r="T102" s="550">
        <v>0</v>
      </c>
      <c r="U102" s="550"/>
      <c r="V102" s="550">
        <v>0</v>
      </c>
      <c r="W102" s="527">
        <f t="shared" ref="W102" si="57">(V102*X102)</f>
        <v>0</v>
      </c>
      <c r="X102" s="423"/>
      <c r="Y102" s="409">
        <f>IF(D102&lt;&gt;0,($C103*(1-$AA$1))-$D102,0)</f>
        <v>4.9999999999997158E-2</v>
      </c>
      <c r="Z102" s="410">
        <f t="shared" ref="Z102:Z103" si="58">IFERROR(IF(C102&lt;&gt;"",$AB$1/(D98/100)*(C102/100),""),"")</f>
        <v>98.961578133058268</v>
      </c>
      <c r="AA102" s="411">
        <f t="shared" ref="AA102:AA103" si="59">IFERROR($AC$1/(D102/100)*(C98/100),"")</f>
        <v>122866.66666666667</v>
      </c>
      <c r="AB102" s="517"/>
      <c r="AC102" s="11"/>
    </row>
    <row r="103" spans="1:29" ht="12.75" customHeight="1">
      <c r="A103" s="468" t="s">
        <v>240</v>
      </c>
      <c r="B103" s="626">
        <v>149790</v>
      </c>
      <c r="C103" s="627">
        <v>45.05</v>
      </c>
      <c r="D103" s="627">
        <v>45.06</v>
      </c>
      <c r="E103" s="626">
        <v>100</v>
      </c>
      <c r="F103" s="493">
        <v>45.06</v>
      </c>
      <c r="G103" s="505">
        <v>-4.3299999999999998E-2</v>
      </c>
      <c r="H103" s="469">
        <v>47.1</v>
      </c>
      <c r="I103" s="470">
        <v>47.1</v>
      </c>
      <c r="J103" s="470">
        <v>44.1</v>
      </c>
      <c r="K103" s="483">
        <v>47.1</v>
      </c>
      <c r="L103" s="473">
        <v>748261</v>
      </c>
      <c r="M103" s="472">
        <v>1649257</v>
      </c>
      <c r="N103" s="473">
        <v>909</v>
      </c>
      <c r="O103" s="474">
        <v>45434.708495370367</v>
      </c>
      <c r="P103" s="385">
        <v>102</v>
      </c>
      <c r="Q103" s="475">
        <v>0</v>
      </c>
      <c r="R103" s="476">
        <v>0</v>
      </c>
      <c r="S103" s="477">
        <v>0</v>
      </c>
      <c r="T103" s="551">
        <v>0</v>
      </c>
      <c r="U103" s="551"/>
      <c r="V103" s="551">
        <v>0</v>
      </c>
      <c r="W103" s="529">
        <f>V102*(F102/100)</f>
        <v>0</v>
      </c>
      <c r="X103" s="435"/>
      <c r="Y103" s="456" t="str">
        <f>IFERROR(INT(#REF!/(F102/100)),"")</f>
        <v/>
      </c>
      <c r="Z103" s="457">
        <f t="shared" si="58"/>
        <v>100.32142857142856</v>
      </c>
      <c r="AA103" s="458">
        <f t="shared" si="59"/>
        <v>122503.32889480692</v>
      </c>
      <c r="AB103" s="500"/>
    </row>
    <row r="104" spans="1:29" ht="12.75" customHeight="1">
      <c r="A104" s="485" t="s">
        <v>549</v>
      </c>
      <c r="B104" s="567">
        <v>600</v>
      </c>
      <c r="C104" s="620">
        <v>49570</v>
      </c>
      <c r="D104" s="621">
        <v>50670</v>
      </c>
      <c r="E104" s="571">
        <v>762</v>
      </c>
      <c r="F104" s="593">
        <v>50670</v>
      </c>
      <c r="G104" s="502">
        <v>2.98E-2</v>
      </c>
      <c r="H104" s="232">
        <v>49300</v>
      </c>
      <c r="I104" s="224">
        <v>50690</v>
      </c>
      <c r="J104" s="224">
        <v>48200</v>
      </c>
      <c r="K104" s="246">
        <v>49200</v>
      </c>
      <c r="L104" s="239">
        <v>166294620</v>
      </c>
      <c r="M104" s="228">
        <v>337166</v>
      </c>
      <c r="N104" s="239">
        <v>761</v>
      </c>
      <c r="O104" s="255">
        <v>45434.687534722223</v>
      </c>
      <c r="P104" s="384">
        <v>103</v>
      </c>
      <c r="Q104" s="251">
        <v>0</v>
      </c>
      <c r="R104" s="413">
        <v>0</v>
      </c>
      <c r="S104" s="425">
        <v>0</v>
      </c>
      <c r="T104" s="548">
        <v>0</v>
      </c>
      <c r="U104" s="548"/>
      <c r="V104" s="548"/>
      <c r="W104" s="524">
        <f t="shared" ref="W104" si="60">(V104*X104)</f>
        <v>0</v>
      </c>
      <c r="X104" s="422"/>
      <c r="Y104" s="399">
        <f>IF(D104&lt;&gt;0,($C105*(1-$AA$1))-$D104,0)</f>
        <v>-470</v>
      </c>
      <c r="Z104" s="400"/>
      <c r="AA104" s="401"/>
      <c r="AB104" s="517"/>
    </row>
    <row r="105" spans="1:29" ht="12.75" customHeight="1">
      <c r="A105" s="366" t="s">
        <v>184</v>
      </c>
      <c r="B105" s="566">
        <v>48300</v>
      </c>
      <c r="C105" s="622">
        <v>50200</v>
      </c>
      <c r="D105" s="622">
        <v>50490</v>
      </c>
      <c r="E105" s="566">
        <v>16</v>
      </c>
      <c r="F105" s="491">
        <v>50200</v>
      </c>
      <c r="G105" s="503">
        <v>1.8200000000000001E-2</v>
      </c>
      <c r="H105" s="231">
        <v>49300</v>
      </c>
      <c r="I105" s="222">
        <v>50200</v>
      </c>
      <c r="J105" s="222">
        <v>48000</v>
      </c>
      <c r="K105" s="244">
        <v>49300</v>
      </c>
      <c r="L105" s="229">
        <v>927204690</v>
      </c>
      <c r="M105" s="226">
        <v>1873918</v>
      </c>
      <c r="N105" s="229">
        <v>1770</v>
      </c>
      <c r="O105" s="256">
        <v>45434.708611111113</v>
      </c>
      <c r="P105" s="385">
        <v>104</v>
      </c>
      <c r="Q105" s="249">
        <v>0</v>
      </c>
      <c r="R105" s="412">
        <v>0</v>
      </c>
      <c r="S105" s="426">
        <v>0</v>
      </c>
      <c r="T105" s="549">
        <v>0</v>
      </c>
      <c r="U105" s="549"/>
      <c r="V105" s="549">
        <v>0</v>
      </c>
      <c r="W105" s="311">
        <f>V104*(F104/100)</f>
        <v>0</v>
      </c>
      <c r="X105" s="421"/>
      <c r="Y105" s="377" t="str">
        <f>IFERROR(INT(#REF!/(F104/100)),"")</f>
        <v/>
      </c>
      <c r="Z105" s="402"/>
      <c r="AA105" s="403"/>
      <c r="AB105" s="500"/>
    </row>
    <row r="106" spans="1:29" ht="12.75" customHeight="1">
      <c r="A106" s="484" t="s">
        <v>550</v>
      </c>
      <c r="B106" s="567"/>
      <c r="C106" s="620"/>
      <c r="D106" s="621"/>
      <c r="E106" s="571"/>
      <c r="F106" s="593"/>
      <c r="G106" s="502"/>
      <c r="H106" s="233"/>
      <c r="I106" s="223"/>
      <c r="J106" s="223"/>
      <c r="K106" s="247">
        <v>23.22</v>
      </c>
      <c r="L106" s="237"/>
      <c r="M106" s="227"/>
      <c r="N106" s="237"/>
      <c r="O106" s="257"/>
      <c r="P106" s="384">
        <v>105</v>
      </c>
      <c r="Q106" s="250">
        <v>0</v>
      </c>
      <c r="R106" s="415">
        <v>0</v>
      </c>
      <c r="S106" s="427">
        <v>0</v>
      </c>
      <c r="T106" s="550">
        <v>0</v>
      </c>
      <c r="U106" s="550"/>
      <c r="V106" s="550"/>
      <c r="W106" s="525">
        <f t="shared" ref="W106" si="61">(V106*X106)</f>
        <v>0</v>
      </c>
      <c r="X106" s="424"/>
      <c r="Y106" s="404">
        <f>IF(D106&lt;&gt;0,($C107*(1-$AA$1))-$D106,0)</f>
        <v>0</v>
      </c>
      <c r="Z106" s="405" t="str">
        <f t="shared" ref="Z106:Z107" si="62">IFERROR(IF(C106&lt;&gt;"",$AB$1/(D104/100)*(C106/100),""),"")</f>
        <v/>
      </c>
      <c r="AA106" s="406" t="str">
        <f t="shared" ref="AA106:AA107" si="63">IFERROR($AC$1/(D106/100)*(C104/100),"")</f>
        <v/>
      </c>
      <c r="AB106" s="517"/>
    </row>
    <row r="107" spans="1:29" ht="12.75" customHeight="1">
      <c r="A107" s="366" t="s">
        <v>241</v>
      </c>
      <c r="B107" s="566"/>
      <c r="C107" s="622"/>
      <c r="D107" s="622"/>
      <c r="E107" s="566"/>
      <c r="F107" s="491"/>
      <c r="G107" s="595"/>
      <c r="H107" s="231"/>
      <c r="I107" s="222"/>
      <c r="J107" s="222"/>
      <c r="K107" s="244">
        <v>26</v>
      </c>
      <c r="L107" s="229"/>
      <c r="M107" s="226"/>
      <c r="N107" s="229"/>
      <c r="O107" s="256"/>
      <c r="P107" s="385">
        <v>106</v>
      </c>
      <c r="Q107" s="249">
        <v>0</v>
      </c>
      <c r="R107" s="412">
        <v>0</v>
      </c>
      <c r="S107" s="426">
        <v>0</v>
      </c>
      <c r="T107" s="549">
        <v>0</v>
      </c>
      <c r="U107" s="549"/>
      <c r="V107" s="549">
        <v>0</v>
      </c>
      <c r="W107" s="526">
        <f>V106*(F106/100)</f>
        <v>0</v>
      </c>
      <c r="X107" s="421"/>
      <c r="Y107" s="378" t="str">
        <f>IFERROR(INT(#REF!/(F106/100)),"")</f>
        <v/>
      </c>
      <c r="Z107" s="407" t="str">
        <f t="shared" si="62"/>
        <v/>
      </c>
      <c r="AA107" s="408" t="str">
        <f t="shared" si="63"/>
        <v/>
      </c>
      <c r="AB107" s="500"/>
    </row>
    <row r="108" spans="1:29" ht="12.75" customHeight="1">
      <c r="A108" s="484" t="s">
        <v>551</v>
      </c>
      <c r="B108" s="567">
        <v>100</v>
      </c>
      <c r="C108" s="620">
        <v>40.35</v>
      </c>
      <c r="D108" s="621">
        <v>40.72</v>
      </c>
      <c r="E108" s="571">
        <v>2000</v>
      </c>
      <c r="F108" s="594">
        <v>40.119999999999997</v>
      </c>
      <c r="G108" s="502">
        <v>-4.4699999999999997E-2</v>
      </c>
      <c r="H108" s="233">
        <v>41.000999999999998</v>
      </c>
      <c r="I108" s="223">
        <v>41.805</v>
      </c>
      <c r="J108" s="223">
        <v>39.799999999999997</v>
      </c>
      <c r="K108" s="247">
        <v>42</v>
      </c>
      <c r="L108" s="237">
        <v>121339</v>
      </c>
      <c r="M108" s="227">
        <v>297974</v>
      </c>
      <c r="N108" s="237">
        <v>407</v>
      </c>
      <c r="O108" s="257">
        <v>45434.68476851852</v>
      </c>
      <c r="P108" s="384">
        <v>107</v>
      </c>
      <c r="Q108" s="250">
        <v>0</v>
      </c>
      <c r="R108" s="415">
        <v>0</v>
      </c>
      <c r="S108" s="427">
        <v>0</v>
      </c>
      <c r="T108" s="550">
        <v>0</v>
      </c>
      <c r="U108" s="550"/>
      <c r="V108" s="550">
        <v>0</v>
      </c>
      <c r="W108" s="527">
        <f t="shared" ref="W108" si="64">(V108*X108)</f>
        <v>0</v>
      </c>
      <c r="X108" s="423"/>
      <c r="Y108" s="409">
        <f>IF(D108&lt;&gt;0,($C109*(1-$AA$1))-$D108,0)</f>
        <v>-0.58999999999999631</v>
      </c>
      <c r="Z108" s="410">
        <f t="shared" ref="Z108:Z109" si="65">IFERROR(IF(C108&lt;&gt;"",$AB$1/(D104/100)*(C108/100),""),"")</f>
        <v>97.976930559079761</v>
      </c>
      <c r="AA108" s="411">
        <f t="shared" ref="AA108:AA109" si="66">IFERROR($AC$1/(D108/100)*(C104/100),"")</f>
        <v>121733.79174852652</v>
      </c>
      <c r="AB108" s="517"/>
    </row>
    <row r="109" spans="1:29" ht="12.75" customHeight="1">
      <c r="A109" s="468" t="s">
        <v>242</v>
      </c>
      <c r="B109" s="626">
        <v>1850</v>
      </c>
      <c r="C109" s="627">
        <v>40.130000000000003</v>
      </c>
      <c r="D109" s="627">
        <v>40.74</v>
      </c>
      <c r="E109" s="626">
        <v>4000</v>
      </c>
      <c r="F109" s="493">
        <v>40.700000000000003</v>
      </c>
      <c r="G109" s="505">
        <v>-2.7400000000000001E-2</v>
      </c>
      <c r="H109" s="469">
        <v>41.85</v>
      </c>
      <c r="I109" s="470">
        <v>42.4</v>
      </c>
      <c r="J109" s="470">
        <v>40</v>
      </c>
      <c r="K109" s="483">
        <v>41.85</v>
      </c>
      <c r="L109" s="473">
        <v>651703</v>
      </c>
      <c r="M109" s="472">
        <v>1603846</v>
      </c>
      <c r="N109" s="473">
        <v>858</v>
      </c>
      <c r="O109" s="474">
        <v>45434.706180555557</v>
      </c>
      <c r="P109" s="385">
        <v>108</v>
      </c>
      <c r="Q109" s="475">
        <v>0</v>
      </c>
      <c r="R109" s="476">
        <v>0</v>
      </c>
      <c r="S109" s="477">
        <v>0</v>
      </c>
      <c r="T109" s="551">
        <v>0</v>
      </c>
      <c r="U109" s="551"/>
      <c r="V109" s="551">
        <v>0</v>
      </c>
      <c r="W109" s="529">
        <f>V108*(F108/100)</f>
        <v>0</v>
      </c>
      <c r="X109" s="435"/>
      <c r="Y109" s="456" t="str">
        <f>IFERROR(INT(#REF!/(F108/100)),"")</f>
        <v/>
      </c>
      <c r="Z109" s="457">
        <f t="shared" si="65"/>
        <v>97.790121098944638</v>
      </c>
      <c r="AA109" s="458">
        <f t="shared" si="66"/>
        <v>123220.42218949435</v>
      </c>
      <c r="AB109" s="500"/>
    </row>
    <row r="110" spans="1:29" ht="12.75" customHeight="1">
      <c r="A110" s="485" t="s">
        <v>552</v>
      </c>
      <c r="B110" s="567">
        <v>20</v>
      </c>
      <c r="C110" s="620">
        <v>71710</v>
      </c>
      <c r="D110" s="621">
        <v>73500</v>
      </c>
      <c r="E110" s="571">
        <v>7734</v>
      </c>
      <c r="F110" s="593">
        <v>72560</v>
      </c>
      <c r="G110" s="502">
        <v>3.0600000000000002E-2</v>
      </c>
      <c r="H110" s="232">
        <v>70710</v>
      </c>
      <c r="I110" s="224">
        <v>73790</v>
      </c>
      <c r="J110" s="224">
        <v>70680</v>
      </c>
      <c r="K110" s="246">
        <v>70400</v>
      </c>
      <c r="L110" s="239">
        <v>111423532</v>
      </c>
      <c r="M110" s="228">
        <v>154874</v>
      </c>
      <c r="N110" s="239">
        <v>322</v>
      </c>
      <c r="O110" s="255">
        <v>45434.684652777774</v>
      </c>
      <c r="P110" s="384">
        <v>109</v>
      </c>
      <c r="Q110" s="251">
        <v>0</v>
      </c>
      <c r="R110" s="413">
        <v>0</v>
      </c>
      <c r="S110" s="425">
        <v>0</v>
      </c>
      <c r="T110" s="548">
        <v>0</v>
      </c>
      <c r="U110" s="548"/>
      <c r="V110" s="548"/>
      <c r="W110" s="524">
        <f t="shared" ref="W110" si="67">(V110*X110)</f>
        <v>0</v>
      </c>
      <c r="X110" s="422"/>
      <c r="Y110" s="399">
        <f>IF(D110&lt;&gt;0,($C111*(1-$AA$1))-$D110,0)</f>
        <v>90</v>
      </c>
      <c r="Z110" s="400"/>
      <c r="AA110" s="401"/>
      <c r="AB110" s="517"/>
    </row>
    <row r="111" spans="1:29" ht="12.75" customHeight="1">
      <c r="A111" s="366" t="s">
        <v>186</v>
      </c>
      <c r="B111" s="566">
        <v>5764</v>
      </c>
      <c r="C111" s="622">
        <v>73590</v>
      </c>
      <c r="D111" s="622">
        <v>73600</v>
      </c>
      <c r="E111" s="566">
        <v>2000</v>
      </c>
      <c r="F111" s="491">
        <v>73590</v>
      </c>
      <c r="G111" s="503">
        <v>2.8300000000000002E-2</v>
      </c>
      <c r="H111" s="231">
        <v>71500</v>
      </c>
      <c r="I111" s="222">
        <v>74000</v>
      </c>
      <c r="J111" s="222">
        <v>70790</v>
      </c>
      <c r="K111" s="244">
        <v>71560</v>
      </c>
      <c r="L111" s="229">
        <v>160890638</v>
      </c>
      <c r="M111" s="226">
        <v>223120</v>
      </c>
      <c r="N111" s="229">
        <v>496</v>
      </c>
      <c r="O111" s="256">
        <v>45434.708391203705</v>
      </c>
      <c r="P111" s="385">
        <v>110</v>
      </c>
      <c r="Q111" s="249">
        <v>0</v>
      </c>
      <c r="R111" s="412">
        <v>0</v>
      </c>
      <c r="S111" s="426">
        <v>0</v>
      </c>
      <c r="T111" s="549">
        <v>0</v>
      </c>
      <c r="U111" s="549"/>
      <c r="V111" s="549">
        <v>0</v>
      </c>
      <c r="W111" s="311">
        <f>V110*(F110/100)</f>
        <v>0</v>
      </c>
      <c r="X111" s="421"/>
      <c r="Y111" s="377" t="str">
        <f>IFERROR(INT(#REF!/(F110/100)),"")</f>
        <v/>
      </c>
      <c r="Z111" s="402"/>
      <c r="AA111" s="403"/>
      <c r="AB111" s="500"/>
    </row>
    <row r="112" spans="1:29" ht="12.75" customHeight="1">
      <c r="A112" s="484" t="s">
        <v>553</v>
      </c>
      <c r="B112" s="567"/>
      <c r="C112" s="620"/>
      <c r="D112" s="621"/>
      <c r="E112" s="571"/>
      <c r="F112" s="593"/>
      <c r="G112" s="502"/>
      <c r="H112" s="233"/>
      <c r="I112" s="223"/>
      <c r="J112" s="223"/>
      <c r="K112" s="247">
        <v>58.5</v>
      </c>
      <c r="L112" s="237"/>
      <c r="M112" s="227"/>
      <c r="N112" s="237"/>
      <c r="O112" s="257"/>
      <c r="P112" s="384">
        <v>111</v>
      </c>
      <c r="Q112" s="250">
        <v>0</v>
      </c>
      <c r="R112" s="415">
        <v>0</v>
      </c>
      <c r="S112" s="427">
        <v>0</v>
      </c>
      <c r="T112" s="550">
        <v>0</v>
      </c>
      <c r="U112" s="550"/>
      <c r="V112" s="550"/>
      <c r="W112" s="525">
        <f t="shared" ref="W112" si="68">(V112*X112)</f>
        <v>0</v>
      </c>
      <c r="X112" s="424"/>
      <c r="Y112" s="404">
        <f>IF(D112&lt;&gt;0,($C113*(1-$AA$1))-$D112,0)</f>
        <v>0</v>
      </c>
      <c r="Z112" s="405" t="str">
        <f t="shared" ref="Z112:Z113" si="69">IFERROR(IF(C112&lt;&gt;"",$AB$1/(D110/100)*(C112/100),""),"")</f>
        <v/>
      </c>
      <c r="AA112" s="406" t="str">
        <f t="shared" ref="AA112:AA113" si="70">IFERROR($AC$1/(D112/100)*(C110/100),"")</f>
        <v/>
      </c>
      <c r="AB112" s="517"/>
    </row>
    <row r="113" spans="1:28" ht="12.75" customHeight="1">
      <c r="A113" s="366" t="s">
        <v>231</v>
      </c>
      <c r="B113" s="566"/>
      <c r="C113" s="622"/>
      <c r="D113" s="622"/>
      <c r="E113" s="566"/>
      <c r="F113" s="491"/>
      <c r="G113" s="595"/>
      <c r="H113" s="231"/>
      <c r="I113" s="222"/>
      <c r="J113" s="222"/>
      <c r="K113" s="244">
        <v>40</v>
      </c>
      <c r="L113" s="229"/>
      <c r="M113" s="226"/>
      <c r="N113" s="229"/>
      <c r="O113" s="256"/>
      <c r="P113" s="385">
        <v>112</v>
      </c>
      <c r="Q113" s="249">
        <v>0</v>
      </c>
      <c r="R113" s="412">
        <v>0</v>
      </c>
      <c r="S113" s="426">
        <v>0</v>
      </c>
      <c r="T113" s="549">
        <v>0</v>
      </c>
      <c r="U113" s="549"/>
      <c r="V113" s="549">
        <v>0</v>
      </c>
      <c r="W113" s="526">
        <f>V112*(F112/100)</f>
        <v>0</v>
      </c>
      <c r="X113" s="421"/>
      <c r="Y113" s="378" t="str">
        <f>IFERROR(INT(#REF!/(F112/100)),"")</f>
        <v/>
      </c>
      <c r="Z113" s="407" t="str">
        <f t="shared" si="69"/>
        <v/>
      </c>
      <c r="AA113" s="408" t="str">
        <f t="shared" si="70"/>
        <v/>
      </c>
      <c r="AB113" s="500"/>
    </row>
    <row r="114" spans="1:28" ht="12.75" customHeight="1">
      <c r="A114" s="484" t="s">
        <v>554</v>
      </c>
      <c r="B114" s="567">
        <v>1000</v>
      </c>
      <c r="C114" s="620">
        <v>58</v>
      </c>
      <c r="D114" s="621">
        <v>59</v>
      </c>
      <c r="E114" s="571">
        <v>2672</v>
      </c>
      <c r="F114" s="594">
        <v>59</v>
      </c>
      <c r="G114" s="502">
        <v>-2.7999999999999997E-2</v>
      </c>
      <c r="H114" s="233">
        <v>60.5</v>
      </c>
      <c r="I114" s="223">
        <v>60.5</v>
      </c>
      <c r="J114" s="223">
        <v>58.99</v>
      </c>
      <c r="K114" s="247">
        <v>60.7</v>
      </c>
      <c r="L114" s="237">
        <v>20487</v>
      </c>
      <c r="M114" s="227">
        <v>34635</v>
      </c>
      <c r="N114" s="237">
        <v>117</v>
      </c>
      <c r="O114" s="257">
        <v>45434.681805555556</v>
      </c>
      <c r="P114" s="384">
        <v>113</v>
      </c>
      <c r="Q114" s="250">
        <v>0</v>
      </c>
      <c r="R114" s="415">
        <v>0</v>
      </c>
      <c r="S114" s="427">
        <v>0</v>
      </c>
      <c r="T114" s="550">
        <v>0</v>
      </c>
      <c r="U114" s="550"/>
      <c r="V114" s="550">
        <v>0</v>
      </c>
      <c r="W114" s="527">
        <f t="shared" ref="W114" si="71">(V114*X114)</f>
        <v>0</v>
      </c>
      <c r="X114" s="423"/>
      <c r="Y114" s="409">
        <f>IF(D114&lt;&gt;0,($C115*(1-$AA$1))-$D114,0)</f>
        <v>-0.22999999999999687</v>
      </c>
      <c r="Z114" s="410">
        <f t="shared" ref="Z114:Z115" si="72">IFERROR(IF(C114&lt;&gt;"",$AB$1/(D110/100)*(C114/100),""),"")</f>
        <v>97.089407191447989</v>
      </c>
      <c r="AA114" s="411">
        <f t="shared" ref="AA114:AA115" si="73">IFERROR($AC$1/(D114/100)*(C110/100),"")</f>
        <v>121542.37288135594</v>
      </c>
      <c r="AB114" s="517"/>
    </row>
    <row r="115" spans="1:28" ht="12.75" customHeight="1">
      <c r="A115" s="468" t="s">
        <v>232</v>
      </c>
      <c r="B115" s="626">
        <v>1000</v>
      </c>
      <c r="C115" s="627">
        <v>58.77</v>
      </c>
      <c r="D115" s="627">
        <v>59.46</v>
      </c>
      <c r="E115" s="626">
        <v>1782</v>
      </c>
      <c r="F115" s="493">
        <v>59.46</v>
      </c>
      <c r="G115" s="505">
        <v>-3.3700000000000001E-2</v>
      </c>
      <c r="H115" s="469">
        <v>62.3</v>
      </c>
      <c r="I115" s="470">
        <v>62.33</v>
      </c>
      <c r="J115" s="470">
        <v>58.5</v>
      </c>
      <c r="K115" s="483">
        <v>61.54</v>
      </c>
      <c r="L115" s="473">
        <v>15020</v>
      </c>
      <c r="M115" s="472">
        <v>25234</v>
      </c>
      <c r="N115" s="473">
        <v>85</v>
      </c>
      <c r="O115" s="474">
        <v>45434.701990740738</v>
      </c>
      <c r="P115" s="385">
        <v>114</v>
      </c>
      <c r="Q115" s="475">
        <v>0</v>
      </c>
      <c r="R115" s="476">
        <v>0</v>
      </c>
      <c r="S115" s="477">
        <v>0</v>
      </c>
      <c r="T115" s="551">
        <v>0</v>
      </c>
      <c r="U115" s="551"/>
      <c r="V115" s="551">
        <v>0</v>
      </c>
      <c r="W115" s="529">
        <f>V114*(F114/100)</f>
        <v>0</v>
      </c>
      <c r="X115" s="435"/>
      <c r="Y115" s="456" t="str">
        <f>IFERROR(INT(#REF!/(F114/100)),"")</f>
        <v/>
      </c>
      <c r="Z115" s="457">
        <f t="shared" si="72"/>
        <v>98.244686529503099</v>
      </c>
      <c r="AA115" s="458">
        <f t="shared" si="73"/>
        <v>123763.87487386478</v>
      </c>
      <c r="AB115" s="500"/>
    </row>
    <row r="116" spans="1:28" ht="12.75" customHeight="1">
      <c r="A116" s="485" t="s">
        <v>555</v>
      </c>
      <c r="B116" s="567">
        <v>9332</v>
      </c>
      <c r="C116" s="620">
        <v>55300</v>
      </c>
      <c r="D116" s="621">
        <v>55870</v>
      </c>
      <c r="E116" s="571">
        <v>3</v>
      </c>
      <c r="F116" s="593">
        <v>55310</v>
      </c>
      <c r="G116" s="502">
        <v>-1.0500000000000001E-2</v>
      </c>
      <c r="H116" s="232">
        <v>55700</v>
      </c>
      <c r="I116" s="224">
        <v>56500</v>
      </c>
      <c r="J116" s="224">
        <v>54480</v>
      </c>
      <c r="K116" s="246">
        <v>55900</v>
      </c>
      <c r="L116" s="239">
        <v>1526573340</v>
      </c>
      <c r="M116" s="228">
        <v>2748714</v>
      </c>
      <c r="N116" s="239">
        <v>2669</v>
      </c>
      <c r="O116" s="255">
        <v>45434.6875462963</v>
      </c>
      <c r="P116" s="384">
        <v>115</v>
      </c>
      <c r="Q116" s="251">
        <v>0</v>
      </c>
      <c r="R116" s="413">
        <v>0</v>
      </c>
      <c r="S116" s="425">
        <v>0</v>
      </c>
      <c r="T116" s="548">
        <v>0</v>
      </c>
      <c r="U116" s="548"/>
      <c r="V116" s="548"/>
      <c r="W116" s="524">
        <f t="shared" ref="W116" si="74">(V116*X116)</f>
        <v>0</v>
      </c>
      <c r="X116" s="422"/>
      <c r="Y116" s="399">
        <f>IF(D116&lt;&gt;0,($C117*(1-$AA$1))-$D116,0)</f>
        <v>130</v>
      </c>
      <c r="Z116" s="400"/>
      <c r="AA116" s="401"/>
      <c r="AB116" s="517"/>
    </row>
    <row r="117" spans="1:28" ht="12.75" customHeight="1">
      <c r="A117" s="366" t="s">
        <v>163</v>
      </c>
      <c r="B117" s="566">
        <v>8</v>
      </c>
      <c r="C117" s="622">
        <v>56000</v>
      </c>
      <c r="D117" s="622">
        <v>56060</v>
      </c>
      <c r="E117" s="566">
        <v>80</v>
      </c>
      <c r="F117" s="491">
        <v>56050</v>
      </c>
      <c r="G117" s="503">
        <v>6.1999999999999998E-3</v>
      </c>
      <c r="H117" s="231">
        <v>55500</v>
      </c>
      <c r="I117" s="222">
        <v>56730</v>
      </c>
      <c r="J117" s="222">
        <v>54000</v>
      </c>
      <c r="K117" s="244">
        <v>55700</v>
      </c>
      <c r="L117" s="229">
        <v>11821322518</v>
      </c>
      <c r="M117" s="226">
        <v>21270566</v>
      </c>
      <c r="N117" s="229">
        <v>5098</v>
      </c>
      <c r="O117" s="256">
        <v>45434.708518518521</v>
      </c>
      <c r="P117" s="385">
        <v>116</v>
      </c>
      <c r="Q117" s="249">
        <v>0</v>
      </c>
      <c r="R117" s="412">
        <v>0</v>
      </c>
      <c r="S117" s="426">
        <v>0</v>
      </c>
      <c r="T117" s="549">
        <v>0</v>
      </c>
      <c r="U117" s="549"/>
      <c r="V117" s="549">
        <v>0</v>
      </c>
      <c r="W117" s="311">
        <f>V116*(F116/100)</f>
        <v>0</v>
      </c>
      <c r="X117" s="421"/>
      <c r="Y117" s="377" t="str">
        <f>IFERROR(INT(#REF!/(F116/100)),"")</f>
        <v/>
      </c>
      <c r="Z117" s="402"/>
      <c r="AA117" s="403"/>
      <c r="AB117" s="500"/>
    </row>
    <row r="118" spans="1:28" ht="12.75" customHeight="1">
      <c r="A118" s="484" t="s">
        <v>556</v>
      </c>
      <c r="B118" s="567"/>
      <c r="C118" s="620"/>
      <c r="D118" s="621"/>
      <c r="E118" s="571"/>
      <c r="F118" s="593"/>
      <c r="G118" s="502"/>
      <c r="H118" s="233"/>
      <c r="I118" s="223"/>
      <c r="J118" s="223"/>
      <c r="K118" s="247">
        <v>48</v>
      </c>
      <c r="L118" s="237"/>
      <c r="M118" s="227"/>
      <c r="N118" s="237"/>
      <c r="O118" s="257"/>
      <c r="P118" s="384">
        <v>117</v>
      </c>
      <c r="Q118" s="250">
        <v>0</v>
      </c>
      <c r="R118" s="415">
        <v>0</v>
      </c>
      <c r="S118" s="427">
        <v>0</v>
      </c>
      <c r="T118" s="550">
        <v>0</v>
      </c>
      <c r="U118" s="550"/>
      <c r="V118" s="550"/>
      <c r="W118" s="525">
        <f t="shared" ref="W118" si="75">(V118*X118)</f>
        <v>0</v>
      </c>
      <c r="X118" s="424"/>
      <c r="Y118" s="404">
        <f>IF(D118&lt;&gt;0,($C119*(1-$AA$1))-$D118,0)</f>
        <v>0</v>
      </c>
      <c r="Z118" s="405" t="str">
        <f t="shared" ref="Z118:Z119" si="76">IFERROR(IF(C118&lt;&gt;"",$AB$1/(D116/100)*(C118/100),""),"")</f>
        <v/>
      </c>
      <c r="AA118" s="406" t="str">
        <f t="shared" ref="AA118:AA119" si="77">IFERROR($AC$1/(D118/100)*(C116/100),"")</f>
        <v/>
      </c>
      <c r="AB118" s="517"/>
    </row>
    <row r="119" spans="1:28" ht="12.75" customHeight="1">
      <c r="A119" s="366" t="s">
        <v>219</v>
      </c>
      <c r="B119" s="566">
        <v>100</v>
      </c>
      <c r="C119" s="622">
        <v>43.51</v>
      </c>
      <c r="D119" s="622">
        <v>50</v>
      </c>
      <c r="E119" s="566">
        <v>1000</v>
      </c>
      <c r="F119" s="491"/>
      <c r="G119" s="595"/>
      <c r="H119" s="231"/>
      <c r="I119" s="222"/>
      <c r="J119" s="222"/>
      <c r="K119" s="244">
        <v>46.51</v>
      </c>
      <c r="L119" s="229"/>
      <c r="M119" s="226"/>
      <c r="N119" s="229"/>
      <c r="O119" s="256"/>
      <c r="P119" s="385">
        <v>118</v>
      </c>
      <c r="Q119" s="249">
        <v>0</v>
      </c>
      <c r="R119" s="412">
        <v>0</v>
      </c>
      <c r="S119" s="426">
        <v>0</v>
      </c>
      <c r="T119" s="549">
        <v>0</v>
      </c>
      <c r="U119" s="549"/>
      <c r="V119" s="549">
        <v>0</v>
      </c>
      <c r="W119" s="526">
        <f>V118*(F118/100)</f>
        <v>0</v>
      </c>
      <c r="X119" s="421"/>
      <c r="Y119" s="378" t="str">
        <f>IFERROR(INT(#REF!/(F118/100)),"")</f>
        <v/>
      </c>
      <c r="Z119" s="407">
        <f t="shared" si="76"/>
        <v>95.492042964171034</v>
      </c>
      <c r="AA119" s="408">
        <f t="shared" si="77"/>
        <v>112000</v>
      </c>
      <c r="AB119" s="500"/>
    </row>
    <row r="120" spans="1:28" ht="12.75" customHeight="1">
      <c r="A120" s="484" t="s">
        <v>557</v>
      </c>
      <c r="B120" s="567">
        <v>4600</v>
      </c>
      <c r="C120" s="620">
        <v>45.1</v>
      </c>
      <c r="D120" s="621">
        <v>45.4</v>
      </c>
      <c r="E120" s="571">
        <v>3341</v>
      </c>
      <c r="F120" s="594">
        <v>45.1</v>
      </c>
      <c r="G120" s="502">
        <v>-5.0700000000000002E-2</v>
      </c>
      <c r="H120" s="233">
        <v>47.59</v>
      </c>
      <c r="I120" s="223">
        <v>47.741</v>
      </c>
      <c r="J120" s="223">
        <v>44.5</v>
      </c>
      <c r="K120" s="247">
        <v>47.51</v>
      </c>
      <c r="L120" s="237">
        <v>503426</v>
      </c>
      <c r="M120" s="227">
        <v>1103832</v>
      </c>
      <c r="N120" s="237">
        <v>873</v>
      </c>
      <c r="O120" s="257">
        <v>45434.687638888892</v>
      </c>
      <c r="P120" s="384">
        <v>119</v>
      </c>
      <c r="Q120" s="250">
        <v>0</v>
      </c>
      <c r="R120" s="415">
        <v>0</v>
      </c>
      <c r="S120" s="427">
        <v>0</v>
      </c>
      <c r="T120" s="550">
        <v>0</v>
      </c>
      <c r="U120" s="550"/>
      <c r="V120" s="550"/>
      <c r="W120" s="527">
        <f t="shared" ref="W120" si="78">(V120*X120)</f>
        <v>0</v>
      </c>
      <c r="X120" s="423"/>
      <c r="Y120" s="409">
        <f>IF(D120&lt;&gt;0,($C121*(1-$AA$1))-$D120,0)</f>
        <v>-0.10000000000000142</v>
      </c>
      <c r="Z120" s="410">
        <f t="shared" ref="Z120:Z121" si="79">IFERROR(IF(C120&lt;&gt;"",$AB$1/(D116/100)*(C120/100),""),"")</f>
        <v>99.318251553350876</v>
      </c>
      <c r="AA120" s="411">
        <f t="shared" ref="AA120:AA121" si="80">IFERROR($AC$1/(D120/100)*(C116/100),"")</f>
        <v>121806.16740088107</v>
      </c>
      <c r="AB120" s="517"/>
    </row>
    <row r="121" spans="1:28" ht="12.75" customHeight="1">
      <c r="A121" s="468" t="s">
        <v>220</v>
      </c>
      <c r="B121" s="626">
        <v>757</v>
      </c>
      <c r="C121" s="627">
        <v>45.3</v>
      </c>
      <c r="D121" s="627">
        <v>45.548999999999999</v>
      </c>
      <c r="E121" s="626">
        <v>423</v>
      </c>
      <c r="F121" s="493">
        <v>45.548999999999999</v>
      </c>
      <c r="G121" s="505">
        <v>-4.2999999999999997E-2</v>
      </c>
      <c r="H121" s="469">
        <v>47.05</v>
      </c>
      <c r="I121" s="470">
        <v>47.798999999999999</v>
      </c>
      <c r="J121" s="470">
        <v>45</v>
      </c>
      <c r="K121" s="483">
        <v>47.6</v>
      </c>
      <c r="L121" s="473">
        <v>1553152</v>
      </c>
      <c r="M121" s="472">
        <v>3412734</v>
      </c>
      <c r="N121" s="473">
        <v>1644</v>
      </c>
      <c r="O121" s="474">
        <v>45434.708611111113</v>
      </c>
      <c r="P121" s="385">
        <v>120</v>
      </c>
      <c r="Q121" s="475">
        <v>0</v>
      </c>
      <c r="R121" s="476">
        <v>0</v>
      </c>
      <c r="S121" s="477">
        <v>0</v>
      </c>
      <c r="T121" s="551">
        <v>0</v>
      </c>
      <c r="U121" s="551"/>
      <c r="V121" s="551">
        <v>0</v>
      </c>
      <c r="W121" s="530">
        <f>V120*(F120/100)</f>
        <v>0</v>
      </c>
      <c r="X121" s="435"/>
      <c r="Y121" s="456" t="str">
        <f>IFERROR(INT(#REF!/(F120/100)),"")</f>
        <v/>
      </c>
      <c r="Z121" s="457">
        <f t="shared" si="79"/>
        <v>99.420582539116239</v>
      </c>
      <c r="AA121" s="458">
        <f t="shared" si="80"/>
        <v>122944.52128477025</v>
      </c>
      <c r="AB121" s="500"/>
    </row>
    <row r="122" spans="1:28" ht="12.75" customHeight="1">
      <c r="A122" s="485" t="s">
        <v>561</v>
      </c>
      <c r="B122" s="567">
        <v>94</v>
      </c>
      <c r="C122" s="620">
        <v>60660</v>
      </c>
      <c r="D122" s="621">
        <v>61480</v>
      </c>
      <c r="E122" s="571">
        <v>42</v>
      </c>
      <c r="F122" s="593">
        <v>61190</v>
      </c>
      <c r="G122" s="502">
        <v>4.0999999999999995E-3</v>
      </c>
      <c r="H122" s="232">
        <v>60900</v>
      </c>
      <c r="I122" s="224">
        <v>62790</v>
      </c>
      <c r="J122" s="224">
        <v>60020</v>
      </c>
      <c r="K122" s="246">
        <v>60940</v>
      </c>
      <c r="L122" s="239">
        <v>662145071</v>
      </c>
      <c r="M122" s="228">
        <v>1083397</v>
      </c>
      <c r="N122" s="239">
        <v>444</v>
      </c>
      <c r="O122" s="255">
        <v>45434.68074074074</v>
      </c>
      <c r="P122" s="384">
        <v>121</v>
      </c>
      <c r="Q122" s="251">
        <v>0</v>
      </c>
      <c r="R122" s="413">
        <v>0</v>
      </c>
      <c r="S122" s="425">
        <v>0</v>
      </c>
      <c r="T122" s="548">
        <v>0</v>
      </c>
      <c r="U122" s="548"/>
      <c r="V122" s="548"/>
      <c r="W122" s="524">
        <f t="shared" ref="W122" si="81">(V122*X122)</f>
        <v>0</v>
      </c>
      <c r="X122" s="422"/>
      <c r="Y122" s="399">
        <f>IF(D122&lt;&gt;0,($C123*(1-$AA$1))-$D122,0)</f>
        <v>-580</v>
      </c>
      <c r="Z122" s="400"/>
      <c r="AA122" s="401"/>
      <c r="AB122" s="517"/>
    </row>
    <row r="123" spans="1:28" ht="12.75" customHeight="1">
      <c r="A123" s="366" t="s">
        <v>189</v>
      </c>
      <c r="B123" s="566">
        <v>12394</v>
      </c>
      <c r="C123" s="622">
        <v>60900</v>
      </c>
      <c r="D123" s="622">
        <v>61100</v>
      </c>
      <c r="E123" s="566">
        <v>19853</v>
      </c>
      <c r="F123" s="491">
        <v>60900</v>
      </c>
      <c r="G123" s="503">
        <v>9.7000000000000003E-3</v>
      </c>
      <c r="H123" s="231">
        <v>60500</v>
      </c>
      <c r="I123" s="222">
        <v>62000</v>
      </c>
      <c r="J123" s="222">
        <v>59340</v>
      </c>
      <c r="K123" s="244">
        <v>60310</v>
      </c>
      <c r="L123" s="229">
        <v>2521182754</v>
      </c>
      <c r="M123" s="226">
        <v>4122333</v>
      </c>
      <c r="N123" s="229">
        <v>751</v>
      </c>
      <c r="O123" s="256">
        <v>45434.708611111113</v>
      </c>
      <c r="P123" s="385">
        <v>122</v>
      </c>
      <c r="Q123" s="249">
        <v>0</v>
      </c>
      <c r="R123" s="412">
        <v>0</v>
      </c>
      <c r="S123" s="426">
        <v>0</v>
      </c>
      <c r="T123" s="549">
        <v>0</v>
      </c>
      <c r="U123" s="549"/>
      <c r="V123" s="549">
        <v>0</v>
      </c>
      <c r="W123" s="311">
        <f>V122*(F122/100)</f>
        <v>0</v>
      </c>
      <c r="X123" s="421"/>
      <c r="Y123" s="377" t="str">
        <f>IFERROR(INT(#REF!/(F122/100)),"")</f>
        <v/>
      </c>
      <c r="Z123" s="402"/>
      <c r="AA123" s="403"/>
      <c r="AB123" s="500"/>
    </row>
    <row r="124" spans="1:28" ht="12.75" hidden="1" customHeight="1">
      <c r="A124" s="484" t="s">
        <v>562</v>
      </c>
      <c r="B124" s="567"/>
      <c r="C124" s="620"/>
      <c r="D124" s="621"/>
      <c r="E124" s="571"/>
      <c r="F124" s="593"/>
      <c r="G124" s="502"/>
      <c r="H124" s="233"/>
      <c r="I124" s="223"/>
      <c r="J124" s="223"/>
      <c r="K124" s="247">
        <v>49.18</v>
      </c>
      <c r="L124" s="237"/>
      <c r="M124" s="227"/>
      <c r="N124" s="237"/>
      <c r="O124" s="257"/>
      <c r="P124" s="384">
        <v>123</v>
      </c>
      <c r="Q124" s="250">
        <v>0</v>
      </c>
      <c r="R124" s="415">
        <v>0</v>
      </c>
      <c r="S124" s="427">
        <v>0</v>
      </c>
      <c r="T124" s="550">
        <v>0</v>
      </c>
      <c r="U124" s="550"/>
      <c r="V124" s="550"/>
      <c r="W124" s="525">
        <f t="shared" ref="W124" si="82">(V124*X124)</f>
        <v>0</v>
      </c>
      <c r="X124" s="424"/>
      <c r="Y124" s="404">
        <f>IF(D124&lt;&gt;0,($C125*(1-$AA$1))-$D124,0)</f>
        <v>0</v>
      </c>
      <c r="Z124" s="405" t="str">
        <f t="shared" ref="Z124:Z125" si="83">IFERROR(IF(C124&lt;&gt;"",$AB$1/(D122/100)*(C124/100),""),"")</f>
        <v/>
      </c>
      <c r="AA124" s="406" t="str">
        <f t="shared" ref="AA124:AA125" si="84">IFERROR($AC$1/(D124/100)*(C122/100),"")</f>
        <v/>
      </c>
      <c r="AB124" s="517"/>
    </row>
    <row r="125" spans="1:28" ht="12.75" hidden="1" customHeight="1">
      <c r="A125" s="366" t="s">
        <v>233</v>
      </c>
      <c r="B125" s="566"/>
      <c r="C125" s="622"/>
      <c r="D125" s="622"/>
      <c r="E125" s="566"/>
      <c r="F125" s="491"/>
      <c r="G125" s="595"/>
      <c r="H125" s="231"/>
      <c r="I125" s="222"/>
      <c r="J125" s="222"/>
      <c r="K125" s="244">
        <v>52.3</v>
      </c>
      <c r="L125" s="229"/>
      <c r="M125" s="226"/>
      <c r="N125" s="229"/>
      <c r="O125" s="256"/>
      <c r="P125" s="385">
        <v>124</v>
      </c>
      <c r="Q125" s="249">
        <v>0</v>
      </c>
      <c r="R125" s="412">
        <v>0</v>
      </c>
      <c r="S125" s="426">
        <v>0</v>
      </c>
      <c r="T125" s="549">
        <v>0</v>
      </c>
      <c r="U125" s="549"/>
      <c r="V125" s="549">
        <v>0</v>
      </c>
      <c r="W125" s="526">
        <f>V124*(F124/100)</f>
        <v>0</v>
      </c>
      <c r="X125" s="421"/>
      <c r="Y125" s="378" t="str">
        <f>IFERROR(INT(#REF!/(F124/100)),"")</f>
        <v/>
      </c>
      <c r="Z125" s="407" t="str">
        <f t="shared" si="83"/>
        <v/>
      </c>
      <c r="AA125" s="408" t="str">
        <f t="shared" si="84"/>
        <v/>
      </c>
      <c r="AB125" s="500"/>
    </row>
    <row r="126" spans="1:28" ht="12.75" customHeight="1">
      <c r="A126" s="484" t="s">
        <v>563</v>
      </c>
      <c r="B126" s="567">
        <v>114</v>
      </c>
      <c r="C126" s="620">
        <v>49.93</v>
      </c>
      <c r="D126" s="621">
        <v>51.7</v>
      </c>
      <c r="E126" s="571">
        <v>1200</v>
      </c>
      <c r="F126" s="594">
        <v>50</v>
      </c>
      <c r="G126" s="502">
        <v>-6.5199999999999994E-2</v>
      </c>
      <c r="H126" s="233">
        <v>50.97</v>
      </c>
      <c r="I126" s="223">
        <v>51.3</v>
      </c>
      <c r="J126" s="223">
        <v>49.8</v>
      </c>
      <c r="K126" s="247">
        <v>53.49</v>
      </c>
      <c r="L126" s="237">
        <v>97197</v>
      </c>
      <c r="M126" s="227">
        <v>194037</v>
      </c>
      <c r="N126" s="237">
        <v>313</v>
      </c>
      <c r="O126" s="257">
        <v>45434.680439814816</v>
      </c>
      <c r="P126" s="384">
        <v>125</v>
      </c>
      <c r="Q126" s="250">
        <v>0</v>
      </c>
      <c r="R126" s="415">
        <v>0</v>
      </c>
      <c r="S126" s="427">
        <v>0</v>
      </c>
      <c r="T126" s="550">
        <v>0</v>
      </c>
      <c r="U126" s="550"/>
      <c r="V126" s="550">
        <v>0</v>
      </c>
      <c r="W126" s="527">
        <f t="shared" ref="W126" si="85">(V126*X126)</f>
        <v>0</v>
      </c>
      <c r="X126" s="423"/>
      <c r="Y126" s="409">
        <f>IF(D126&lt;&gt;0,($C127*(1-$AA$1))-$D126,0)</f>
        <v>-1.2000000000000028</v>
      </c>
      <c r="Z126" s="410">
        <f t="shared" ref="Z126:Z127" si="86">IFERROR(IF(C126&lt;&gt;"",$AB$1/(D122/100)*(C126/100),""),"")</f>
        <v>99.92149014778326</v>
      </c>
      <c r="AA126" s="411">
        <f t="shared" ref="AA126:AA127" si="87">IFERROR($AC$1/(D126/100)*(C122/100),"")</f>
        <v>117330.75435203094</v>
      </c>
      <c r="AB126" s="517"/>
    </row>
    <row r="127" spans="1:28" ht="12.75" customHeight="1">
      <c r="A127" s="468" t="s">
        <v>234</v>
      </c>
      <c r="B127" s="626">
        <v>500</v>
      </c>
      <c r="C127" s="627">
        <v>50.5</v>
      </c>
      <c r="D127" s="627">
        <v>51</v>
      </c>
      <c r="E127" s="626">
        <v>25518</v>
      </c>
      <c r="F127" s="493">
        <v>50</v>
      </c>
      <c r="G127" s="505">
        <v>-3.3799999999999997E-2</v>
      </c>
      <c r="H127" s="469">
        <v>51.52</v>
      </c>
      <c r="I127" s="470">
        <v>51.52</v>
      </c>
      <c r="J127" s="470">
        <v>49.110999999999997</v>
      </c>
      <c r="K127" s="483">
        <v>51.75</v>
      </c>
      <c r="L127" s="473">
        <v>134205</v>
      </c>
      <c r="M127" s="472">
        <v>268159</v>
      </c>
      <c r="N127" s="473">
        <v>288</v>
      </c>
      <c r="O127" s="474">
        <v>45434.705833333333</v>
      </c>
      <c r="P127" s="385">
        <v>126</v>
      </c>
      <c r="Q127" s="475">
        <v>0</v>
      </c>
      <c r="R127" s="476">
        <v>0</v>
      </c>
      <c r="S127" s="477">
        <v>0</v>
      </c>
      <c r="T127" s="551">
        <v>0</v>
      </c>
      <c r="U127" s="551"/>
      <c r="V127" s="551">
        <v>0</v>
      </c>
      <c r="W127" s="529">
        <f>V126*(F126/100)</f>
        <v>0</v>
      </c>
      <c r="X127" s="435"/>
      <c r="Y127" s="456" t="str">
        <f>IFERROR(INT(#REF!/(F126/100)),"")</f>
        <v/>
      </c>
      <c r="Z127" s="457">
        <f t="shared" si="86"/>
        <v>101.69072948328268</v>
      </c>
      <c r="AA127" s="458">
        <f t="shared" si="87"/>
        <v>119411.76470588235</v>
      </c>
      <c r="AB127" s="500"/>
    </row>
    <row r="128" spans="1:28" ht="12.75" customHeight="1">
      <c r="A128" s="485" t="s">
        <v>558</v>
      </c>
      <c r="B128" s="567">
        <v>61</v>
      </c>
      <c r="C128" s="620">
        <v>52250</v>
      </c>
      <c r="D128" s="621">
        <v>53500</v>
      </c>
      <c r="E128" s="571">
        <v>852</v>
      </c>
      <c r="F128" s="593">
        <v>53500</v>
      </c>
      <c r="G128" s="502">
        <v>2.7999999999999997E-2</v>
      </c>
      <c r="H128" s="232">
        <v>51640</v>
      </c>
      <c r="I128" s="224">
        <v>53500</v>
      </c>
      <c r="J128" s="224">
        <v>50920</v>
      </c>
      <c r="K128" s="246">
        <v>52040</v>
      </c>
      <c r="L128" s="239">
        <v>112854429</v>
      </c>
      <c r="M128" s="228">
        <v>217129</v>
      </c>
      <c r="N128" s="239">
        <v>408</v>
      </c>
      <c r="O128" s="255">
        <v>45434.685266203705</v>
      </c>
      <c r="P128" s="384">
        <v>127</v>
      </c>
      <c r="Q128" s="251">
        <v>0</v>
      </c>
      <c r="R128" s="413">
        <v>0</v>
      </c>
      <c r="S128" s="425">
        <v>0</v>
      </c>
      <c r="T128" s="548">
        <v>0</v>
      </c>
      <c r="U128" s="548"/>
      <c r="V128" s="548"/>
      <c r="W128" s="524">
        <f t="shared" ref="W128" si="88">(V128*X128)</f>
        <v>0</v>
      </c>
      <c r="X128" s="422"/>
      <c r="Y128" s="399">
        <f>IF(D128&lt;&gt;0,($C129*(1-$AA$1))-$D128,0)</f>
        <v>-1500</v>
      </c>
      <c r="Z128" s="400"/>
      <c r="AA128" s="401"/>
      <c r="AB128" s="517"/>
    </row>
    <row r="129" spans="1:28" ht="12.75" customHeight="1">
      <c r="A129" s="366" t="s">
        <v>187</v>
      </c>
      <c r="B129" s="566">
        <v>193</v>
      </c>
      <c r="C129" s="622">
        <v>52000</v>
      </c>
      <c r="D129" s="622">
        <v>52200</v>
      </c>
      <c r="E129" s="566">
        <v>4940</v>
      </c>
      <c r="F129" s="491">
        <v>52000</v>
      </c>
      <c r="G129" s="503">
        <v>4.7999999999999996E-3</v>
      </c>
      <c r="H129" s="231">
        <v>51750</v>
      </c>
      <c r="I129" s="222">
        <v>52600</v>
      </c>
      <c r="J129" s="222">
        <v>49800</v>
      </c>
      <c r="K129" s="244">
        <v>51750</v>
      </c>
      <c r="L129" s="229">
        <v>2454291127</v>
      </c>
      <c r="M129" s="226">
        <v>4723934</v>
      </c>
      <c r="N129" s="229">
        <v>794</v>
      </c>
      <c r="O129" s="256">
        <v>45434.708472222221</v>
      </c>
      <c r="P129" s="385">
        <v>128</v>
      </c>
      <c r="Q129" s="249">
        <v>0</v>
      </c>
      <c r="R129" s="412">
        <v>0</v>
      </c>
      <c r="S129" s="426">
        <v>0</v>
      </c>
      <c r="T129" s="549">
        <v>0</v>
      </c>
      <c r="U129" s="549"/>
      <c r="V129" s="549">
        <v>0</v>
      </c>
      <c r="W129" s="311">
        <f>V128*(F128/100)</f>
        <v>0</v>
      </c>
      <c r="X129" s="421"/>
      <c r="Y129" s="377" t="str">
        <f>IFERROR(INT(#REF!/(F128/100)),"")</f>
        <v/>
      </c>
      <c r="Z129" s="402"/>
      <c r="AA129" s="403"/>
      <c r="AB129" s="500"/>
    </row>
    <row r="130" spans="1:28" ht="12.75" hidden="1" customHeight="1">
      <c r="A130" s="484" t="s">
        <v>559</v>
      </c>
      <c r="B130" s="567"/>
      <c r="C130" s="620"/>
      <c r="D130" s="621"/>
      <c r="E130" s="571"/>
      <c r="F130" s="593"/>
      <c r="G130" s="502"/>
      <c r="H130" s="233"/>
      <c r="I130" s="223"/>
      <c r="J130" s="223"/>
      <c r="K130" s="247">
        <v>36</v>
      </c>
      <c r="L130" s="237"/>
      <c r="M130" s="227"/>
      <c r="N130" s="237"/>
      <c r="O130" s="257"/>
      <c r="P130" s="384">
        <v>129</v>
      </c>
      <c r="Q130" s="250">
        <v>0</v>
      </c>
      <c r="R130" s="415">
        <v>0</v>
      </c>
      <c r="S130" s="427">
        <v>0</v>
      </c>
      <c r="T130" s="550">
        <v>0</v>
      </c>
      <c r="U130" s="550"/>
      <c r="V130" s="550"/>
      <c r="W130" s="525">
        <f t="shared" ref="W130" si="89">(V130*X130)</f>
        <v>0</v>
      </c>
      <c r="X130" s="424"/>
      <c r="Y130" s="404">
        <f>IF(D130&lt;&gt;0,($C131*(1-$AA$1))-$D130,0)</f>
        <v>0</v>
      </c>
      <c r="Z130" s="405" t="str">
        <f t="shared" ref="Z130:Z131" si="90">IFERROR(IF(C130&lt;&gt;"",$AB$1/(D128/100)*(C130/100),""),"")</f>
        <v/>
      </c>
      <c r="AA130" s="406" t="str">
        <f t="shared" ref="AA130:AA131" si="91">IFERROR($AC$1/(D130/100)*(C128/100),"")</f>
        <v/>
      </c>
      <c r="AB130" s="517"/>
    </row>
    <row r="131" spans="1:28" ht="12.75" hidden="1" customHeight="1">
      <c r="A131" s="366" t="s">
        <v>235</v>
      </c>
      <c r="B131" s="566"/>
      <c r="C131" s="622"/>
      <c r="D131" s="622"/>
      <c r="E131" s="566"/>
      <c r="F131" s="491"/>
      <c r="G131" s="595"/>
      <c r="H131" s="231"/>
      <c r="I131" s="222"/>
      <c r="J131" s="222"/>
      <c r="K131" s="244">
        <v>44.95</v>
      </c>
      <c r="L131" s="229"/>
      <c r="M131" s="226"/>
      <c r="N131" s="229"/>
      <c r="O131" s="256"/>
      <c r="P131" s="385">
        <v>130</v>
      </c>
      <c r="Q131" s="249">
        <v>0</v>
      </c>
      <c r="R131" s="412">
        <v>0</v>
      </c>
      <c r="S131" s="426">
        <v>0</v>
      </c>
      <c r="T131" s="549">
        <v>0</v>
      </c>
      <c r="U131" s="549"/>
      <c r="V131" s="549">
        <v>0</v>
      </c>
      <c r="W131" s="526">
        <f>V130*(F130/100)</f>
        <v>0</v>
      </c>
      <c r="X131" s="421"/>
      <c r="Y131" s="378" t="str">
        <f>IFERROR(INT(#REF!/(F130/100)),"")</f>
        <v/>
      </c>
      <c r="Z131" s="407" t="str">
        <f t="shared" si="90"/>
        <v/>
      </c>
      <c r="AA131" s="408" t="str">
        <f t="shared" si="91"/>
        <v/>
      </c>
      <c r="AB131" s="500"/>
    </row>
    <row r="132" spans="1:28" ht="12.75" customHeight="1">
      <c r="A132" s="484" t="s">
        <v>560</v>
      </c>
      <c r="B132" s="567">
        <v>2000</v>
      </c>
      <c r="C132" s="620">
        <v>42.16</v>
      </c>
      <c r="D132" s="621">
        <v>45</v>
      </c>
      <c r="E132" s="571">
        <v>227</v>
      </c>
      <c r="F132" s="594">
        <v>43.25</v>
      </c>
      <c r="G132" s="502">
        <v>-2.1400000000000002E-2</v>
      </c>
      <c r="H132" s="233">
        <v>43.960999999999999</v>
      </c>
      <c r="I132" s="223">
        <v>43.960999999999999</v>
      </c>
      <c r="J132" s="223">
        <v>42.154000000000003</v>
      </c>
      <c r="K132" s="247">
        <v>44.2</v>
      </c>
      <c r="L132" s="237">
        <v>56960</v>
      </c>
      <c r="M132" s="227">
        <v>132489</v>
      </c>
      <c r="N132" s="237">
        <v>290</v>
      </c>
      <c r="O132" s="257">
        <v>45434.654814814814</v>
      </c>
      <c r="P132" s="384">
        <v>131</v>
      </c>
      <c r="Q132" s="250">
        <v>0</v>
      </c>
      <c r="R132" s="415">
        <v>0</v>
      </c>
      <c r="S132" s="427">
        <v>0</v>
      </c>
      <c r="T132" s="550">
        <v>0</v>
      </c>
      <c r="U132" s="550"/>
      <c r="V132" s="550">
        <v>0</v>
      </c>
      <c r="W132" s="527">
        <f t="shared" ref="W132" si="92">(V132*X132)</f>
        <v>0</v>
      </c>
      <c r="X132" s="423"/>
      <c r="Y132" s="409">
        <f>IF(D132&lt;&gt;0,($C133*(1-$AA$1))-$D132,0)</f>
        <v>-2</v>
      </c>
      <c r="Z132" s="410">
        <f t="shared" ref="Z132:Z133" si="93">IFERROR(IF(C132&lt;&gt;"",$AB$1/(D128/100)*(C132/100),""),"")</f>
        <v>96.956742323097444</v>
      </c>
      <c r="AA132" s="411">
        <f t="shared" ref="AA132:AA133" si="94">IFERROR($AC$1/(D132/100)*(C128/100),"")</f>
        <v>116111.11111111111</v>
      </c>
      <c r="AB132" s="517"/>
    </row>
    <row r="133" spans="1:28" ht="12.75" customHeight="1">
      <c r="A133" s="468" t="s">
        <v>236</v>
      </c>
      <c r="B133" s="626">
        <v>3970</v>
      </c>
      <c r="C133" s="627">
        <v>43</v>
      </c>
      <c r="D133" s="627">
        <v>43.5</v>
      </c>
      <c r="E133" s="626">
        <v>278</v>
      </c>
      <c r="F133" s="493">
        <v>43.5</v>
      </c>
      <c r="G133" s="505">
        <v>-4.9800000000000004E-2</v>
      </c>
      <c r="H133" s="469">
        <v>44.01</v>
      </c>
      <c r="I133" s="470">
        <v>44.01</v>
      </c>
      <c r="J133" s="470">
        <v>42.51</v>
      </c>
      <c r="K133" s="483">
        <v>45.783999999999999</v>
      </c>
      <c r="L133" s="473">
        <v>188511</v>
      </c>
      <c r="M133" s="472">
        <v>438023</v>
      </c>
      <c r="N133" s="473">
        <v>447</v>
      </c>
      <c r="O133" s="474">
        <v>45434.702280092592</v>
      </c>
      <c r="P133" s="385">
        <v>132</v>
      </c>
      <c r="Q133" s="475">
        <v>0</v>
      </c>
      <c r="R133" s="476">
        <v>0</v>
      </c>
      <c r="S133" s="477">
        <v>0</v>
      </c>
      <c r="T133" s="551">
        <v>0</v>
      </c>
      <c r="U133" s="551"/>
      <c r="V133" s="551">
        <v>0</v>
      </c>
      <c r="W133" s="529">
        <f>V132*(F132/100)</f>
        <v>0</v>
      </c>
      <c r="X133" s="435"/>
      <c r="Y133" s="456" t="str">
        <f>IFERROR(INT(#REF!/(F132/100)),"")</f>
        <v/>
      </c>
      <c r="Z133" s="457">
        <f t="shared" si="93"/>
        <v>101.35125889436233</v>
      </c>
      <c r="AA133" s="458">
        <f t="shared" si="94"/>
        <v>119540.22988505747</v>
      </c>
      <c r="AB133" s="500"/>
    </row>
    <row r="134" spans="1:28" ht="12.75" customHeight="1">
      <c r="A134" s="485" t="s">
        <v>564</v>
      </c>
      <c r="B134" s="567">
        <v>100</v>
      </c>
      <c r="C134" s="620">
        <v>57200</v>
      </c>
      <c r="D134" s="621">
        <v>57990</v>
      </c>
      <c r="E134" s="571">
        <v>1979</v>
      </c>
      <c r="F134" s="593">
        <v>57990</v>
      </c>
      <c r="G134" s="502">
        <v>-1.3600000000000001E-2</v>
      </c>
      <c r="H134" s="232">
        <v>58500</v>
      </c>
      <c r="I134" s="224">
        <v>58500</v>
      </c>
      <c r="J134" s="224">
        <v>56120</v>
      </c>
      <c r="K134" s="246">
        <v>58790</v>
      </c>
      <c r="L134" s="239">
        <v>8598877</v>
      </c>
      <c r="M134" s="228">
        <v>15108</v>
      </c>
      <c r="N134" s="239">
        <v>73</v>
      </c>
      <c r="O134" s="255">
        <v>45434.685034722221</v>
      </c>
      <c r="P134" s="384">
        <v>133</v>
      </c>
      <c r="Q134" s="251">
        <v>0</v>
      </c>
      <c r="R134" s="413">
        <v>0</v>
      </c>
      <c r="S134" s="425">
        <v>0</v>
      </c>
      <c r="T134" s="548">
        <v>0</v>
      </c>
      <c r="U134" s="548"/>
      <c r="V134" s="548"/>
      <c r="W134" s="524">
        <f t="shared" ref="W134" si="95">(V134*X134)</f>
        <v>0</v>
      </c>
      <c r="X134" s="422"/>
      <c r="Y134" s="399">
        <f>IF(D134&lt;&gt;0,($C135*(1-$AA$1))-$D134,0)</f>
        <v>-940</v>
      </c>
      <c r="Z134" s="400"/>
      <c r="AA134" s="401"/>
      <c r="AB134" s="517"/>
    </row>
    <row r="135" spans="1:28" ht="12.75" customHeight="1">
      <c r="A135" s="366" t="s">
        <v>188</v>
      </c>
      <c r="B135" s="566">
        <v>21</v>
      </c>
      <c r="C135" s="622">
        <v>57050</v>
      </c>
      <c r="D135" s="622">
        <v>57270</v>
      </c>
      <c r="E135" s="566">
        <v>762</v>
      </c>
      <c r="F135" s="491">
        <v>57270</v>
      </c>
      <c r="G135" s="503">
        <v>-2.2000000000000001E-3</v>
      </c>
      <c r="H135" s="231">
        <v>57600</v>
      </c>
      <c r="I135" s="222">
        <v>58500</v>
      </c>
      <c r="J135" s="222">
        <v>56500</v>
      </c>
      <c r="K135" s="244">
        <v>57400</v>
      </c>
      <c r="L135" s="229">
        <v>64211945</v>
      </c>
      <c r="M135" s="226">
        <v>112233</v>
      </c>
      <c r="N135" s="229">
        <v>338</v>
      </c>
      <c r="O135" s="256">
        <v>45434.705381944441</v>
      </c>
      <c r="P135" s="385">
        <v>134</v>
      </c>
      <c r="Q135" s="249">
        <v>0</v>
      </c>
      <c r="R135" s="412">
        <v>0</v>
      </c>
      <c r="S135" s="426">
        <v>0</v>
      </c>
      <c r="T135" s="549">
        <v>0</v>
      </c>
      <c r="U135" s="549"/>
      <c r="V135" s="549">
        <v>0</v>
      </c>
      <c r="W135" s="311">
        <f>V134*(F134/100)</f>
        <v>0</v>
      </c>
      <c r="X135" s="421"/>
      <c r="Y135" s="377" t="str">
        <f>IFERROR(INT(#REF!/(F134/100)),"")</f>
        <v/>
      </c>
      <c r="Z135" s="402"/>
      <c r="AA135" s="403"/>
      <c r="AB135" s="500"/>
    </row>
    <row r="136" spans="1:28" ht="12.75" hidden="1" customHeight="1">
      <c r="A136" s="484" t="s">
        <v>565</v>
      </c>
      <c r="B136" s="567"/>
      <c r="C136" s="620"/>
      <c r="D136" s="621"/>
      <c r="E136" s="571"/>
      <c r="F136" s="593"/>
      <c r="G136" s="502"/>
      <c r="H136" s="233"/>
      <c r="I136" s="223"/>
      <c r="J136" s="223"/>
      <c r="K136" s="247">
        <v>21</v>
      </c>
      <c r="L136" s="237"/>
      <c r="M136" s="227"/>
      <c r="N136" s="237"/>
      <c r="O136" s="257"/>
      <c r="P136" s="384">
        <v>135</v>
      </c>
      <c r="Q136" s="250">
        <v>0</v>
      </c>
      <c r="R136" s="415">
        <v>0</v>
      </c>
      <c r="S136" s="427">
        <v>0</v>
      </c>
      <c r="T136" s="550">
        <v>0</v>
      </c>
      <c r="U136" s="550"/>
      <c r="V136" s="550"/>
      <c r="W136" s="525">
        <f t="shared" ref="W136" si="96">(V136*X136)</f>
        <v>0</v>
      </c>
      <c r="X136" s="424"/>
      <c r="Y136" s="404">
        <f>IF(D136&lt;&gt;0,($C137*(1-$AA$1))-$D136,0)</f>
        <v>0</v>
      </c>
      <c r="Z136" s="405" t="str">
        <f t="shared" ref="Z136:Z137" si="97">IFERROR(IF(C136&lt;&gt;"",$AB$1/(D134/100)*(C136/100),""),"")</f>
        <v/>
      </c>
      <c r="AA136" s="406" t="str">
        <f t="shared" ref="AA136:AA137" si="98">IFERROR($AC$1/(D136/100)*(C134/100),"")</f>
        <v/>
      </c>
      <c r="AB136" s="517"/>
    </row>
    <row r="137" spans="1:28" ht="12.75" hidden="1" customHeight="1">
      <c r="A137" s="366" t="s">
        <v>275</v>
      </c>
      <c r="B137" s="566"/>
      <c r="C137" s="622"/>
      <c r="D137" s="622"/>
      <c r="E137" s="566"/>
      <c r="F137" s="491"/>
      <c r="G137" s="595"/>
      <c r="H137" s="231"/>
      <c r="I137" s="222"/>
      <c r="J137" s="222"/>
      <c r="K137" s="244">
        <v>25.27</v>
      </c>
      <c r="L137" s="229"/>
      <c r="M137" s="226"/>
      <c r="N137" s="229"/>
      <c r="O137" s="256"/>
      <c r="P137" s="385">
        <v>136</v>
      </c>
      <c r="Q137" s="249">
        <v>0</v>
      </c>
      <c r="R137" s="412">
        <v>0</v>
      </c>
      <c r="S137" s="426">
        <v>0</v>
      </c>
      <c r="T137" s="549">
        <v>0</v>
      </c>
      <c r="U137" s="549"/>
      <c r="V137" s="549">
        <v>0</v>
      </c>
      <c r="W137" s="526">
        <f>V136*(F136/100)</f>
        <v>0</v>
      </c>
      <c r="X137" s="421"/>
      <c r="Y137" s="378" t="str">
        <f>IFERROR(INT(#REF!/(F136/100)),"")</f>
        <v/>
      </c>
      <c r="Z137" s="407" t="str">
        <f t="shared" si="97"/>
        <v/>
      </c>
      <c r="AA137" s="408" t="str">
        <f t="shared" si="98"/>
        <v/>
      </c>
      <c r="AB137" s="500"/>
    </row>
    <row r="138" spans="1:28" ht="12.75" customHeight="1">
      <c r="A138" s="484" t="s">
        <v>566</v>
      </c>
      <c r="B138" s="567">
        <v>204</v>
      </c>
      <c r="C138" s="620">
        <v>46.46</v>
      </c>
      <c r="D138" s="621">
        <v>46.9</v>
      </c>
      <c r="E138" s="571">
        <v>312</v>
      </c>
      <c r="F138" s="594">
        <v>46.46</v>
      </c>
      <c r="G138" s="502">
        <v>-7.4499999999999997E-2</v>
      </c>
      <c r="H138" s="233">
        <v>49</v>
      </c>
      <c r="I138" s="223">
        <v>49</v>
      </c>
      <c r="J138" s="223">
        <v>46.12</v>
      </c>
      <c r="K138" s="247">
        <v>50.2</v>
      </c>
      <c r="L138" s="237">
        <v>6722</v>
      </c>
      <c r="M138" s="227">
        <v>14322</v>
      </c>
      <c r="N138" s="237">
        <v>58</v>
      </c>
      <c r="O138" s="257">
        <v>45434.659016203703</v>
      </c>
      <c r="P138" s="384">
        <v>137</v>
      </c>
      <c r="Q138" s="250">
        <v>0</v>
      </c>
      <c r="R138" s="415">
        <v>0</v>
      </c>
      <c r="S138" s="427">
        <v>0</v>
      </c>
      <c r="T138" s="550">
        <v>0</v>
      </c>
      <c r="U138" s="550"/>
      <c r="V138" s="550">
        <v>0</v>
      </c>
      <c r="W138" s="527">
        <f t="shared" ref="W138" si="99">(V138*X138)</f>
        <v>0</v>
      </c>
      <c r="X138" s="423"/>
      <c r="Y138" s="409">
        <f>IF(D138&lt;&gt;0,($C139*(1-$AA$1))-$D138,0)</f>
        <v>-0.37999999999999545</v>
      </c>
      <c r="Z138" s="410">
        <f t="shared" ref="Z138:Z139" si="100">IFERROR(IF(C138&lt;&gt;"",$AB$1/(D134/100)*(C138/100),""),"")</f>
        <v>98.57284507181042</v>
      </c>
      <c r="AA138" s="411">
        <f t="shared" ref="AA138:AA139" si="101">IFERROR($AC$1/(D138/100)*(C134/100),"")</f>
        <v>121961.62046908317</v>
      </c>
      <c r="AB138" s="517"/>
    </row>
    <row r="139" spans="1:28" ht="12.75" customHeight="1">
      <c r="A139" s="468" t="s">
        <v>276</v>
      </c>
      <c r="B139" s="626">
        <v>1219</v>
      </c>
      <c r="C139" s="627">
        <v>46.52</v>
      </c>
      <c r="D139" s="627">
        <v>48.35</v>
      </c>
      <c r="E139" s="626">
        <v>1781</v>
      </c>
      <c r="F139" s="493">
        <v>46.5</v>
      </c>
      <c r="G139" s="505">
        <v>-6.4500000000000002E-2</v>
      </c>
      <c r="H139" s="469">
        <v>49.000999999999998</v>
      </c>
      <c r="I139" s="470">
        <v>49.000999999999998</v>
      </c>
      <c r="J139" s="470">
        <v>45.12</v>
      </c>
      <c r="K139" s="483">
        <v>49.71</v>
      </c>
      <c r="L139" s="473">
        <v>40471</v>
      </c>
      <c r="M139" s="472">
        <v>86892</v>
      </c>
      <c r="N139" s="473">
        <v>155</v>
      </c>
      <c r="O139" s="474">
        <v>45434.699062500003</v>
      </c>
      <c r="P139" s="385">
        <v>138</v>
      </c>
      <c r="Q139" s="475">
        <v>0</v>
      </c>
      <c r="R139" s="476">
        <v>0</v>
      </c>
      <c r="S139" s="477">
        <v>0</v>
      </c>
      <c r="T139" s="551">
        <v>0</v>
      </c>
      <c r="U139" s="551"/>
      <c r="V139" s="551">
        <v>0</v>
      </c>
      <c r="W139" s="529">
        <f>V138*(F138/100)</f>
        <v>0</v>
      </c>
      <c r="X139" s="435"/>
      <c r="Y139" s="456" t="str">
        <f>IFERROR(INT(#REF!/(F138/100)),"")</f>
        <v/>
      </c>
      <c r="Z139" s="457">
        <f t="shared" si="100"/>
        <v>99.941006261069106</v>
      </c>
      <c r="AA139" s="458">
        <f t="shared" si="101"/>
        <v>117993.79524301965</v>
      </c>
      <c r="AB139" s="500"/>
    </row>
    <row r="140" spans="1:28" ht="12.75" customHeight="1">
      <c r="A140" s="485" t="s">
        <v>567</v>
      </c>
      <c r="B140" s="567"/>
      <c r="C140" s="620"/>
      <c r="D140" s="621"/>
      <c r="E140" s="571"/>
      <c r="F140" s="593"/>
      <c r="G140" s="502"/>
      <c r="H140" s="232"/>
      <c r="I140" s="224"/>
      <c r="J140" s="224"/>
      <c r="K140" s="246"/>
      <c r="L140" s="239"/>
      <c r="M140" s="228"/>
      <c r="N140" s="239"/>
      <c r="O140" s="255"/>
      <c r="P140" s="384">
        <v>139</v>
      </c>
      <c r="Q140" s="251">
        <v>0</v>
      </c>
      <c r="R140" s="413">
        <v>0</v>
      </c>
      <c r="S140" s="425">
        <v>0</v>
      </c>
      <c r="T140" s="548">
        <v>0</v>
      </c>
      <c r="U140" s="548"/>
      <c r="V140" s="548"/>
      <c r="W140" s="524">
        <f t="shared" ref="W140" si="102">(V140*X140)</f>
        <v>0</v>
      </c>
      <c r="X140" s="422"/>
      <c r="Y140" s="399">
        <f>IF(D140&lt;&gt;0,($C141*(1-$AA$1))-$D140,0)</f>
        <v>0</v>
      </c>
      <c r="Z140" s="400"/>
      <c r="AA140" s="401"/>
      <c r="AB140" s="517"/>
    </row>
    <row r="141" spans="1:28" ht="12.75" customHeight="1">
      <c r="A141" s="366" t="s">
        <v>568</v>
      </c>
      <c r="B141" s="566"/>
      <c r="C141" s="622"/>
      <c r="D141" s="622"/>
      <c r="E141" s="566"/>
      <c r="F141" s="491"/>
      <c r="G141" s="503"/>
      <c r="H141" s="231"/>
      <c r="I141" s="222"/>
      <c r="J141" s="222"/>
      <c r="K141" s="244"/>
      <c r="L141" s="229"/>
      <c r="M141" s="226"/>
      <c r="N141" s="229"/>
      <c r="O141" s="256"/>
      <c r="P141" s="385">
        <v>140</v>
      </c>
      <c r="Q141" s="249">
        <v>0</v>
      </c>
      <c r="R141" s="412">
        <v>0</v>
      </c>
      <c r="S141" s="426">
        <v>0</v>
      </c>
      <c r="T141" s="549">
        <v>0</v>
      </c>
      <c r="U141" s="549"/>
      <c r="V141" s="549">
        <v>0</v>
      </c>
      <c r="W141" s="311">
        <f>V140*(F140/100)</f>
        <v>0</v>
      </c>
      <c r="X141" s="421"/>
      <c r="Y141" s="377" t="str">
        <f>IFERROR(INT(#REF!/(F140/100)),"")</f>
        <v/>
      </c>
      <c r="Z141" s="402"/>
      <c r="AA141" s="403"/>
      <c r="AB141" s="500"/>
    </row>
    <row r="142" spans="1:28" ht="12.75" customHeight="1">
      <c r="A142" s="484" t="s">
        <v>569</v>
      </c>
      <c r="B142" s="567"/>
      <c r="C142" s="620"/>
      <c r="D142" s="621"/>
      <c r="E142" s="571"/>
      <c r="F142" s="593"/>
      <c r="G142" s="502"/>
      <c r="H142" s="233"/>
      <c r="I142" s="223"/>
      <c r="J142" s="223"/>
      <c r="K142" s="247"/>
      <c r="L142" s="237"/>
      <c r="M142" s="227"/>
      <c r="N142" s="237"/>
      <c r="O142" s="257"/>
      <c r="P142" s="384">
        <v>141</v>
      </c>
      <c r="Q142" s="250">
        <v>0</v>
      </c>
      <c r="R142" s="415">
        <v>0</v>
      </c>
      <c r="S142" s="427">
        <v>0</v>
      </c>
      <c r="T142" s="550">
        <v>0</v>
      </c>
      <c r="U142" s="550"/>
      <c r="V142" s="550"/>
      <c r="W142" s="525">
        <f t="shared" ref="W142" si="103">(V142*X142)</f>
        <v>0</v>
      </c>
      <c r="X142" s="424"/>
      <c r="Y142" s="404">
        <f>IF(D142&lt;&gt;0,($C143*(1-$AA$1))-$D142,0)</f>
        <v>0</v>
      </c>
      <c r="Z142" s="405" t="str">
        <f t="shared" ref="Z142:Z143" si="104">IFERROR(IF(C142&lt;&gt;"",$AB$1/(D140/100)*(C142/100),""),"")</f>
        <v/>
      </c>
      <c r="AA142" s="406" t="str">
        <f t="shared" ref="AA142:AA143" si="105">IFERROR($AC$1/(D142/100)*(C140/100),"")</f>
        <v/>
      </c>
      <c r="AB142" s="517"/>
    </row>
    <row r="143" spans="1:28" ht="12.75" customHeight="1">
      <c r="A143" s="366" t="s">
        <v>570</v>
      </c>
      <c r="B143" s="566"/>
      <c r="C143" s="622"/>
      <c r="D143" s="622"/>
      <c r="E143" s="566"/>
      <c r="F143" s="491"/>
      <c r="G143" s="595"/>
      <c r="H143" s="231"/>
      <c r="I143" s="222"/>
      <c r="J143" s="222"/>
      <c r="K143" s="244"/>
      <c r="L143" s="229"/>
      <c r="M143" s="226"/>
      <c r="N143" s="229"/>
      <c r="O143" s="256"/>
      <c r="P143" s="385">
        <v>142</v>
      </c>
      <c r="Q143" s="249">
        <v>0</v>
      </c>
      <c r="R143" s="412">
        <v>0</v>
      </c>
      <c r="S143" s="426">
        <v>0</v>
      </c>
      <c r="T143" s="549">
        <v>0</v>
      </c>
      <c r="U143" s="549"/>
      <c r="V143" s="549">
        <v>0</v>
      </c>
      <c r="W143" s="526">
        <f>V142*(F142/100)</f>
        <v>0</v>
      </c>
      <c r="X143" s="421"/>
      <c r="Y143" s="378" t="str">
        <f>IFERROR(INT(#REF!/(F142/100)),"")</f>
        <v/>
      </c>
      <c r="Z143" s="407" t="str">
        <f t="shared" si="104"/>
        <v/>
      </c>
      <c r="AA143" s="408" t="str">
        <f t="shared" si="105"/>
        <v/>
      </c>
      <c r="AB143" s="500"/>
    </row>
    <row r="144" spans="1:28" ht="12.75" customHeight="1">
      <c r="A144" s="484" t="s">
        <v>571</v>
      </c>
      <c r="B144" s="567"/>
      <c r="C144" s="620"/>
      <c r="D144" s="621"/>
      <c r="E144" s="571"/>
      <c r="F144" s="594"/>
      <c r="G144" s="502"/>
      <c r="H144" s="233"/>
      <c r="I144" s="223"/>
      <c r="J144" s="223"/>
      <c r="K144" s="247"/>
      <c r="L144" s="237"/>
      <c r="M144" s="227"/>
      <c r="N144" s="237"/>
      <c r="O144" s="257"/>
      <c r="P144" s="384">
        <v>143</v>
      </c>
      <c r="Q144" s="250">
        <v>0</v>
      </c>
      <c r="R144" s="415">
        <v>0</v>
      </c>
      <c r="S144" s="427">
        <v>0</v>
      </c>
      <c r="T144" s="550">
        <v>0</v>
      </c>
      <c r="U144" s="550"/>
      <c r="V144" s="550"/>
      <c r="W144" s="527">
        <f t="shared" ref="W144" si="106">(V144*X144)</f>
        <v>0</v>
      </c>
      <c r="X144" s="423"/>
      <c r="Y144" s="409">
        <f>IF(D144&lt;&gt;0,($C145*(1-$AA$1))-$D144,0)</f>
        <v>0</v>
      </c>
      <c r="Z144" s="410" t="str">
        <f t="shared" ref="Z144:Z145" si="107">IFERROR(IF(C144&lt;&gt;"",$AB$1/(D140/100)*(C144/100),""),"")</f>
        <v/>
      </c>
      <c r="AA144" s="411" t="str">
        <f t="shared" ref="AA144:AA145" si="108">IFERROR($AC$1/(D144/100)*(C140/100),"")</f>
        <v/>
      </c>
      <c r="AB144" s="517"/>
    </row>
    <row r="145" spans="1:28" ht="12.75" customHeight="1">
      <c r="A145" s="468" t="s">
        <v>572</v>
      </c>
      <c r="B145" s="626"/>
      <c r="C145" s="627"/>
      <c r="D145" s="627"/>
      <c r="E145" s="626"/>
      <c r="F145" s="493"/>
      <c r="G145" s="505"/>
      <c r="H145" s="469"/>
      <c r="I145" s="470"/>
      <c r="J145" s="470"/>
      <c r="K145" s="483"/>
      <c r="L145" s="473"/>
      <c r="M145" s="472"/>
      <c r="N145" s="473"/>
      <c r="O145" s="474"/>
      <c r="P145" s="385">
        <v>144</v>
      </c>
      <c r="Q145" s="475">
        <v>0</v>
      </c>
      <c r="R145" s="476">
        <v>0</v>
      </c>
      <c r="S145" s="477">
        <v>0</v>
      </c>
      <c r="T145" s="551">
        <v>0</v>
      </c>
      <c r="U145" s="551"/>
      <c r="V145" s="551">
        <v>0</v>
      </c>
      <c r="W145" s="529">
        <f>V144*(F144/100)</f>
        <v>0</v>
      </c>
      <c r="X145" s="435"/>
      <c r="Y145" s="456" t="str">
        <f>IFERROR(INT(#REF!/(F144/100)),"")</f>
        <v/>
      </c>
      <c r="Z145" s="457" t="str">
        <f t="shared" si="107"/>
        <v/>
      </c>
      <c r="AA145" s="458" t="str">
        <f t="shared" si="108"/>
        <v/>
      </c>
      <c r="AB145" s="500"/>
    </row>
    <row r="146" spans="1:28" ht="12.75" customHeight="1">
      <c r="A146" s="485" t="s">
        <v>534</v>
      </c>
      <c r="B146" s="567">
        <v>378</v>
      </c>
      <c r="C146" s="620">
        <v>55410</v>
      </c>
      <c r="D146" s="621">
        <v>55900</v>
      </c>
      <c r="E146" s="571">
        <v>45</v>
      </c>
      <c r="F146" s="593">
        <v>55450</v>
      </c>
      <c r="G146" s="502">
        <v>1.6799999999999999E-2</v>
      </c>
      <c r="H146" s="232">
        <v>55990</v>
      </c>
      <c r="I146" s="224">
        <v>56000</v>
      </c>
      <c r="J146" s="224">
        <v>53900</v>
      </c>
      <c r="K146" s="246">
        <v>54530</v>
      </c>
      <c r="L146" s="239">
        <v>51369478</v>
      </c>
      <c r="M146" s="228">
        <v>92353</v>
      </c>
      <c r="N146" s="239">
        <v>212</v>
      </c>
      <c r="O146" s="255">
        <v>45434.683067129627</v>
      </c>
      <c r="P146" s="384">
        <v>145</v>
      </c>
      <c r="Q146" s="251">
        <v>0</v>
      </c>
      <c r="R146" s="413">
        <v>0</v>
      </c>
      <c r="S146" s="425">
        <v>0</v>
      </c>
      <c r="T146" s="548">
        <v>0</v>
      </c>
      <c r="U146" s="548"/>
      <c r="V146" s="548">
        <v>0</v>
      </c>
      <c r="W146" s="524">
        <f t="shared" ref="W146" si="109">(V146*X146)</f>
        <v>0</v>
      </c>
      <c r="X146" s="422"/>
      <c r="Y146" s="399">
        <f>IF(D146&lt;&gt;0,($C147*(1-$AA$1))-$D146,0)</f>
        <v>-300</v>
      </c>
      <c r="Z146" s="400"/>
      <c r="AA146" s="401"/>
      <c r="AB146" s="517"/>
    </row>
    <row r="147" spans="1:28" ht="12.75" customHeight="1">
      <c r="A147" s="366" t="s">
        <v>535</v>
      </c>
      <c r="B147" s="566">
        <v>1585</v>
      </c>
      <c r="C147" s="622">
        <v>55600</v>
      </c>
      <c r="D147" s="622">
        <v>55840</v>
      </c>
      <c r="E147" s="566">
        <v>39535</v>
      </c>
      <c r="F147" s="491">
        <v>55840</v>
      </c>
      <c r="G147" s="503">
        <v>1.7100000000000001E-2</v>
      </c>
      <c r="H147" s="231">
        <v>54590</v>
      </c>
      <c r="I147" s="222">
        <v>56650</v>
      </c>
      <c r="J147" s="222">
        <v>53800</v>
      </c>
      <c r="K147" s="244">
        <v>54900</v>
      </c>
      <c r="L147" s="229">
        <v>898288364</v>
      </c>
      <c r="M147" s="226">
        <v>1613519</v>
      </c>
      <c r="N147" s="229">
        <v>686</v>
      </c>
      <c r="O147" s="256">
        <v>45434.708379629628</v>
      </c>
      <c r="P147" s="385">
        <v>146</v>
      </c>
      <c r="Q147" s="249">
        <v>0</v>
      </c>
      <c r="R147" s="412">
        <v>0</v>
      </c>
      <c r="S147" s="426">
        <v>0</v>
      </c>
      <c r="T147" s="549">
        <v>0</v>
      </c>
      <c r="U147" s="549"/>
      <c r="V147" s="549">
        <v>0</v>
      </c>
      <c r="W147" s="311">
        <f>V146*(F146/100)</f>
        <v>0</v>
      </c>
      <c r="X147" s="421"/>
      <c r="Y147" s="377" t="str">
        <f>IFERROR(INT(#REF!/(F146/100)),"")</f>
        <v/>
      </c>
      <c r="Z147" s="402"/>
      <c r="AA147" s="403"/>
      <c r="AB147" s="500"/>
    </row>
    <row r="148" spans="1:28" ht="12.75" hidden="1" customHeight="1">
      <c r="A148" s="484" t="s">
        <v>536</v>
      </c>
      <c r="B148" s="567"/>
      <c r="C148" s="620"/>
      <c r="D148" s="621"/>
      <c r="E148" s="571"/>
      <c r="F148" s="593"/>
      <c r="G148" s="502"/>
      <c r="H148" s="233"/>
      <c r="I148" s="223"/>
      <c r="J148" s="223"/>
      <c r="K148" s="247">
        <v>38.42</v>
      </c>
      <c r="L148" s="237"/>
      <c r="M148" s="227"/>
      <c r="N148" s="237"/>
      <c r="O148" s="257"/>
      <c r="P148" s="384">
        <v>147</v>
      </c>
      <c r="Q148" s="250">
        <v>0</v>
      </c>
      <c r="R148" s="415">
        <v>0</v>
      </c>
      <c r="S148" s="427">
        <v>0</v>
      </c>
      <c r="T148" s="550">
        <v>0</v>
      </c>
      <c r="U148" s="550"/>
      <c r="V148" s="550"/>
      <c r="W148" s="525">
        <f t="shared" ref="W148" si="110">(V148*X148)</f>
        <v>0</v>
      </c>
      <c r="X148" s="424"/>
      <c r="Y148" s="404">
        <f>IF(D148&lt;&gt;0,($C149*(1-$AA$1))-$D148,0)</f>
        <v>0</v>
      </c>
      <c r="Z148" s="405" t="str">
        <f t="shared" ref="Z148:Z149" si="111">IFERROR(IF(C148&lt;&gt;"",$AB$1/(D146/100)*(C148/100),""),"")</f>
        <v/>
      </c>
      <c r="AA148" s="406" t="str">
        <f t="shared" ref="AA148:AA149" si="112">IFERROR($AC$1/(D148/100)*(C146/100),"")</f>
        <v/>
      </c>
      <c r="AB148" s="517"/>
    </row>
    <row r="149" spans="1:28" ht="12.75" hidden="1" customHeight="1">
      <c r="A149" s="366" t="s">
        <v>537</v>
      </c>
      <c r="B149" s="566"/>
      <c r="C149" s="622"/>
      <c r="D149" s="622"/>
      <c r="E149" s="566"/>
      <c r="F149" s="491"/>
      <c r="G149" s="595"/>
      <c r="H149" s="231"/>
      <c r="I149" s="222"/>
      <c r="J149" s="222"/>
      <c r="K149" s="244">
        <v>44</v>
      </c>
      <c r="L149" s="229"/>
      <c r="M149" s="226"/>
      <c r="N149" s="229"/>
      <c r="O149" s="256"/>
      <c r="P149" s="385">
        <v>148</v>
      </c>
      <c r="Q149" s="249">
        <v>0</v>
      </c>
      <c r="R149" s="412">
        <v>0</v>
      </c>
      <c r="S149" s="426">
        <v>0</v>
      </c>
      <c r="T149" s="549">
        <v>0</v>
      </c>
      <c r="U149" s="549"/>
      <c r="V149" s="549">
        <v>0</v>
      </c>
      <c r="W149" s="526">
        <f>V148*(F148/100)</f>
        <v>0</v>
      </c>
      <c r="X149" s="421"/>
      <c r="Y149" s="378" t="str">
        <f>IFERROR(INT(#REF!/(F148/100)),"")</f>
        <v/>
      </c>
      <c r="Z149" s="407" t="str">
        <f t="shared" si="111"/>
        <v/>
      </c>
      <c r="AA149" s="408" t="str">
        <f t="shared" si="112"/>
        <v/>
      </c>
      <c r="AB149" s="500"/>
    </row>
    <row r="150" spans="1:28" ht="12.75" customHeight="1">
      <c r="A150" s="484" t="s">
        <v>538</v>
      </c>
      <c r="B150" s="567">
        <v>1219</v>
      </c>
      <c r="C150" s="620">
        <v>45.6</v>
      </c>
      <c r="D150" s="621">
        <v>46.427999999999997</v>
      </c>
      <c r="E150" s="571">
        <v>1023</v>
      </c>
      <c r="F150" s="594">
        <v>45.798999999999999</v>
      </c>
      <c r="G150" s="502">
        <v>-2.4500000000000001E-2</v>
      </c>
      <c r="H150" s="233">
        <v>46.86</v>
      </c>
      <c r="I150" s="223">
        <v>46.875999999999998</v>
      </c>
      <c r="J150" s="223">
        <v>45.01</v>
      </c>
      <c r="K150" s="247">
        <v>46.951000000000001</v>
      </c>
      <c r="L150" s="237">
        <v>9911</v>
      </c>
      <c r="M150" s="227">
        <v>21606</v>
      </c>
      <c r="N150" s="237">
        <v>38</v>
      </c>
      <c r="O150" s="257">
        <v>45434.687627314815</v>
      </c>
      <c r="P150" s="384">
        <v>149</v>
      </c>
      <c r="Q150" s="250">
        <v>0</v>
      </c>
      <c r="R150" s="415">
        <v>0</v>
      </c>
      <c r="S150" s="427">
        <v>0</v>
      </c>
      <c r="T150" s="550">
        <v>0</v>
      </c>
      <c r="U150" s="550"/>
      <c r="V150" s="550">
        <v>0</v>
      </c>
      <c r="W150" s="527">
        <f t="shared" ref="W150" si="113">(V150*X150)</f>
        <v>0</v>
      </c>
      <c r="X150" s="423"/>
      <c r="Y150" s="409">
        <f>IF(D150&lt;&gt;0,($C151*(1-$AA$1))-$D150,0)</f>
        <v>-0.87800000000000011</v>
      </c>
      <c r="Z150" s="410">
        <f t="shared" ref="Z150:Z151" si="114">IFERROR(IF(C150&lt;&gt;"",$AB$1/(D146/100)*(C150/100),""),"")</f>
        <v>100.36544850498338</v>
      </c>
      <c r="AA150" s="411">
        <f t="shared" ref="AA150:AA151" si="115">IFERROR($AC$1/(D150/100)*(C146/100),"")</f>
        <v>119346.08425949859</v>
      </c>
      <c r="AB150" s="517"/>
    </row>
    <row r="151" spans="1:28" ht="12.75" customHeight="1">
      <c r="A151" s="468" t="s">
        <v>539</v>
      </c>
      <c r="B151" s="626">
        <v>600</v>
      </c>
      <c r="C151" s="627">
        <v>45.55</v>
      </c>
      <c r="D151" s="627">
        <v>45.89</v>
      </c>
      <c r="E151" s="626">
        <v>3363</v>
      </c>
      <c r="F151" s="493">
        <v>45.89</v>
      </c>
      <c r="G151" s="505">
        <v>-2.07E-2</v>
      </c>
      <c r="H151" s="469">
        <v>46.89</v>
      </c>
      <c r="I151" s="470">
        <v>46.89</v>
      </c>
      <c r="J151" s="470">
        <v>45.5</v>
      </c>
      <c r="K151" s="483">
        <v>46.860999999999997</v>
      </c>
      <c r="L151" s="473">
        <v>16706</v>
      </c>
      <c r="M151" s="472">
        <v>36412</v>
      </c>
      <c r="N151" s="473">
        <v>92</v>
      </c>
      <c r="O151" s="474">
        <v>45434.705914351849</v>
      </c>
      <c r="P151" s="385">
        <v>150</v>
      </c>
      <c r="Q151" s="475">
        <v>0</v>
      </c>
      <c r="R151" s="476">
        <v>0</v>
      </c>
      <c r="S151" s="477">
        <v>0</v>
      </c>
      <c r="T151" s="551">
        <v>0</v>
      </c>
      <c r="U151" s="551"/>
      <c r="V151" s="551">
        <v>0</v>
      </c>
      <c r="W151" s="529">
        <f>V150*(F150/100)</f>
        <v>0</v>
      </c>
      <c r="X151" s="435"/>
      <c r="Y151" s="456" t="str">
        <f>IFERROR(INT(#REF!/(F150/100)),"")</f>
        <v/>
      </c>
      <c r="Z151" s="457">
        <f t="shared" si="114"/>
        <v>100.36312295333606</v>
      </c>
      <c r="AA151" s="458">
        <f t="shared" si="115"/>
        <v>121159.29396382652</v>
      </c>
      <c r="AB151" s="500"/>
    </row>
    <row r="152" spans="1:28" ht="12.75" customHeight="1">
      <c r="A152" s="485" t="s">
        <v>573</v>
      </c>
      <c r="B152" s="567"/>
      <c r="C152" s="620"/>
      <c r="D152" s="621"/>
      <c r="E152" s="571"/>
      <c r="F152" s="593"/>
      <c r="G152" s="502"/>
      <c r="H152" s="232"/>
      <c r="I152" s="224"/>
      <c r="J152" s="224"/>
      <c r="K152" s="246"/>
      <c r="L152" s="239"/>
      <c r="M152" s="228"/>
      <c r="N152" s="239"/>
      <c r="O152" s="255"/>
      <c r="P152" s="384">
        <v>151</v>
      </c>
      <c r="Q152" s="251"/>
      <c r="R152" s="413">
        <v>0</v>
      </c>
      <c r="S152" s="425">
        <v>0</v>
      </c>
      <c r="T152" s="548">
        <v>0</v>
      </c>
      <c r="U152" s="548"/>
      <c r="V152" s="548">
        <v>0</v>
      </c>
      <c r="W152" s="524">
        <f t="shared" ref="W152" si="116">(V152*X152)</f>
        <v>0</v>
      </c>
      <c r="X152" s="422"/>
      <c r="Y152" s="399">
        <f>IF(D152&lt;&gt;0,($C153*(1-$AA$1))-$D152,0)</f>
        <v>0</v>
      </c>
      <c r="Z152" s="400"/>
      <c r="AA152" s="401"/>
      <c r="AB152" s="517"/>
    </row>
    <row r="153" spans="1:28" ht="12.75" customHeight="1">
      <c r="A153" s="366" t="s">
        <v>574</v>
      </c>
      <c r="B153" s="566"/>
      <c r="C153" s="622"/>
      <c r="D153" s="622"/>
      <c r="E153" s="566"/>
      <c r="F153" s="491"/>
      <c r="G153" s="503"/>
      <c r="H153" s="231"/>
      <c r="I153" s="222"/>
      <c r="J153" s="222"/>
      <c r="K153" s="244"/>
      <c r="L153" s="229"/>
      <c r="M153" s="226"/>
      <c r="N153" s="229"/>
      <c r="O153" s="256"/>
      <c r="P153" s="385">
        <v>152</v>
      </c>
      <c r="Q153" s="249"/>
      <c r="R153" s="412">
        <v>0</v>
      </c>
      <c r="S153" s="426">
        <v>0</v>
      </c>
      <c r="T153" s="549">
        <v>0</v>
      </c>
      <c r="U153" s="549"/>
      <c r="V153" s="549">
        <v>0</v>
      </c>
      <c r="W153" s="311">
        <f>V152*(F152/100)</f>
        <v>0</v>
      </c>
      <c r="X153" s="421"/>
      <c r="Y153" s="377" t="str">
        <f>IFERROR(INT(#REF!/(F152/100)),"")</f>
        <v/>
      </c>
      <c r="Z153" s="402"/>
      <c r="AA153" s="403"/>
      <c r="AB153" s="500"/>
    </row>
    <row r="154" spans="1:28" ht="12.75" hidden="1" customHeight="1">
      <c r="A154" s="484" t="s">
        <v>575</v>
      </c>
      <c r="B154" s="567"/>
      <c r="C154" s="620"/>
      <c r="D154" s="621"/>
      <c r="E154" s="571"/>
      <c r="F154" s="593"/>
      <c r="G154" s="502"/>
      <c r="H154" s="233"/>
      <c r="I154" s="223"/>
      <c r="J154" s="223"/>
      <c r="K154" s="247"/>
      <c r="L154" s="237"/>
      <c r="M154" s="227"/>
      <c r="N154" s="237"/>
      <c r="O154" s="257"/>
      <c r="P154" s="384">
        <v>153</v>
      </c>
      <c r="Q154" s="250"/>
      <c r="R154" s="415">
        <v>0</v>
      </c>
      <c r="S154" s="427">
        <v>0</v>
      </c>
      <c r="T154" s="550">
        <v>0</v>
      </c>
      <c r="U154" s="550"/>
      <c r="V154" s="550"/>
      <c r="W154" s="525">
        <f t="shared" ref="W154" si="117">(V154*X154)</f>
        <v>0</v>
      </c>
      <c r="X154" s="424"/>
      <c r="Y154" s="404">
        <f>IF(D154&lt;&gt;0,($C155*(1-$AA$1))-$D154,0)</f>
        <v>0</v>
      </c>
      <c r="Z154" s="405" t="str">
        <f t="shared" ref="Z154:Z155" si="118">IFERROR(IF(C154&lt;&gt;"",$AB$1/(D152/100)*(C154/100),""),"")</f>
        <v/>
      </c>
      <c r="AA154" s="406" t="str">
        <f t="shared" ref="AA154:AA155" si="119">IFERROR($AC$1/(D154/100)*(C152/100),"")</f>
        <v/>
      </c>
      <c r="AB154" s="517"/>
    </row>
    <row r="155" spans="1:28" ht="12.75" hidden="1" customHeight="1">
      <c r="A155" s="366" t="s">
        <v>576</v>
      </c>
      <c r="B155" s="566"/>
      <c r="C155" s="622"/>
      <c r="D155" s="622"/>
      <c r="E155" s="566"/>
      <c r="F155" s="491"/>
      <c r="G155" s="595"/>
      <c r="H155" s="231"/>
      <c r="I155" s="222"/>
      <c r="J155" s="222"/>
      <c r="K155" s="244"/>
      <c r="L155" s="229"/>
      <c r="M155" s="226"/>
      <c r="N155" s="229"/>
      <c r="O155" s="256"/>
      <c r="P155" s="385">
        <v>154</v>
      </c>
      <c r="Q155" s="249"/>
      <c r="R155" s="412">
        <v>0</v>
      </c>
      <c r="S155" s="426">
        <v>0</v>
      </c>
      <c r="T155" s="549">
        <v>0</v>
      </c>
      <c r="U155" s="549"/>
      <c r="V155" s="549">
        <v>0</v>
      </c>
      <c r="W155" s="526">
        <f>V154*(F154/100)</f>
        <v>0</v>
      </c>
      <c r="X155" s="421"/>
      <c r="Y155" s="378" t="str">
        <f>IFERROR(INT(#REF!/(F154/100)),"")</f>
        <v/>
      </c>
      <c r="Z155" s="407" t="str">
        <f t="shared" si="118"/>
        <v/>
      </c>
      <c r="AA155" s="408" t="str">
        <f t="shared" si="119"/>
        <v/>
      </c>
      <c r="AB155" s="500"/>
    </row>
    <row r="156" spans="1:28" ht="12.75" customHeight="1">
      <c r="A156" s="484" t="s">
        <v>577</v>
      </c>
      <c r="B156" s="567"/>
      <c r="C156" s="620"/>
      <c r="D156" s="621"/>
      <c r="E156" s="571"/>
      <c r="F156" s="594"/>
      <c r="G156" s="502"/>
      <c r="H156" s="233"/>
      <c r="I156" s="223"/>
      <c r="J156" s="223"/>
      <c r="K156" s="247"/>
      <c r="L156" s="237"/>
      <c r="M156" s="227"/>
      <c r="N156" s="237"/>
      <c r="O156" s="257"/>
      <c r="P156" s="384">
        <v>155</v>
      </c>
      <c r="Q156" s="250"/>
      <c r="R156" s="415">
        <v>0</v>
      </c>
      <c r="S156" s="427">
        <v>0</v>
      </c>
      <c r="T156" s="550">
        <v>0</v>
      </c>
      <c r="U156" s="550"/>
      <c r="V156" s="550"/>
      <c r="W156" s="527">
        <f t="shared" ref="W156" si="120">(V156*X156)</f>
        <v>0</v>
      </c>
      <c r="X156" s="423"/>
      <c r="Y156" s="409">
        <f>IF(D156&lt;&gt;0,($C157*(1-$AA$1))-$D156,0)</f>
        <v>0</v>
      </c>
      <c r="Z156" s="410" t="str">
        <f t="shared" ref="Z156:Z157" si="121">IFERROR(IF(C156&lt;&gt;"",$AB$1/(D152/100)*(C156/100),""),"")</f>
        <v/>
      </c>
      <c r="AA156" s="411" t="str">
        <f t="shared" ref="AA156:AA157" si="122">IFERROR($AC$1/(D156/100)*(C152/100),"")</f>
        <v/>
      </c>
      <c r="AB156" s="517"/>
    </row>
    <row r="157" spans="1:28" ht="12.75" customHeight="1">
      <c r="A157" s="468" t="s">
        <v>578</v>
      </c>
      <c r="B157" s="626"/>
      <c r="C157" s="627"/>
      <c r="D157" s="627"/>
      <c r="E157" s="626"/>
      <c r="F157" s="493"/>
      <c r="G157" s="505"/>
      <c r="H157" s="469"/>
      <c r="I157" s="470"/>
      <c r="J157" s="470"/>
      <c r="K157" s="483"/>
      <c r="L157" s="473"/>
      <c r="M157" s="472"/>
      <c r="N157" s="473"/>
      <c r="O157" s="474"/>
      <c r="P157" s="385">
        <v>156</v>
      </c>
      <c r="Q157" s="475"/>
      <c r="R157" s="476">
        <v>0</v>
      </c>
      <c r="S157" s="477">
        <v>0</v>
      </c>
      <c r="T157" s="551">
        <v>0</v>
      </c>
      <c r="U157" s="551"/>
      <c r="V157" s="551">
        <v>0</v>
      </c>
      <c r="W157" s="529">
        <f>V156*(F156/100)</f>
        <v>0</v>
      </c>
      <c r="X157" s="435"/>
      <c r="Y157" s="456" t="str">
        <f>IFERROR(INT(#REF!/(F156/100)),"")</f>
        <v/>
      </c>
      <c r="Z157" s="457" t="str">
        <f t="shared" si="121"/>
        <v/>
      </c>
      <c r="AA157" s="458" t="str">
        <f t="shared" si="122"/>
        <v/>
      </c>
      <c r="AB157" s="500"/>
    </row>
    <row r="158" spans="1:28" ht="12.75" customHeight="1">
      <c r="A158" s="485" t="s">
        <v>585</v>
      </c>
      <c r="B158" s="567">
        <v>60</v>
      </c>
      <c r="C158" s="620">
        <v>110800</v>
      </c>
      <c r="D158" s="621">
        <v>120000</v>
      </c>
      <c r="E158" s="571">
        <v>100</v>
      </c>
      <c r="F158" s="593">
        <v>112280</v>
      </c>
      <c r="G158" s="502">
        <v>3.5400000000000001E-2</v>
      </c>
      <c r="H158" s="232">
        <v>108300</v>
      </c>
      <c r="I158" s="224">
        <v>115000</v>
      </c>
      <c r="J158" s="224">
        <v>108300</v>
      </c>
      <c r="K158" s="246">
        <v>108440</v>
      </c>
      <c r="L158" s="239">
        <v>202030222</v>
      </c>
      <c r="M158" s="228">
        <v>182407</v>
      </c>
      <c r="N158" s="239">
        <v>71</v>
      </c>
      <c r="O158" s="255">
        <v>45434.666990740741</v>
      </c>
      <c r="P158" s="384">
        <v>157</v>
      </c>
      <c r="Q158" s="251"/>
      <c r="R158" s="413">
        <v>0</v>
      </c>
      <c r="S158" s="425">
        <v>0</v>
      </c>
      <c r="T158" s="548">
        <v>0</v>
      </c>
      <c r="U158" s="548"/>
      <c r="V158" s="548"/>
      <c r="W158" s="524">
        <f t="shared" ref="W158" si="123">(V158*X158)</f>
        <v>0</v>
      </c>
      <c r="X158" s="422"/>
      <c r="Y158" s="399">
        <f>IF(D158&lt;&gt;0,($C159*(1-$AA$1))-$D158,0)</f>
        <v>-8190</v>
      </c>
      <c r="Z158" s="400"/>
      <c r="AA158" s="401"/>
      <c r="AB158" s="517"/>
    </row>
    <row r="159" spans="1:28" ht="12.75" customHeight="1">
      <c r="A159" s="366" t="s">
        <v>586</v>
      </c>
      <c r="B159" s="566">
        <v>1000</v>
      </c>
      <c r="C159" s="622">
        <v>111810</v>
      </c>
      <c r="D159" s="622">
        <v>112300</v>
      </c>
      <c r="E159" s="566">
        <v>40</v>
      </c>
      <c r="F159" s="491">
        <v>111510</v>
      </c>
      <c r="G159" s="503">
        <v>2.53E-2</v>
      </c>
      <c r="H159" s="231">
        <v>108990</v>
      </c>
      <c r="I159" s="222">
        <v>113000</v>
      </c>
      <c r="J159" s="222">
        <v>108510</v>
      </c>
      <c r="K159" s="244">
        <v>108750</v>
      </c>
      <c r="L159" s="229">
        <v>2717035518</v>
      </c>
      <c r="M159" s="226">
        <v>2440187</v>
      </c>
      <c r="N159" s="229">
        <v>516</v>
      </c>
      <c r="O159" s="256">
        <v>45434.70045138889</v>
      </c>
      <c r="P159" s="385">
        <v>158</v>
      </c>
      <c r="Q159" s="249"/>
      <c r="R159" s="412">
        <v>0</v>
      </c>
      <c r="S159" s="426">
        <v>0</v>
      </c>
      <c r="T159" s="549">
        <v>0</v>
      </c>
      <c r="U159" s="549"/>
      <c r="V159" s="549">
        <v>0</v>
      </c>
      <c r="W159" s="311">
        <f>V158*(F158/100)</f>
        <v>0</v>
      </c>
      <c r="X159" s="421"/>
      <c r="Y159" s="377" t="str">
        <f>IFERROR(INT(#REF!/(F158/100)),"")</f>
        <v/>
      </c>
      <c r="Z159" s="402"/>
      <c r="AA159" s="403"/>
      <c r="AB159" s="500"/>
    </row>
    <row r="160" spans="1:28" ht="12.75" hidden="1" customHeight="1">
      <c r="A160" s="484" t="s">
        <v>587</v>
      </c>
      <c r="B160" s="567"/>
      <c r="C160" s="620"/>
      <c r="D160" s="621">
        <v>91</v>
      </c>
      <c r="E160" s="571">
        <v>100000</v>
      </c>
      <c r="F160" s="593"/>
      <c r="G160" s="502"/>
      <c r="H160" s="233"/>
      <c r="I160" s="223"/>
      <c r="J160" s="223"/>
      <c r="K160" s="247">
        <v>90.42</v>
      </c>
      <c r="L160" s="237"/>
      <c r="M160" s="227"/>
      <c r="N160" s="237"/>
      <c r="O160" s="257"/>
      <c r="P160" s="384">
        <v>159</v>
      </c>
      <c r="Q160" s="250"/>
      <c r="R160" s="415">
        <v>0</v>
      </c>
      <c r="S160" s="427">
        <v>0</v>
      </c>
      <c r="T160" s="550">
        <v>0</v>
      </c>
      <c r="U160" s="550"/>
      <c r="V160" s="550"/>
      <c r="W160" s="525">
        <f t="shared" ref="W160" si="124">(V160*X160)</f>
        <v>0</v>
      </c>
      <c r="X160" s="424"/>
      <c r="Y160" s="404">
        <f>IF(D160&lt;&gt;0,($C161*(1-$AA$1))-$D160,0)</f>
        <v>-2</v>
      </c>
      <c r="Z160" s="405" t="str">
        <f t="shared" ref="Z160:Z161" si="125">IFERROR(IF(C160&lt;&gt;"",$AB$1/(D158/100)*(C160/100),""),"")</f>
        <v/>
      </c>
      <c r="AA160" s="406">
        <f t="shared" ref="AA160:AA161" si="126">IFERROR($AC$1/(D160/100)*(C158/100),"")</f>
        <v>121758.24175824175</v>
      </c>
      <c r="AB160" s="517"/>
    </row>
    <row r="161" spans="1:28" ht="12.75" hidden="1" customHeight="1">
      <c r="A161" s="366" t="s">
        <v>588</v>
      </c>
      <c r="B161" s="566">
        <v>30000</v>
      </c>
      <c r="C161" s="622">
        <v>89</v>
      </c>
      <c r="D161" s="622">
        <v>89.7</v>
      </c>
      <c r="E161" s="566">
        <v>39000</v>
      </c>
      <c r="F161" s="491">
        <v>89.2</v>
      </c>
      <c r="G161" s="595">
        <v>-1.95E-2</v>
      </c>
      <c r="H161" s="231">
        <v>90.25</v>
      </c>
      <c r="I161" s="222">
        <v>90.3</v>
      </c>
      <c r="J161" s="222">
        <v>88.77</v>
      </c>
      <c r="K161" s="244">
        <v>90.98</v>
      </c>
      <c r="L161" s="229">
        <v>1030231</v>
      </c>
      <c r="M161" s="226">
        <v>1155339</v>
      </c>
      <c r="N161" s="229">
        <v>149</v>
      </c>
      <c r="O161" s="256">
        <v>45434.70040509259</v>
      </c>
      <c r="P161" s="385">
        <v>160</v>
      </c>
      <c r="Q161" s="249"/>
      <c r="R161" s="412">
        <v>0</v>
      </c>
      <c r="S161" s="426">
        <v>0</v>
      </c>
      <c r="T161" s="549">
        <v>0</v>
      </c>
      <c r="U161" s="549"/>
      <c r="V161" s="549">
        <v>0</v>
      </c>
      <c r="W161" s="526">
        <f>V160*(F160/100)</f>
        <v>0</v>
      </c>
      <c r="X161" s="421"/>
      <c r="Y161" s="378" t="str">
        <f>IFERROR(INT(#REF!/(F160/100)),"")</f>
        <v/>
      </c>
      <c r="Z161" s="407">
        <f t="shared" si="125"/>
        <v>97.508268668108371</v>
      </c>
      <c r="AA161" s="408">
        <f t="shared" si="126"/>
        <v>124648.82943143811</v>
      </c>
      <c r="AB161" s="500"/>
    </row>
    <row r="162" spans="1:28" ht="12.75" customHeight="1">
      <c r="A162" s="484" t="s">
        <v>589</v>
      </c>
      <c r="B162" s="567">
        <v>26</v>
      </c>
      <c r="C162" s="620">
        <v>90</v>
      </c>
      <c r="D162" s="621">
        <v>93</v>
      </c>
      <c r="E162" s="571">
        <v>119</v>
      </c>
      <c r="F162" s="594">
        <v>89.13</v>
      </c>
      <c r="G162" s="502">
        <v>-4.6399999999999997E-2</v>
      </c>
      <c r="H162" s="233">
        <v>93</v>
      </c>
      <c r="I162" s="223">
        <v>93</v>
      </c>
      <c r="J162" s="223">
        <v>89.01</v>
      </c>
      <c r="K162" s="247">
        <v>93.47</v>
      </c>
      <c r="L162" s="237">
        <v>621</v>
      </c>
      <c r="M162" s="227">
        <v>684</v>
      </c>
      <c r="N162" s="237">
        <v>6</v>
      </c>
      <c r="O162" s="257">
        <v>45434.639409722222</v>
      </c>
      <c r="P162" s="384">
        <v>161</v>
      </c>
      <c r="Q162" s="250"/>
      <c r="R162" s="415">
        <v>0</v>
      </c>
      <c r="S162" s="427">
        <v>0</v>
      </c>
      <c r="T162" s="550">
        <v>0</v>
      </c>
      <c r="U162" s="550"/>
      <c r="V162" s="550"/>
      <c r="W162" s="527">
        <f>(V130*X130)</f>
        <v>0</v>
      </c>
      <c r="X162" s="423"/>
      <c r="Y162" s="409">
        <f>IF(D130&lt;&gt;0,($C163*(1-$AA$1))-$D130,0)</f>
        <v>0</v>
      </c>
      <c r="Z162" s="410">
        <f t="shared" ref="Z162:Z163" si="127">IFERROR(IF(C162&lt;&gt;"",$AB$1/(D158/100)*(C162/100),""),"")</f>
        <v>92.276785714285708</v>
      </c>
      <c r="AA162" s="411">
        <f t="shared" ref="AA162:AA163" si="128">IFERROR($AC$1/(D162/100)*(C158/100),"")</f>
        <v>119139.78494623654</v>
      </c>
      <c r="AB162" s="517"/>
    </row>
    <row r="163" spans="1:28" ht="12.75" customHeight="1">
      <c r="A163" s="800" t="s">
        <v>590</v>
      </c>
      <c r="B163" s="735">
        <v>6655</v>
      </c>
      <c r="C163" s="801">
        <v>91.4</v>
      </c>
      <c r="D163" s="801">
        <v>93.98</v>
      </c>
      <c r="E163" s="735">
        <v>1000</v>
      </c>
      <c r="F163" s="736">
        <v>92.5</v>
      </c>
      <c r="G163" s="737">
        <v>-6.4000000000000003E-3</v>
      </c>
      <c r="H163" s="738">
        <v>93.04</v>
      </c>
      <c r="I163" s="739">
        <v>93.04</v>
      </c>
      <c r="J163" s="739">
        <v>89</v>
      </c>
      <c r="K163" s="802">
        <v>93.1</v>
      </c>
      <c r="L163" s="742">
        <v>143578</v>
      </c>
      <c r="M163" s="741">
        <v>156294</v>
      </c>
      <c r="N163" s="742">
        <v>70</v>
      </c>
      <c r="O163" s="743">
        <v>45434.708495370367</v>
      </c>
      <c r="P163" s="744">
        <v>130</v>
      </c>
      <c r="Q163" s="803"/>
      <c r="R163" s="804">
        <v>0</v>
      </c>
      <c r="S163" s="805">
        <v>0</v>
      </c>
      <c r="T163" s="806">
        <v>0</v>
      </c>
      <c r="U163" s="806"/>
      <c r="V163" s="806">
        <v>0</v>
      </c>
      <c r="W163" s="807">
        <f>V130*(F130/100)</f>
        <v>0</v>
      </c>
      <c r="X163" s="746"/>
      <c r="Y163" s="808" t="str">
        <f>IFERROR(INT(#REF!/(F130/100)),"")</f>
        <v/>
      </c>
      <c r="Z163" s="809">
        <f t="shared" si="127"/>
        <v>100.13770512657422</v>
      </c>
      <c r="AA163" s="810">
        <f t="shared" si="128"/>
        <v>118972.12172802721</v>
      </c>
      <c r="AB163" s="750"/>
    </row>
    <row r="164" spans="1:28" ht="12.75" hidden="1" customHeight="1" outlineLevel="1">
      <c r="A164" s="485" t="s">
        <v>599</v>
      </c>
      <c r="B164" s="567"/>
      <c r="C164" s="620"/>
      <c r="D164" s="621"/>
      <c r="E164" s="571"/>
      <c r="F164" s="594"/>
      <c r="G164" s="502"/>
      <c r="H164" s="232"/>
      <c r="I164" s="224"/>
      <c r="J164" s="224"/>
      <c r="K164" s="246"/>
      <c r="L164" s="239"/>
      <c r="M164" s="228"/>
      <c r="N164" s="239"/>
      <c r="O164" s="255"/>
      <c r="P164" s="384">
        <v>163</v>
      </c>
      <c r="Q164" s="251"/>
      <c r="R164" s="413">
        <v>0</v>
      </c>
      <c r="S164" s="425">
        <v>0</v>
      </c>
      <c r="T164" s="548">
        <v>0</v>
      </c>
      <c r="U164" s="548"/>
      <c r="V164" s="548"/>
      <c r="W164" s="524">
        <f t="shared" ref="W164" si="129">(V164*X164)</f>
        <v>0</v>
      </c>
      <c r="X164" s="422"/>
      <c r="Y164" s="399">
        <f>IF(D164&lt;&gt;0,($C165*(1-$AA$1))-$D164,0)</f>
        <v>0</v>
      </c>
      <c r="Z164" s="400"/>
      <c r="AA164" s="401"/>
      <c r="AB164" s="730"/>
    </row>
    <row r="165" spans="1:28" ht="12.75" hidden="1" customHeight="1" outlineLevel="1">
      <c r="A165" s="366" t="s">
        <v>600</v>
      </c>
      <c r="B165" s="566"/>
      <c r="C165" s="622"/>
      <c r="D165" s="622"/>
      <c r="E165" s="566"/>
      <c r="F165" s="491"/>
      <c r="G165" s="503"/>
      <c r="H165" s="231"/>
      <c r="I165" s="222"/>
      <c r="J165" s="222"/>
      <c r="K165" s="244"/>
      <c r="L165" s="229"/>
      <c r="M165" s="226"/>
      <c r="N165" s="229"/>
      <c r="O165" s="256"/>
      <c r="P165" s="385">
        <v>164</v>
      </c>
      <c r="Q165" s="249"/>
      <c r="R165" s="412">
        <v>0</v>
      </c>
      <c r="S165" s="426">
        <v>0</v>
      </c>
      <c r="T165" s="549">
        <v>0</v>
      </c>
      <c r="U165" s="549"/>
      <c r="V165" s="549">
        <v>0</v>
      </c>
      <c r="W165" s="311">
        <f>V164*(D164/100)</f>
        <v>0</v>
      </c>
      <c r="X165" s="421"/>
      <c r="Y165" s="377" t="str">
        <f>IFERROR(INT(#REF!/(F164)),"")</f>
        <v/>
      </c>
      <c r="Z165" s="402"/>
      <c r="AA165" s="403"/>
      <c r="AB165" s="500"/>
    </row>
    <row r="166" spans="1:28" ht="12.75" hidden="1" customHeight="1" outlineLevel="1">
      <c r="A166" s="484" t="s">
        <v>601</v>
      </c>
      <c r="B166" s="567"/>
      <c r="C166" s="620"/>
      <c r="D166" s="621"/>
      <c r="E166" s="571"/>
      <c r="F166" s="593"/>
      <c r="G166" s="502"/>
      <c r="H166" s="233"/>
      <c r="I166" s="223"/>
      <c r="J166" s="223"/>
      <c r="K166" s="247"/>
      <c r="L166" s="237"/>
      <c r="M166" s="227"/>
      <c r="N166" s="237"/>
      <c r="O166" s="257"/>
      <c r="P166" s="384">
        <v>165</v>
      </c>
      <c r="Q166" s="250"/>
      <c r="R166" s="415">
        <v>0</v>
      </c>
      <c r="S166" s="427">
        <v>0</v>
      </c>
      <c r="T166" s="550">
        <v>0</v>
      </c>
      <c r="U166" s="550"/>
      <c r="V166" s="550"/>
      <c r="W166" s="525">
        <f t="shared" ref="W166" si="130">(V166*X166)</f>
        <v>0</v>
      </c>
      <c r="X166" s="424"/>
      <c r="Y166" s="404">
        <f>IF(D166&lt;&gt;0,($C167*(1-$AA$1))-$D166,0)</f>
        <v>0</v>
      </c>
      <c r="Z166" s="405" t="str">
        <f t="shared" ref="Z166" si="131">IFERROR(IF(C166&lt;&gt;"",$AB$1/(D164/100)*(C166/100),""),"")</f>
        <v/>
      </c>
      <c r="AA166" s="406" t="str">
        <f t="shared" ref="AA166:AA167" si="132">IFERROR($AC$1/(D166/100)*(C164/100),"")</f>
        <v/>
      </c>
      <c r="AB166" s="517"/>
    </row>
    <row r="167" spans="1:28" ht="12.75" hidden="1" customHeight="1" outlineLevel="1">
      <c r="A167" s="366" t="s">
        <v>602</v>
      </c>
      <c r="B167" s="566"/>
      <c r="C167" s="622"/>
      <c r="D167" s="622"/>
      <c r="E167" s="566"/>
      <c r="F167" s="491"/>
      <c r="G167" s="595"/>
      <c r="H167" s="231"/>
      <c r="I167" s="222"/>
      <c r="J167" s="222"/>
      <c r="K167" s="244"/>
      <c r="L167" s="229"/>
      <c r="M167" s="226"/>
      <c r="N167" s="229"/>
      <c r="O167" s="256"/>
      <c r="P167" s="385">
        <v>166</v>
      </c>
      <c r="Q167" s="249"/>
      <c r="R167" s="412">
        <v>0</v>
      </c>
      <c r="S167" s="426">
        <v>0</v>
      </c>
      <c r="T167" s="549">
        <v>0</v>
      </c>
      <c r="U167" s="549"/>
      <c r="V167" s="549">
        <v>0</v>
      </c>
      <c r="W167" s="526">
        <f>V166*(F166/100)</f>
        <v>0</v>
      </c>
      <c r="X167" s="421"/>
      <c r="Y167" s="378" t="str">
        <f>IFERROR(INT(#REF!/(F166/100)),"")</f>
        <v/>
      </c>
      <c r="Z167" s="407" t="str">
        <f t="shared" ref="Z167:Z169" si="133">IFERROR(IF(C167&lt;&gt;"",$AB$1/(D163/100)*(C167/100),""),"")</f>
        <v/>
      </c>
      <c r="AA167" s="408" t="str">
        <f t="shared" si="132"/>
        <v/>
      </c>
      <c r="AB167" s="500"/>
    </row>
    <row r="168" spans="1:28" ht="12.75" hidden="1" customHeight="1" outlineLevel="1">
      <c r="A168" s="484" t="s">
        <v>603</v>
      </c>
      <c r="B168" s="567"/>
      <c r="C168" s="620"/>
      <c r="D168" s="621"/>
      <c r="E168" s="571"/>
      <c r="F168" s="594"/>
      <c r="G168" s="502"/>
      <c r="H168" s="233"/>
      <c r="I168" s="223"/>
      <c r="J168" s="223"/>
      <c r="K168" s="247"/>
      <c r="L168" s="237"/>
      <c r="M168" s="227"/>
      <c r="N168" s="237"/>
      <c r="O168" s="257"/>
      <c r="P168" s="384">
        <v>167</v>
      </c>
      <c r="Q168" s="250"/>
      <c r="R168" s="415">
        <v>0</v>
      </c>
      <c r="S168" s="427">
        <v>0</v>
      </c>
      <c r="T168" s="550">
        <v>0</v>
      </c>
      <c r="U168" s="550"/>
      <c r="V168" s="550"/>
      <c r="W168" s="527">
        <f t="shared" ref="W168" si="134">(V168*X168)</f>
        <v>0</v>
      </c>
      <c r="X168" s="423"/>
      <c r="Y168" s="409">
        <f>IF(D168&lt;&gt;0,($C169*(1-$AA$1))-$D168,0)</f>
        <v>0</v>
      </c>
      <c r="Z168" s="410" t="str">
        <f t="shared" si="133"/>
        <v/>
      </c>
      <c r="AA168" s="411" t="str">
        <f t="shared" ref="AA168:AA169" si="135">IFERROR($AC$1/(D168/100)*(C164/100),"")</f>
        <v/>
      </c>
      <c r="AB168" s="517"/>
    </row>
    <row r="169" spans="1:28" ht="12.75" hidden="1" customHeight="1" outlineLevel="1">
      <c r="A169" s="468" t="s">
        <v>604</v>
      </c>
      <c r="B169" s="626"/>
      <c r="C169" s="627"/>
      <c r="D169" s="627"/>
      <c r="E169" s="626"/>
      <c r="F169" s="493"/>
      <c r="G169" s="505"/>
      <c r="H169" s="469"/>
      <c r="I169" s="470"/>
      <c r="J169" s="470"/>
      <c r="K169" s="483"/>
      <c r="L169" s="473"/>
      <c r="M169" s="472"/>
      <c r="N169" s="473"/>
      <c r="O169" s="474"/>
      <c r="P169" s="562">
        <v>168</v>
      </c>
      <c r="Q169" s="475"/>
      <c r="R169" s="476">
        <v>0</v>
      </c>
      <c r="S169" s="477">
        <v>0</v>
      </c>
      <c r="T169" s="551">
        <v>0</v>
      </c>
      <c r="U169" s="551"/>
      <c r="V169" s="551">
        <v>0</v>
      </c>
      <c r="W169" s="529">
        <f>V168*(C168/100)</f>
        <v>0</v>
      </c>
      <c r="X169" s="435"/>
      <c r="Y169" s="456" t="str">
        <f>IFERROR(INT(#REF!/(F168)),"")</f>
        <v/>
      </c>
      <c r="Z169" s="457" t="str">
        <f t="shared" si="133"/>
        <v/>
      </c>
      <c r="AA169" s="458" t="str">
        <f t="shared" si="135"/>
        <v/>
      </c>
      <c r="AB169" s="500"/>
    </row>
    <row r="170" spans="1:28" ht="12.75" hidden="1" customHeight="1" outlineLevel="1">
      <c r="A170" s="485" t="s">
        <v>605</v>
      </c>
      <c r="B170" s="567"/>
      <c r="C170" s="620"/>
      <c r="D170" s="621"/>
      <c r="E170" s="571"/>
      <c r="F170" s="593"/>
      <c r="G170" s="502"/>
      <c r="H170" s="232"/>
      <c r="I170" s="224"/>
      <c r="J170" s="224"/>
      <c r="K170" s="246"/>
      <c r="L170" s="239"/>
      <c r="M170" s="228"/>
      <c r="N170" s="239"/>
      <c r="O170" s="255"/>
      <c r="P170" s="384">
        <v>169</v>
      </c>
      <c r="Q170" s="251"/>
      <c r="R170" s="413">
        <v>0</v>
      </c>
      <c r="S170" s="425">
        <v>0</v>
      </c>
      <c r="T170" s="548">
        <v>0</v>
      </c>
      <c r="U170" s="548"/>
      <c r="V170" s="548"/>
      <c r="W170" s="524">
        <f t="shared" ref="W170" si="136">(V170*X170)</f>
        <v>0</v>
      </c>
      <c r="X170" s="422"/>
      <c r="Y170" s="399">
        <f>IF(D170&lt;&gt;0,($C171*(1-$AA$1))-$D170,0)</f>
        <v>0</v>
      </c>
      <c r="Z170" s="400"/>
      <c r="AA170" s="401"/>
      <c r="AB170" s="517"/>
    </row>
    <row r="171" spans="1:28" ht="12.75" hidden="1" customHeight="1" outlineLevel="1">
      <c r="A171" s="366" t="s">
        <v>606</v>
      </c>
      <c r="B171" s="566"/>
      <c r="C171" s="622"/>
      <c r="D171" s="622"/>
      <c r="E171" s="566"/>
      <c r="F171" s="491"/>
      <c r="G171" s="503"/>
      <c r="H171" s="231"/>
      <c r="I171" s="222"/>
      <c r="J171" s="222"/>
      <c r="K171" s="244"/>
      <c r="L171" s="229"/>
      <c r="M171" s="226"/>
      <c r="N171" s="229"/>
      <c r="O171" s="256"/>
      <c r="P171" s="385">
        <v>170</v>
      </c>
      <c r="Q171" s="249"/>
      <c r="R171" s="412">
        <v>0</v>
      </c>
      <c r="S171" s="426">
        <v>0</v>
      </c>
      <c r="T171" s="549">
        <v>0</v>
      </c>
      <c r="U171" s="549"/>
      <c r="V171" s="549">
        <v>0</v>
      </c>
      <c r="W171" s="311">
        <f>V170*(D170/100)</f>
        <v>0</v>
      </c>
      <c r="X171" s="421"/>
      <c r="Y171" s="377" t="str">
        <f>IFERROR(INT(#REF!/(F170)),"")</f>
        <v/>
      </c>
      <c r="Z171" s="402"/>
      <c r="AA171" s="403"/>
      <c r="AB171" s="500"/>
    </row>
    <row r="172" spans="1:28" ht="12.75" hidden="1" customHeight="1" outlineLevel="1">
      <c r="A172" s="484" t="s">
        <v>607</v>
      </c>
      <c r="B172" s="567"/>
      <c r="C172" s="620"/>
      <c r="D172" s="621"/>
      <c r="E172" s="571"/>
      <c r="F172" s="593"/>
      <c r="G172" s="502"/>
      <c r="H172" s="233"/>
      <c r="I172" s="223"/>
      <c r="J172" s="223"/>
      <c r="K172" s="247"/>
      <c r="L172" s="237"/>
      <c r="M172" s="227"/>
      <c r="N172" s="237"/>
      <c r="O172" s="257"/>
      <c r="P172" s="384">
        <v>171</v>
      </c>
      <c r="Q172" s="250"/>
      <c r="R172" s="415">
        <v>0</v>
      </c>
      <c r="S172" s="427">
        <v>0</v>
      </c>
      <c r="T172" s="550">
        <v>0</v>
      </c>
      <c r="U172" s="550"/>
      <c r="V172" s="550"/>
      <c r="W172" s="525">
        <f t="shared" ref="W172" si="137">(V172*X172)</f>
        <v>0</v>
      </c>
      <c r="X172" s="424"/>
      <c r="Y172" s="404">
        <f>IF(D172&lt;&gt;0,($C173*(1-$AA$1))-$D172,0)</f>
        <v>0</v>
      </c>
      <c r="Z172" s="405" t="str">
        <f t="shared" ref="Z172" si="138">IFERROR(IF(C172&lt;&gt;"",$AB$1/(D170/100)*(C172/100),""),"")</f>
        <v/>
      </c>
      <c r="AA172" s="406" t="str">
        <f t="shared" ref="AA172:AA173" si="139">IFERROR($AC$1/(D172/100)*(C170/100),"")</f>
        <v/>
      </c>
      <c r="AB172" s="517"/>
    </row>
    <row r="173" spans="1:28" ht="12.75" hidden="1" customHeight="1" outlineLevel="1">
      <c r="A173" s="366" t="s">
        <v>608</v>
      </c>
      <c r="B173" s="566"/>
      <c r="C173" s="622"/>
      <c r="D173" s="622"/>
      <c r="E173" s="566"/>
      <c r="F173" s="491"/>
      <c r="G173" s="595"/>
      <c r="H173" s="231"/>
      <c r="I173" s="222"/>
      <c r="J173" s="222"/>
      <c r="K173" s="244"/>
      <c r="L173" s="229"/>
      <c r="M173" s="226"/>
      <c r="N173" s="229"/>
      <c r="O173" s="256"/>
      <c r="P173" s="385">
        <v>172</v>
      </c>
      <c r="Q173" s="249"/>
      <c r="R173" s="412">
        <v>0</v>
      </c>
      <c r="S173" s="426">
        <v>0</v>
      </c>
      <c r="T173" s="549">
        <v>0</v>
      </c>
      <c r="U173" s="549"/>
      <c r="V173" s="549">
        <v>0</v>
      </c>
      <c r="W173" s="526">
        <f>V172*(F172/100)</f>
        <v>0</v>
      </c>
      <c r="X173" s="421"/>
      <c r="Y173" s="378" t="str">
        <f>IFERROR(INT(#REF!/(F172/100)),"")</f>
        <v/>
      </c>
      <c r="Z173" s="407" t="str">
        <f t="shared" ref="Z173:Z175" si="140">IFERROR(IF(C173&lt;&gt;"",$AB$1/(D169/100)*(C173/100),""),"")</f>
        <v/>
      </c>
      <c r="AA173" s="408" t="str">
        <f t="shared" si="139"/>
        <v/>
      </c>
      <c r="AB173" s="500"/>
    </row>
    <row r="174" spans="1:28" ht="12.75" hidden="1" customHeight="1" outlineLevel="1">
      <c r="A174" s="484" t="s">
        <v>609</v>
      </c>
      <c r="B174" s="567"/>
      <c r="C174" s="620"/>
      <c r="D174" s="621"/>
      <c r="E174" s="571"/>
      <c r="F174" s="594"/>
      <c r="G174" s="502"/>
      <c r="H174" s="233"/>
      <c r="I174" s="223"/>
      <c r="J174" s="223"/>
      <c r="K174" s="247"/>
      <c r="L174" s="237"/>
      <c r="M174" s="227"/>
      <c r="N174" s="237"/>
      <c r="O174" s="257"/>
      <c r="P174" s="384">
        <v>173</v>
      </c>
      <c r="Q174" s="250"/>
      <c r="R174" s="415">
        <v>0</v>
      </c>
      <c r="S174" s="427">
        <v>0</v>
      </c>
      <c r="T174" s="550">
        <v>0</v>
      </c>
      <c r="U174" s="550"/>
      <c r="V174" s="550"/>
      <c r="W174" s="527">
        <f t="shared" ref="W174" si="141">(V174*X174)</f>
        <v>0</v>
      </c>
      <c r="X174" s="423"/>
      <c r="Y174" s="409">
        <f>IF(D174&lt;&gt;0,($C175*(1-$AA$1))-$D174,0)</f>
        <v>0</v>
      </c>
      <c r="Z174" s="410" t="str">
        <f t="shared" si="140"/>
        <v/>
      </c>
      <c r="AA174" s="411" t="str">
        <f t="shared" ref="AA174:AA175" si="142">IFERROR($AC$1/(D174/100)*(C170/100),"")</f>
        <v/>
      </c>
      <c r="AB174" s="517"/>
    </row>
    <row r="175" spans="1:28" ht="12.75" hidden="1" customHeight="1" outlineLevel="1">
      <c r="A175" s="468" t="s">
        <v>610</v>
      </c>
      <c r="B175" s="626"/>
      <c r="C175" s="627"/>
      <c r="D175" s="627"/>
      <c r="E175" s="626"/>
      <c r="F175" s="493"/>
      <c r="G175" s="505"/>
      <c r="H175" s="469"/>
      <c r="I175" s="470"/>
      <c r="J175" s="470"/>
      <c r="K175" s="483"/>
      <c r="L175" s="473"/>
      <c r="M175" s="472"/>
      <c r="N175" s="473"/>
      <c r="O175" s="474"/>
      <c r="P175" s="562">
        <v>174</v>
      </c>
      <c r="Q175" s="475"/>
      <c r="R175" s="476">
        <v>0</v>
      </c>
      <c r="S175" s="477">
        <v>0</v>
      </c>
      <c r="T175" s="551">
        <v>0</v>
      </c>
      <c r="U175" s="551"/>
      <c r="V175" s="551">
        <v>0</v>
      </c>
      <c r="W175" s="529">
        <f>V174*(C174/100)</f>
        <v>0</v>
      </c>
      <c r="X175" s="435"/>
      <c r="Y175" s="456" t="str">
        <f>IFERROR(INT(#REF!/(F174)),"")</f>
        <v/>
      </c>
      <c r="Z175" s="457" t="str">
        <f t="shared" si="140"/>
        <v/>
      </c>
      <c r="AA175" s="458" t="str">
        <f t="shared" si="142"/>
        <v/>
      </c>
      <c r="AB175" s="500"/>
    </row>
    <row r="176" spans="1:28" ht="12.75" hidden="1" customHeight="1" outlineLevel="1">
      <c r="A176" s="485" t="s">
        <v>611</v>
      </c>
      <c r="B176" s="567"/>
      <c r="C176" s="620"/>
      <c r="D176" s="621"/>
      <c r="E176" s="571"/>
      <c r="F176" s="593"/>
      <c r="G176" s="502"/>
      <c r="H176" s="232"/>
      <c r="I176" s="224"/>
      <c r="J176" s="224"/>
      <c r="K176" s="246"/>
      <c r="L176" s="239"/>
      <c r="M176" s="228"/>
      <c r="N176" s="239"/>
      <c r="O176" s="255"/>
      <c r="P176" s="384">
        <v>175</v>
      </c>
      <c r="Q176" s="251"/>
      <c r="R176" s="413">
        <v>0</v>
      </c>
      <c r="S176" s="425">
        <v>0</v>
      </c>
      <c r="T176" s="548">
        <v>0</v>
      </c>
      <c r="U176" s="548"/>
      <c r="V176" s="548"/>
      <c r="W176" s="524">
        <f t="shared" ref="W176" si="143">(V176*X176)</f>
        <v>0</v>
      </c>
      <c r="X176" s="422"/>
      <c r="Y176" s="399">
        <f>IF(D176&lt;&gt;0,($C177*(1-$AA$1))-$D176,0)</f>
        <v>0</v>
      </c>
      <c r="Z176" s="400"/>
      <c r="AA176" s="401"/>
      <c r="AB176" s="517"/>
    </row>
    <row r="177" spans="1:28" ht="12.75" hidden="1" customHeight="1" outlineLevel="1">
      <c r="A177" s="366" t="s">
        <v>612</v>
      </c>
      <c r="B177" s="566"/>
      <c r="C177" s="622"/>
      <c r="D177" s="622"/>
      <c r="E177" s="566"/>
      <c r="F177" s="491"/>
      <c r="G177" s="503"/>
      <c r="H177" s="231"/>
      <c r="I177" s="222"/>
      <c r="J177" s="222"/>
      <c r="K177" s="244"/>
      <c r="L177" s="229"/>
      <c r="M177" s="226"/>
      <c r="N177" s="229"/>
      <c r="O177" s="256"/>
      <c r="P177" s="385">
        <v>176</v>
      </c>
      <c r="Q177" s="249"/>
      <c r="R177" s="412">
        <v>0</v>
      </c>
      <c r="S177" s="426">
        <v>0</v>
      </c>
      <c r="T177" s="549">
        <v>0</v>
      </c>
      <c r="U177" s="549"/>
      <c r="V177" s="549">
        <v>0</v>
      </c>
      <c r="W177" s="311">
        <f>V176*(D176/100)</f>
        <v>0</v>
      </c>
      <c r="X177" s="421"/>
      <c r="Y177" s="377" t="str">
        <f>IFERROR(INT(#REF!/(F176)),"")</f>
        <v/>
      </c>
      <c r="Z177" s="402"/>
      <c r="AA177" s="403"/>
      <c r="AB177" s="500"/>
    </row>
    <row r="178" spans="1:28" ht="12.75" hidden="1" customHeight="1" outlineLevel="1">
      <c r="A178" s="484" t="s">
        <v>613</v>
      </c>
      <c r="B178" s="567"/>
      <c r="C178" s="620"/>
      <c r="D178" s="621"/>
      <c r="E178" s="571"/>
      <c r="F178" s="593"/>
      <c r="G178" s="502"/>
      <c r="H178" s="233"/>
      <c r="I178" s="223"/>
      <c r="J178" s="223"/>
      <c r="K178" s="247"/>
      <c r="L178" s="237"/>
      <c r="M178" s="227"/>
      <c r="N178" s="237"/>
      <c r="O178" s="257"/>
      <c r="P178" s="384">
        <v>177</v>
      </c>
      <c r="Q178" s="250"/>
      <c r="R178" s="415">
        <v>0</v>
      </c>
      <c r="S178" s="427">
        <v>0</v>
      </c>
      <c r="T178" s="550">
        <v>0</v>
      </c>
      <c r="U178" s="550"/>
      <c r="V178" s="550"/>
      <c r="W178" s="525">
        <f t="shared" ref="W178" si="144">(V178*X178)</f>
        <v>0</v>
      </c>
      <c r="X178" s="424"/>
      <c r="Y178" s="404">
        <f>IF(D178&lt;&gt;0,($C179*(1-$AA$1))-$D178,0)</f>
        <v>0</v>
      </c>
      <c r="Z178" s="405" t="str">
        <f t="shared" ref="Z178" si="145">IFERROR(IF(C178&lt;&gt;"",$AB$1/(D176/100)*(C178/100),""),"")</f>
        <v/>
      </c>
      <c r="AA178" s="406" t="str">
        <f t="shared" ref="AA178:AA179" si="146">IFERROR($AC$1/(D178/100)*(C176/100),"")</f>
        <v/>
      </c>
      <c r="AB178" s="517"/>
    </row>
    <row r="179" spans="1:28" ht="12.75" hidden="1" customHeight="1" outlineLevel="1">
      <c r="A179" s="366" t="s">
        <v>614</v>
      </c>
      <c r="B179" s="566"/>
      <c r="C179" s="622"/>
      <c r="D179" s="622"/>
      <c r="E179" s="566"/>
      <c r="F179" s="491"/>
      <c r="G179" s="595"/>
      <c r="H179" s="231"/>
      <c r="I179" s="222"/>
      <c r="J179" s="222"/>
      <c r="K179" s="244"/>
      <c r="L179" s="229"/>
      <c r="M179" s="226"/>
      <c r="N179" s="229"/>
      <c r="O179" s="256"/>
      <c r="P179" s="385">
        <v>178</v>
      </c>
      <c r="Q179" s="249"/>
      <c r="R179" s="412">
        <v>0</v>
      </c>
      <c r="S179" s="426">
        <v>0</v>
      </c>
      <c r="T179" s="549">
        <v>0</v>
      </c>
      <c r="U179" s="549"/>
      <c r="V179" s="549">
        <v>0</v>
      </c>
      <c r="W179" s="526">
        <f>V178*(F178/100)</f>
        <v>0</v>
      </c>
      <c r="X179" s="421"/>
      <c r="Y179" s="378" t="str">
        <f>IFERROR(INT(#REF!/(F178/100)),"")</f>
        <v/>
      </c>
      <c r="Z179" s="407" t="str">
        <f t="shared" ref="Z179:Z181" si="147">IFERROR(IF(C179&lt;&gt;"",$AB$1/(D175/100)*(C179/100),""),"")</f>
        <v/>
      </c>
      <c r="AA179" s="408" t="str">
        <f t="shared" si="146"/>
        <v/>
      </c>
      <c r="AB179" s="500"/>
    </row>
    <row r="180" spans="1:28" ht="12.75" hidden="1" customHeight="1" outlineLevel="1">
      <c r="A180" s="484" t="s">
        <v>615</v>
      </c>
      <c r="B180" s="567"/>
      <c r="C180" s="620"/>
      <c r="D180" s="621"/>
      <c r="E180" s="571"/>
      <c r="F180" s="594"/>
      <c r="G180" s="502"/>
      <c r="H180" s="233"/>
      <c r="I180" s="223"/>
      <c r="J180" s="223"/>
      <c r="K180" s="247"/>
      <c r="L180" s="237"/>
      <c r="M180" s="227"/>
      <c r="N180" s="237"/>
      <c r="O180" s="257"/>
      <c r="P180" s="384">
        <v>179</v>
      </c>
      <c r="Q180" s="250"/>
      <c r="R180" s="415">
        <v>0</v>
      </c>
      <c r="S180" s="427">
        <v>0</v>
      </c>
      <c r="T180" s="550">
        <v>0</v>
      </c>
      <c r="U180" s="550"/>
      <c r="V180" s="550"/>
      <c r="W180" s="527">
        <f t="shared" ref="W180" si="148">(V180*X180)</f>
        <v>0</v>
      </c>
      <c r="X180" s="423"/>
      <c r="Y180" s="409">
        <f>IF(D180&lt;&gt;0,($C181*(1-$AA$1))-$D180,0)</f>
        <v>0</v>
      </c>
      <c r="Z180" s="410" t="str">
        <f t="shared" si="147"/>
        <v/>
      </c>
      <c r="AA180" s="411" t="str">
        <f t="shared" ref="AA180:AA181" si="149">IFERROR($AC$1/(D180/100)*(C176/100),"")</f>
        <v/>
      </c>
      <c r="AB180" s="517"/>
    </row>
    <row r="181" spans="1:28" ht="12.75" hidden="1" customHeight="1" outlineLevel="1">
      <c r="A181" s="468" t="s">
        <v>616</v>
      </c>
      <c r="B181" s="626"/>
      <c r="C181" s="627"/>
      <c r="D181" s="627"/>
      <c r="E181" s="626"/>
      <c r="F181" s="493"/>
      <c r="G181" s="505"/>
      <c r="H181" s="469"/>
      <c r="I181" s="470"/>
      <c r="J181" s="470"/>
      <c r="K181" s="483"/>
      <c r="L181" s="473"/>
      <c r="M181" s="472"/>
      <c r="N181" s="473"/>
      <c r="O181" s="474"/>
      <c r="P181" s="562">
        <v>180</v>
      </c>
      <c r="Q181" s="475"/>
      <c r="R181" s="476">
        <v>0</v>
      </c>
      <c r="S181" s="477">
        <v>0</v>
      </c>
      <c r="T181" s="551">
        <v>0</v>
      </c>
      <c r="U181" s="551"/>
      <c r="V181" s="551">
        <v>0</v>
      </c>
      <c r="W181" s="529">
        <f>V180*(C180/100)</f>
        <v>0</v>
      </c>
      <c r="X181" s="435"/>
      <c r="Y181" s="456" t="str">
        <f>IFERROR(INT(#REF!/(F180)),"")</f>
        <v/>
      </c>
      <c r="Z181" s="457" t="str">
        <f t="shared" si="147"/>
        <v/>
      </c>
      <c r="AA181" s="458" t="str">
        <f t="shared" si="149"/>
        <v/>
      </c>
      <c r="AB181" s="500"/>
    </row>
    <row r="182" spans="1:28" ht="12.75" hidden="1" customHeight="1" outlineLevel="1">
      <c r="A182" s="485" t="s">
        <v>617</v>
      </c>
      <c r="B182" s="567"/>
      <c r="C182" s="620"/>
      <c r="D182" s="621"/>
      <c r="E182" s="571"/>
      <c r="F182" s="593"/>
      <c r="G182" s="502"/>
      <c r="H182" s="232"/>
      <c r="I182" s="224"/>
      <c r="J182" s="224"/>
      <c r="K182" s="246"/>
      <c r="L182" s="239"/>
      <c r="M182" s="228"/>
      <c r="N182" s="239"/>
      <c r="O182" s="255"/>
      <c r="P182" s="384">
        <v>181</v>
      </c>
      <c r="Q182" s="251"/>
      <c r="R182" s="413">
        <v>0</v>
      </c>
      <c r="S182" s="425">
        <v>0</v>
      </c>
      <c r="T182" s="548">
        <v>0</v>
      </c>
      <c r="U182" s="548"/>
      <c r="V182" s="548"/>
      <c r="W182" s="524">
        <f t="shared" ref="W182" si="150">(V182*X182)</f>
        <v>0</v>
      </c>
      <c r="X182" s="422"/>
      <c r="Y182" s="399">
        <f>IF(D182&lt;&gt;0,($C183*(1-$AA$1))-$D182,0)</f>
        <v>0</v>
      </c>
      <c r="Z182" s="400"/>
      <c r="AA182" s="401"/>
      <c r="AB182" s="517"/>
    </row>
    <row r="183" spans="1:28" ht="12.75" hidden="1" customHeight="1" outlineLevel="1">
      <c r="A183" s="366" t="s">
        <v>618</v>
      </c>
      <c r="B183" s="566"/>
      <c r="C183" s="622"/>
      <c r="D183" s="622"/>
      <c r="E183" s="566"/>
      <c r="F183" s="491"/>
      <c r="G183" s="503"/>
      <c r="H183" s="231"/>
      <c r="I183" s="222"/>
      <c r="J183" s="222"/>
      <c r="K183" s="244"/>
      <c r="L183" s="229"/>
      <c r="M183" s="226"/>
      <c r="N183" s="229"/>
      <c r="O183" s="256"/>
      <c r="P183" s="385">
        <v>182</v>
      </c>
      <c r="Q183" s="249"/>
      <c r="R183" s="412">
        <v>0</v>
      </c>
      <c r="S183" s="426">
        <v>0</v>
      </c>
      <c r="T183" s="549">
        <v>0</v>
      </c>
      <c r="U183" s="549"/>
      <c r="V183" s="549">
        <v>0</v>
      </c>
      <c r="W183" s="311">
        <f>V182*(D182/100)</f>
        <v>0</v>
      </c>
      <c r="X183" s="421"/>
      <c r="Y183" s="377" t="str">
        <f>IFERROR(INT(#REF!/(F182)),"")</f>
        <v/>
      </c>
      <c r="Z183" s="402"/>
      <c r="AA183" s="403"/>
      <c r="AB183" s="500"/>
    </row>
    <row r="184" spans="1:28" ht="12.75" hidden="1" customHeight="1" outlineLevel="1">
      <c r="A184" s="484" t="s">
        <v>619</v>
      </c>
      <c r="B184" s="567"/>
      <c r="C184" s="620"/>
      <c r="D184" s="621"/>
      <c r="E184" s="571"/>
      <c r="F184" s="593"/>
      <c r="G184" s="502"/>
      <c r="H184" s="233"/>
      <c r="I184" s="223"/>
      <c r="J184" s="223"/>
      <c r="K184" s="247"/>
      <c r="L184" s="237"/>
      <c r="M184" s="227"/>
      <c r="N184" s="237"/>
      <c r="O184" s="257"/>
      <c r="P184" s="384">
        <v>183</v>
      </c>
      <c r="Q184" s="250"/>
      <c r="R184" s="415">
        <v>0</v>
      </c>
      <c r="S184" s="427">
        <v>0</v>
      </c>
      <c r="T184" s="550">
        <v>0</v>
      </c>
      <c r="U184" s="550"/>
      <c r="V184" s="550"/>
      <c r="W184" s="525">
        <f t="shared" ref="W184" si="151">(V184*X184)</f>
        <v>0</v>
      </c>
      <c r="X184" s="424"/>
      <c r="Y184" s="404">
        <f>IF(D184&lt;&gt;0,($C185*(1-$AA$1))-$D184,0)</f>
        <v>0</v>
      </c>
      <c r="Z184" s="405" t="str">
        <f t="shared" ref="Z184" si="152">IFERROR(IF(C184&lt;&gt;"",$AB$1/(D182/100)*(C184/100),""),"")</f>
        <v/>
      </c>
      <c r="AA184" s="406" t="str">
        <f t="shared" ref="AA184:AA185" si="153">IFERROR($AC$1/(D184/100)*(C182/100),"")</f>
        <v/>
      </c>
      <c r="AB184" s="517"/>
    </row>
    <row r="185" spans="1:28" ht="12.75" hidden="1" customHeight="1" outlineLevel="1">
      <c r="A185" s="366" t="s">
        <v>620</v>
      </c>
      <c r="B185" s="566"/>
      <c r="C185" s="622"/>
      <c r="D185" s="622"/>
      <c r="E185" s="566"/>
      <c r="F185" s="491"/>
      <c r="G185" s="595"/>
      <c r="H185" s="231"/>
      <c r="I185" s="222"/>
      <c r="J185" s="222"/>
      <c r="K185" s="244"/>
      <c r="L185" s="229"/>
      <c r="M185" s="226"/>
      <c r="N185" s="229"/>
      <c r="O185" s="256"/>
      <c r="P185" s="385">
        <v>184</v>
      </c>
      <c r="Q185" s="249"/>
      <c r="R185" s="412">
        <v>0</v>
      </c>
      <c r="S185" s="426">
        <v>0</v>
      </c>
      <c r="T185" s="549">
        <v>0</v>
      </c>
      <c r="U185" s="549"/>
      <c r="V185" s="549">
        <v>0</v>
      </c>
      <c r="W185" s="526">
        <f>V184*(F184/100)</f>
        <v>0</v>
      </c>
      <c r="X185" s="421"/>
      <c r="Y185" s="378" t="str">
        <f>IFERROR(INT(#REF!/(F184/100)),"")</f>
        <v/>
      </c>
      <c r="Z185" s="407" t="str">
        <f t="shared" ref="Z185:Z187" si="154">IFERROR(IF(C185&lt;&gt;"",$AB$1/(D181/100)*(C185/100),""),"")</f>
        <v/>
      </c>
      <c r="AA185" s="408" t="str">
        <f t="shared" si="153"/>
        <v/>
      </c>
      <c r="AB185" s="500"/>
    </row>
    <row r="186" spans="1:28" ht="12.75" hidden="1" customHeight="1" outlineLevel="1">
      <c r="A186" s="484" t="s">
        <v>621</v>
      </c>
      <c r="B186" s="567"/>
      <c r="C186" s="620"/>
      <c r="D186" s="621"/>
      <c r="E186" s="571"/>
      <c r="F186" s="594"/>
      <c r="G186" s="502"/>
      <c r="H186" s="233"/>
      <c r="I186" s="223"/>
      <c r="J186" s="223"/>
      <c r="K186" s="247"/>
      <c r="L186" s="237"/>
      <c r="M186" s="227"/>
      <c r="N186" s="237"/>
      <c r="O186" s="257"/>
      <c r="P186" s="384">
        <v>185</v>
      </c>
      <c r="Q186" s="250"/>
      <c r="R186" s="415">
        <v>0</v>
      </c>
      <c r="S186" s="427">
        <v>0</v>
      </c>
      <c r="T186" s="550">
        <v>0</v>
      </c>
      <c r="U186" s="550"/>
      <c r="V186" s="550"/>
      <c r="W186" s="527">
        <f t="shared" ref="W186" si="155">(V186*X186)</f>
        <v>0</v>
      </c>
      <c r="X186" s="423"/>
      <c r="Y186" s="409">
        <f>IF(D186&lt;&gt;0,($C187*(1-$AA$1))-$D186,0)</f>
        <v>0</v>
      </c>
      <c r="Z186" s="410" t="str">
        <f t="shared" si="154"/>
        <v/>
      </c>
      <c r="AA186" s="411" t="str">
        <f t="shared" ref="AA186:AA187" si="156">IFERROR($AC$1/(D186/100)*(C182/100),"")</f>
        <v/>
      </c>
      <c r="AB186" s="517"/>
    </row>
    <row r="187" spans="1:28" ht="12.75" hidden="1" customHeight="1" outlineLevel="1">
      <c r="A187" s="468" t="s">
        <v>622</v>
      </c>
      <c r="B187" s="626"/>
      <c r="C187" s="627"/>
      <c r="D187" s="627"/>
      <c r="E187" s="626"/>
      <c r="F187" s="493"/>
      <c r="G187" s="505"/>
      <c r="H187" s="469"/>
      <c r="I187" s="470"/>
      <c r="J187" s="470"/>
      <c r="K187" s="483"/>
      <c r="L187" s="473"/>
      <c r="M187" s="472"/>
      <c r="N187" s="473"/>
      <c r="O187" s="474"/>
      <c r="P187" s="562">
        <v>186</v>
      </c>
      <c r="Q187" s="475"/>
      <c r="R187" s="476">
        <v>0</v>
      </c>
      <c r="S187" s="477">
        <v>0</v>
      </c>
      <c r="T187" s="551">
        <v>0</v>
      </c>
      <c r="U187" s="551"/>
      <c r="V187" s="551">
        <v>0</v>
      </c>
      <c r="W187" s="529">
        <f>V186*(C186/100)</f>
        <v>0</v>
      </c>
      <c r="X187" s="435"/>
      <c r="Y187" s="456" t="str">
        <f>IFERROR(INT(#REF!/(F186)),"")</f>
        <v/>
      </c>
      <c r="Z187" s="457" t="str">
        <f t="shared" si="154"/>
        <v/>
      </c>
      <c r="AA187" s="458" t="str">
        <f t="shared" si="156"/>
        <v/>
      </c>
      <c r="AB187" s="500"/>
    </row>
    <row r="188" spans="1:28" ht="12.75" hidden="1" customHeight="1" outlineLevel="1">
      <c r="A188" s="485" t="s">
        <v>623</v>
      </c>
      <c r="B188" s="567"/>
      <c r="C188" s="620"/>
      <c r="D188" s="621"/>
      <c r="E188" s="571"/>
      <c r="F188" s="593"/>
      <c r="G188" s="502"/>
      <c r="H188" s="232"/>
      <c r="I188" s="224"/>
      <c r="J188" s="224"/>
      <c r="K188" s="246"/>
      <c r="L188" s="239"/>
      <c r="M188" s="228"/>
      <c r="N188" s="239"/>
      <c r="O188" s="255"/>
      <c r="P188" s="384">
        <v>187</v>
      </c>
      <c r="Q188" s="251"/>
      <c r="R188" s="413">
        <v>0</v>
      </c>
      <c r="S188" s="425">
        <v>0</v>
      </c>
      <c r="T188" s="548">
        <v>0</v>
      </c>
      <c r="U188" s="548"/>
      <c r="V188" s="548"/>
      <c r="W188" s="524">
        <f t="shared" ref="W188" si="157">(V188*X188)</f>
        <v>0</v>
      </c>
      <c r="X188" s="422"/>
      <c r="Y188" s="399">
        <f>IF(D188&lt;&gt;0,($C189*(1-$AA$1))-$D188,0)</f>
        <v>0</v>
      </c>
      <c r="Z188" s="400"/>
      <c r="AA188" s="401"/>
      <c r="AB188" s="517"/>
    </row>
    <row r="189" spans="1:28" ht="12.75" hidden="1" customHeight="1" outlineLevel="1">
      <c r="A189" s="366" t="s">
        <v>624</v>
      </c>
      <c r="B189" s="566"/>
      <c r="C189" s="622"/>
      <c r="D189" s="622"/>
      <c r="E189" s="566"/>
      <c r="F189" s="491"/>
      <c r="G189" s="503"/>
      <c r="H189" s="231"/>
      <c r="I189" s="222"/>
      <c r="J189" s="222"/>
      <c r="K189" s="244"/>
      <c r="L189" s="229"/>
      <c r="M189" s="226"/>
      <c r="N189" s="229"/>
      <c r="O189" s="256"/>
      <c r="P189" s="385">
        <v>188</v>
      </c>
      <c r="Q189" s="249"/>
      <c r="R189" s="412">
        <v>0</v>
      </c>
      <c r="S189" s="426">
        <v>0</v>
      </c>
      <c r="T189" s="549">
        <v>0</v>
      </c>
      <c r="U189" s="549"/>
      <c r="V189" s="549">
        <v>0</v>
      </c>
      <c r="W189" s="311">
        <f>V188*(D188/100)</f>
        <v>0</v>
      </c>
      <c r="X189" s="421"/>
      <c r="Y189" s="377" t="str">
        <f>IFERROR(INT(#REF!/(F188)),"")</f>
        <v/>
      </c>
      <c r="Z189" s="402"/>
      <c r="AA189" s="403"/>
      <c r="AB189" s="500"/>
    </row>
    <row r="190" spans="1:28" ht="12.75" hidden="1" customHeight="1" outlineLevel="1">
      <c r="A190" s="484" t="s">
        <v>625</v>
      </c>
      <c r="B190" s="567"/>
      <c r="C190" s="620"/>
      <c r="D190" s="621"/>
      <c r="E190" s="571"/>
      <c r="F190" s="593"/>
      <c r="G190" s="502"/>
      <c r="H190" s="233"/>
      <c r="I190" s="223"/>
      <c r="J190" s="223"/>
      <c r="K190" s="247"/>
      <c r="L190" s="237"/>
      <c r="M190" s="227"/>
      <c r="N190" s="237"/>
      <c r="O190" s="257"/>
      <c r="P190" s="384">
        <v>189</v>
      </c>
      <c r="Q190" s="250"/>
      <c r="R190" s="415">
        <v>0</v>
      </c>
      <c r="S190" s="427">
        <v>0</v>
      </c>
      <c r="T190" s="550">
        <v>0</v>
      </c>
      <c r="U190" s="550"/>
      <c r="V190" s="550"/>
      <c r="W190" s="525">
        <f t="shared" ref="W190" si="158">(V190*X190)</f>
        <v>0</v>
      </c>
      <c r="X190" s="424"/>
      <c r="Y190" s="404">
        <f>IF(D190&lt;&gt;0,($C191*(1-$AA$1))-$D190,0)</f>
        <v>0</v>
      </c>
      <c r="Z190" s="405" t="str">
        <f t="shared" ref="Z190" si="159">IFERROR(IF(C190&lt;&gt;"",$AB$1/(D188/100)*(C190/100),""),"")</f>
        <v/>
      </c>
      <c r="AA190" s="406" t="str">
        <f t="shared" ref="AA190:AA191" si="160">IFERROR($AC$1/(D190/100)*(C188/100),"")</f>
        <v/>
      </c>
      <c r="AB190" s="517"/>
    </row>
    <row r="191" spans="1:28" ht="12.75" hidden="1" customHeight="1" outlineLevel="1">
      <c r="A191" s="366" t="s">
        <v>626</v>
      </c>
      <c r="B191" s="566"/>
      <c r="C191" s="622"/>
      <c r="D191" s="622"/>
      <c r="E191" s="566"/>
      <c r="F191" s="491"/>
      <c r="G191" s="595"/>
      <c r="H191" s="231"/>
      <c r="I191" s="222"/>
      <c r="J191" s="222"/>
      <c r="K191" s="244"/>
      <c r="L191" s="229"/>
      <c r="M191" s="226"/>
      <c r="N191" s="229"/>
      <c r="O191" s="256"/>
      <c r="P191" s="385">
        <v>190</v>
      </c>
      <c r="Q191" s="249"/>
      <c r="R191" s="412">
        <v>0</v>
      </c>
      <c r="S191" s="426">
        <v>0</v>
      </c>
      <c r="T191" s="549">
        <v>0</v>
      </c>
      <c r="U191" s="549"/>
      <c r="V191" s="549">
        <v>0</v>
      </c>
      <c r="W191" s="526">
        <f>V190*(F190/100)</f>
        <v>0</v>
      </c>
      <c r="X191" s="421"/>
      <c r="Y191" s="378" t="str">
        <f>IFERROR(INT(#REF!/(F190/100)),"")</f>
        <v/>
      </c>
      <c r="Z191" s="407" t="str">
        <f t="shared" ref="Z191:Z193" si="161">IFERROR(IF(C191&lt;&gt;"",$AB$1/(D187/100)*(C191/100),""),"")</f>
        <v/>
      </c>
      <c r="AA191" s="408" t="str">
        <f t="shared" si="160"/>
        <v/>
      </c>
      <c r="AB191" s="500"/>
    </row>
    <row r="192" spans="1:28" ht="12.75" hidden="1" customHeight="1" outlineLevel="1">
      <c r="A192" s="484" t="s">
        <v>627</v>
      </c>
      <c r="B192" s="567"/>
      <c r="C192" s="620"/>
      <c r="D192" s="621"/>
      <c r="E192" s="571"/>
      <c r="F192" s="594"/>
      <c r="G192" s="502"/>
      <c r="H192" s="233"/>
      <c r="I192" s="223"/>
      <c r="J192" s="223"/>
      <c r="K192" s="247"/>
      <c r="L192" s="237"/>
      <c r="M192" s="227"/>
      <c r="N192" s="237"/>
      <c r="O192" s="257"/>
      <c r="P192" s="384">
        <v>191</v>
      </c>
      <c r="Q192" s="250"/>
      <c r="R192" s="415">
        <v>0</v>
      </c>
      <c r="S192" s="427">
        <v>0</v>
      </c>
      <c r="T192" s="550">
        <v>0</v>
      </c>
      <c r="U192" s="550"/>
      <c r="V192" s="550"/>
      <c r="W192" s="527">
        <f t="shared" ref="W192" si="162">(V192*X192)</f>
        <v>0</v>
      </c>
      <c r="X192" s="423"/>
      <c r="Y192" s="409">
        <f>IF(D192&lt;&gt;0,($C193*(1-$AA$1))-$D192,0)</f>
        <v>0</v>
      </c>
      <c r="Z192" s="410" t="str">
        <f t="shared" si="161"/>
        <v/>
      </c>
      <c r="AA192" s="411" t="str">
        <f t="shared" ref="AA192:AA193" si="163">IFERROR($AC$1/(D192/100)*(C188/100),"")</f>
        <v/>
      </c>
      <c r="AB192" s="517"/>
    </row>
    <row r="193" spans="1:28" ht="12.75" hidden="1" customHeight="1" outlineLevel="1">
      <c r="A193" s="468" t="s">
        <v>628</v>
      </c>
      <c r="B193" s="626"/>
      <c r="C193" s="627"/>
      <c r="D193" s="627"/>
      <c r="E193" s="626"/>
      <c r="F193" s="493"/>
      <c r="G193" s="505"/>
      <c r="H193" s="469"/>
      <c r="I193" s="470"/>
      <c r="J193" s="470"/>
      <c r="K193" s="483"/>
      <c r="L193" s="473"/>
      <c r="M193" s="472"/>
      <c r="N193" s="473"/>
      <c r="O193" s="474"/>
      <c r="P193" s="562">
        <v>192</v>
      </c>
      <c r="Q193" s="475"/>
      <c r="R193" s="476">
        <v>0</v>
      </c>
      <c r="S193" s="477">
        <v>0</v>
      </c>
      <c r="T193" s="551">
        <v>0</v>
      </c>
      <c r="U193" s="551"/>
      <c r="V193" s="551">
        <v>0</v>
      </c>
      <c r="W193" s="529">
        <f>V192*(C192/100)</f>
        <v>0</v>
      </c>
      <c r="X193" s="435"/>
      <c r="Y193" s="456" t="str">
        <f>IFERROR(INT(#REF!/(F192)),"")</f>
        <v/>
      </c>
      <c r="Z193" s="457" t="str">
        <f t="shared" si="161"/>
        <v/>
      </c>
      <c r="AA193" s="458" t="str">
        <f t="shared" si="163"/>
        <v/>
      </c>
      <c r="AB193" s="500"/>
    </row>
    <row r="194" spans="1:28" ht="12.75" hidden="1" customHeight="1" outlineLevel="1">
      <c r="A194" s="485" t="s">
        <v>629</v>
      </c>
      <c r="B194" s="567"/>
      <c r="C194" s="620"/>
      <c r="D194" s="621"/>
      <c r="E194" s="571"/>
      <c r="F194" s="593"/>
      <c r="G194" s="502"/>
      <c r="H194" s="232"/>
      <c r="I194" s="224"/>
      <c r="J194" s="224"/>
      <c r="K194" s="246"/>
      <c r="L194" s="239"/>
      <c r="M194" s="228"/>
      <c r="N194" s="239"/>
      <c r="O194" s="255"/>
      <c r="P194" s="384">
        <v>193</v>
      </c>
      <c r="Q194" s="251"/>
      <c r="R194" s="413">
        <v>0</v>
      </c>
      <c r="S194" s="425">
        <v>0</v>
      </c>
      <c r="T194" s="548">
        <v>0</v>
      </c>
      <c r="U194" s="548"/>
      <c r="V194" s="548"/>
      <c r="W194" s="524">
        <f t="shared" ref="W194" si="164">(V194*X194)</f>
        <v>0</v>
      </c>
      <c r="X194" s="422"/>
      <c r="Y194" s="399">
        <f>IF(D194&lt;&gt;0,($C195*(1-$AA$1))-$D194,0)</f>
        <v>0</v>
      </c>
      <c r="Z194" s="400"/>
      <c r="AA194" s="401"/>
      <c r="AB194" s="517"/>
    </row>
    <row r="195" spans="1:28" ht="12.75" hidden="1" customHeight="1" outlineLevel="1">
      <c r="A195" s="366" t="s">
        <v>630</v>
      </c>
      <c r="B195" s="566"/>
      <c r="C195" s="622"/>
      <c r="D195" s="622"/>
      <c r="E195" s="566"/>
      <c r="F195" s="491"/>
      <c r="G195" s="503"/>
      <c r="H195" s="231"/>
      <c r="I195" s="222"/>
      <c r="J195" s="222"/>
      <c r="K195" s="244"/>
      <c r="L195" s="229"/>
      <c r="M195" s="226"/>
      <c r="N195" s="229"/>
      <c r="O195" s="256"/>
      <c r="P195" s="385">
        <v>194</v>
      </c>
      <c r="Q195" s="249"/>
      <c r="R195" s="412">
        <v>0</v>
      </c>
      <c r="S195" s="426">
        <v>0</v>
      </c>
      <c r="T195" s="549">
        <v>0</v>
      </c>
      <c r="U195" s="549"/>
      <c r="V195" s="549">
        <v>0</v>
      </c>
      <c r="W195" s="311">
        <f>V194*(D194/100)</f>
        <v>0</v>
      </c>
      <c r="X195" s="421"/>
      <c r="Y195" s="377" t="str">
        <f>IFERROR(INT(#REF!/(F194)),"")</f>
        <v/>
      </c>
      <c r="Z195" s="402"/>
      <c r="AA195" s="403"/>
      <c r="AB195" s="500"/>
    </row>
    <row r="196" spans="1:28" ht="12.75" hidden="1" customHeight="1" outlineLevel="1">
      <c r="A196" s="484" t="s">
        <v>633</v>
      </c>
      <c r="B196" s="567"/>
      <c r="C196" s="620"/>
      <c r="D196" s="621"/>
      <c r="E196" s="571"/>
      <c r="F196" s="593"/>
      <c r="G196" s="502"/>
      <c r="H196" s="233"/>
      <c r="I196" s="223"/>
      <c r="J196" s="223"/>
      <c r="K196" s="247"/>
      <c r="L196" s="237"/>
      <c r="M196" s="227"/>
      <c r="N196" s="237"/>
      <c r="O196" s="257"/>
      <c r="P196" s="384">
        <v>195</v>
      </c>
      <c r="Q196" s="250"/>
      <c r="R196" s="415">
        <v>0</v>
      </c>
      <c r="S196" s="427">
        <v>0</v>
      </c>
      <c r="T196" s="550">
        <v>0</v>
      </c>
      <c r="U196" s="550"/>
      <c r="V196" s="550"/>
      <c r="W196" s="525">
        <f t="shared" ref="W196" si="165">(V196*X196)</f>
        <v>0</v>
      </c>
      <c r="X196" s="424"/>
      <c r="Y196" s="404">
        <f>IF(D196&lt;&gt;0,($C197*(1-$AA$1))-$D196,0)</f>
        <v>0</v>
      </c>
      <c r="Z196" s="405" t="str">
        <f t="shared" ref="Z196" si="166">IFERROR(IF(C196&lt;&gt;"",$AB$1/(D194/100)*(C196/100),""),"")</f>
        <v/>
      </c>
      <c r="AA196" s="406" t="str">
        <f t="shared" ref="AA196:AA197" si="167">IFERROR($AC$1/(D196/100)*(C194/100),"")</f>
        <v/>
      </c>
      <c r="AB196" s="517"/>
    </row>
    <row r="197" spans="1:28" ht="12.75" hidden="1" customHeight="1" outlineLevel="1">
      <c r="A197" s="366" t="s">
        <v>634</v>
      </c>
      <c r="B197" s="566"/>
      <c r="C197" s="622"/>
      <c r="D197" s="622"/>
      <c r="E197" s="566"/>
      <c r="F197" s="491"/>
      <c r="G197" s="595"/>
      <c r="H197" s="231"/>
      <c r="I197" s="222"/>
      <c r="J197" s="222"/>
      <c r="K197" s="244"/>
      <c r="L197" s="229"/>
      <c r="M197" s="226"/>
      <c r="N197" s="229"/>
      <c r="O197" s="256"/>
      <c r="P197" s="385">
        <v>196</v>
      </c>
      <c r="Q197" s="249"/>
      <c r="R197" s="412">
        <v>0</v>
      </c>
      <c r="S197" s="426">
        <v>0</v>
      </c>
      <c r="T197" s="549">
        <v>0</v>
      </c>
      <c r="U197" s="549"/>
      <c r="V197" s="549">
        <v>0</v>
      </c>
      <c r="W197" s="526">
        <f>V196*(F196/100)</f>
        <v>0</v>
      </c>
      <c r="X197" s="421"/>
      <c r="Y197" s="378" t="str">
        <f>IFERROR(INT(#REF!/(F196/100)),"")</f>
        <v/>
      </c>
      <c r="Z197" s="407" t="str">
        <f t="shared" ref="Z197:Z199" si="168">IFERROR(IF(C197&lt;&gt;"",$AB$1/(D193/100)*(C197/100),""),"")</f>
        <v/>
      </c>
      <c r="AA197" s="408" t="str">
        <f t="shared" si="167"/>
        <v/>
      </c>
      <c r="AB197" s="500"/>
    </row>
    <row r="198" spans="1:28" ht="12.75" hidden="1" customHeight="1" outlineLevel="1">
      <c r="A198" s="484" t="s">
        <v>631</v>
      </c>
      <c r="B198" s="567"/>
      <c r="C198" s="620"/>
      <c r="D198" s="621"/>
      <c r="E198" s="571"/>
      <c r="F198" s="594"/>
      <c r="G198" s="502"/>
      <c r="H198" s="233"/>
      <c r="I198" s="223"/>
      <c r="J198" s="223"/>
      <c r="K198" s="247"/>
      <c r="L198" s="237"/>
      <c r="M198" s="227"/>
      <c r="N198" s="237"/>
      <c r="O198" s="257"/>
      <c r="P198" s="384">
        <v>197</v>
      </c>
      <c r="Q198" s="250"/>
      <c r="R198" s="415">
        <v>0</v>
      </c>
      <c r="S198" s="427">
        <v>0</v>
      </c>
      <c r="T198" s="550">
        <v>0</v>
      </c>
      <c r="U198" s="550"/>
      <c r="V198" s="550"/>
      <c r="W198" s="527">
        <f t="shared" ref="W198" si="169">(V198*X198)</f>
        <v>0</v>
      </c>
      <c r="X198" s="423"/>
      <c r="Y198" s="409">
        <f>IF(D198&lt;&gt;0,($C199*(1-$AA$1))-$D198,0)</f>
        <v>0</v>
      </c>
      <c r="Z198" s="410" t="str">
        <f t="shared" si="168"/>
        <v/>
      </c>
      <c r="AA198" s="411" t="str">
        <f t="shared" ref="AA198:AA199" si="170">IFERROR($AC$1/(D198/100)*(C194/100),"")</f>
        <v/>
      </c>
      <c r="AB198" s="517"/>
    </row>
    <row r="199" spans="1:28" ht="12.75" hidden="1" customHeight="1" outlineLevel="1">
      <c r="A199" s="468" t="s">
        <v>632</v>
      </c>
      <c r="B199" s="626"/>
      <c r="C199" s="627"/>
      <c r="D199" s="627"/>
      <c r="E199" s="626"/>
      <c r="F199" s="493"/>
      <c r="G199" s="505"/>
      <c r="H199" s="240"/>
      <c r="I199" s="241"/>
      <c r="J199" s="241"/>
      <c r="K199" s="459"/>
      <c r="L199" s="243"/>
      <c r="M199" s="242"/>
      <c r="N199" s="243"/>
      <c r="O199" s="258"/>
      <c r="P199" s="385">
        <v>198</v>
      </c>
      <c r="Q199" s="386"/>
      <c r="R199" s="414">
        <v>0</v>
      </c>
      <c r="S199" s="449">
        <v>0</v>
      </c>
      <c r="T199" s="552">
        <v>0</v>
      </c>
      <c r="U199" s="552"/>
      <c r="V199" s="552">
        <v>0</v>
      </c>
      <c r="W199" s="529">
        <f>V198*(C198/100)</f>
        <v>0</v>
      </c>
      <c r="X199" s="435"/>
      <c r="Y199" s="456" t="str">
        <f>IFERROR(INT(#REF!/(F198)),"")</f>
        <v/>
      </c>
      <c r="Z199" s="457" t="str">
        <f t="shared" si="168"/>
        <v/>
      </c>
      <c r="AA199" s="458" t="str">
        <f t="shared" si="170"/>
        <v/>
      </c>
      <c r="AB199" s="500"/>
    </row>
    <row r="200" spans="1:28" ht="12.75" customHeight="1" collapsed="1"/>
    <row r="204" spans="1:28" ht="12.75" customHeight="1">
      <c r="A204" s="437"/>
    </row>
    <row r="205" spans="1:28" ht="12.75" customHeight="1">
      <c r="A205" s="438"/>
    </row>
    <row r="206" spans="1:28" ht="12.75" customHeight="1">
      <c r="A206" s="438"/>
    </row>
    <row r="207" spans="1:28" ht="12.75" customHeight="1">
      <c r="A207" s="438"/>
    </row>
  </sheetData>
  <sortState xmlns:xlrd2="http://schemas.microsoft.com/office/spreadsheetml/2017/richdata2" ref="A15">
    <sortCondition descending="1" ref="A14:A15"/>
  </sortState>
  <mergeCells count="16">
    <mergeCell ref="Q1:R1"/>
    <mergeCell ref="AA2:AA3"/>
    <mergeCell ref="AA6:AA7"/>
    <mergeCell ref="AA10:AA11"/>
    <mergeCell ref="AA8:AA9"/>
    <mergeCell ref="AA4:AA5"/>
    <mergeCell ref="U1:V1"/>
    <mergeCell ref="S1:T1"/>
    <mergeCell ref="Z26:Z27"/>
    <mergeCell ref="AA12:AA13"/>
    <mergeCell ref="AA14:AA15"/>
    <mergeCell ref="AA16:AA17"/>
    <mergeCell ref="AA18:AA19"/>
    <mergeCell ref="AA20:AA21"/>
    <mergeCell ref="AA22:AA23"/>
    <mergeCell ref="AA24:AA25"/>
  </mergeCells>
  <phoneticPr fontId="16" type="noConversion"/>
  <conditionalFormatting sqref="Q60:T157">
    <cfRule type="cellIs" dxfId="2941" priority="17620" operator="equal">
      <formula>0</formula>
    </cfRule>
  </conditionalFormatting>
  <conditionalFormatting sqref="Y64 Y66">
    <cfRule type="cellIs" dxfId="2940" priority="13716" operator="lessThanOrEqual">
      <formula>0</formula>
    </cfRule>
  </conditionalFormatting>
  <conditionalFormatting sqref="Z30:Z34 Z37:Z39">
    <cfRule type="cellIs" dxfId="2939" priority="18363" operator="equal">
      <formula>0</formula>
    </cfRule>
  </conditionalFormatting>
  <conditionalFormatting sqref="W63">
    <cfRule type="cellIs" dxfId="2938" priority="13670" operator="equal">
      <formula>0</formula>
    </cfRule>
  </conditionalFormatting>
  <conditionalFormatting sqref="W62">
    <cfRule type="cellIs" dxfId="2937" priority="8780" operator="equal">
      <formula>0</formula>
    </cfRule>
    <cfRule type="cellIs" dxfId="2936" priority="8782" operator="lessThan">
      <formula>W63</formula>
    </cfRule>
    <cfRule type="cellIs" dxfId="2935" priority="13669" operator="lessThan">
      <formula>0</formula>
    </cfRule>
  </conditionalFormatting>
  <conditionalFormatting sqref="W65">
    <cfRule type="cellIs" dxfId="2934" priority="13668" operator="equal">
      <formula>0</formula>
    </cfRule>
  </conditionalFormatting>
  <conditionalFormatting sqref="W64">
    <cfRule type="cellIs" dxfId="2933" priority="8778" operator="equal">
      <formula>0</formula>
    </cfRule>
    <cfRule type="cellIs" dxfId="2932" priority="8779" operator="lessThan">
      <formula>W65</formula>
    </cfRule>
    <cfRule type="cellIs" dxfId="2931" priority="13667" operator="lessThan">
      <formula>0</formula>
    </cfRule>
  </conditionalFormatting>
  <conditionalFormatting sqref="W66">
    <cfRule type="cellIs" dxfId="2930" priority="8777" operator="equal">
      <formula>0</formula>
    </cfRule>
    <cfRule type="cellIs" dxfId="2929" priority="8783" operator="lessThan">
      <formula>W67</formula>
    </cfRule>
  </conditionalFormatting>
  <conditionalFormatting sqref="Z2 Z6 Z10 Z14 Z18 Z22">
    <cfRule type="cellIs" dxfId="2928" priority="13337" operator="equal">
      <formula>0</formula>
    </cfRule>
  </conditionalFormatting>
  <conditionalFormatting sqref="Z3 Z7 Z11 Z15 Z19 Z23">
    <cfRule type="cellIs" dxfId="2927" priority="13336" operator="equal">
      <formula>0</formula>
    </cfRule>
  </conditionalFormatting>
  <conditionalFormatting sqref="Z4 Z8 Z12 Z16 Z20 Z24">
    <cfRule type="cellIs" dxfId="2926" priority="13335" operator="equal">
      <formula>0</formula>
    </cfRule>
  </conditionalFormatting>
  <conditionalFormatting sqref="Z5 Z9 Z13 Z17 Z21 Z25">
    <cfRule type="cellIs" dxfId="2925" priority="13334" operator="equal">
      <formula>0</formula>
    </cfRule>
  </conditionalFormatting>
  <conditionalFormatting sqref="Y3">
    <cfRule type="cellIs" dxfId="2924" priority="12390" operator="equal">
      <formula>0</formula>
    </cfRule>
  </conditionalFormatting>
  <conditionalFormatting sqref="Y4">
    <cfRule type="cellIs" dxfId="2923" priority="12389" operator="equal">
      <formula>0</formula>
    </cfRule>
  </conditionalFormatting>
  <conditionalFormatting sqref="Y7">
    <cfRule type="cellIs" dxfId="2922" priority="12384" operator="equal">
      <formula>0</formula>
    </cfRule>
  </conditionalFormatting>
  <conditionalFormatting sqref="Y8">
    <cfRule type="cellIs" dxfId="2921" priority="12383" operator="equal">
      <formula>0</formula>
    </cfRule>
  </conditionalFormatting>
  <conditionalFormatting sqref="Y11 Y15 Y19 Y23">
    <cfRule type="cellIs" dxfId="2920" priority="12378" operator="equal">
      <formula>0</formula>
    </cfRule>
  </conditionalFormatting>
  <conditionalFormatting sqref="Y12 Y16 Y20 Y24">
    <cfRule type="cellIs" dxfId="2919" priority="12377" operator="equal">
      <formula>0</formula>
    </cfRule>
  </conditionalFormatting>
  <conditionalFormatting sqref="B2 B6 B10 B14">
    <cfRule type="expression" dxfId="2918" priority="21575">
      <formula>IF($Y5&gt;$Y2,AND(MID($A2,5,1)=" "))</formula>
    </cfRule>
    <cfRule type="expression" dxfId="2917" priority="21576">
      <formula>IF($Y5&gt;$Y2,AND(MID($A2,5,1)="C"))</formula>
    </cfRule>
    <cfRule type="expression" dxfId="2916" priority="21577">
      <formula>IF($Y5&gt;$Y2,AND(MID($A2,5,1)="D"))</formula>
    </cfRule>
  </conditionalFormatting>
  <conditionalFormatting sqref="E3 E7 E11 E15">
    <cfRule type="expression" dxfId="2915" priority="21590">
      <formula>IF($Y5&gt;$Y2,AND(MID($A3,5,1)=" "))</formula>
    </cfRule>
    <cfRule type="expression" dxfId="2914" priority="21591">
      <formula>IF($Y5&gt;$Y2,AND(MID($A3,5,1)="C"))</formula>
    </cfRule>
    <cfRule type="expression" dxfId="2913" priority="21592">
      <formula>IF($Y5&gt;$Y2,AND(MID($A3,5,1)="D"))</formula>
    </cfRule>
  </conditionalFormatting>
  <conditionalFormatting sqref="B4 B8 B16">
    <cfRule type="expression" dxfId="2912" priority="21605">
      <formula>IF($Y5&gt;$Y2,AND(MID($A4,5,1)=" "))</formula>
    </cfRule>
    <cfRule type="expression" dxfId="2911" priority="21606">
      <formula>IF($Y5&gt;$Y2,AND(MID($A4,5,1)="C"))</formula>
    </cfRule>
    <cfRule type="expression" dxfId="2910" priority="21607">
      <formula>IF($Y5&gt;$Y2,AND(MID($A4,5,1)="D"))</formula>
    </cfRule>
  </conditionalFormatting>
  <conditionalFormatting sqref="E5 E9 E13 E17">
    <cfRule type="expression" dxfId="2909" priority="21620">
      <formula>IF($Y5&gt;$Y2,AND(MID($A5,5,1)=" "))</formula>
    </cfRule>
    <cfRule type="expression" dxfId="2908" priority="21621">
      <formula>IF($Y5&gt;$Y2,AND(MID($A5,5,1)="C"))</formula>
    </cfRule>
    <cfRule type="expression" dxfId="2907" priority="21622">
      <formula>IF($Y5&gt;$Y2,AND(MID($A5,5,1)="D"))</formula>
    </cfRule>
  </conditionalFormatting>
  <conditionalFormatting sqref="C2 C6 C10 C14">
    <cfRule type="expression" dxfId="2906" priority="21635">
      <formula>IF($Y5&gt;$Y2,AND(MID($A2,5,1)=" "))</formula>
    </cfRule>
    <cfRule type="expression" dxfId="2905" priority="21636">
      <formula>IF($Y5&gt;$Y2,AND(MID($A2,5,1)="C"))</formula>
    </cfRule>
    <cfRule type="expression" dxfId="2904" priority="21637">
      <formula>IF($Y5&gt;$Y2,AND(MID($A2,5,1)="D"))</formula>
    </cfRule>
  </conditionalFormatting>
  <conditionalFormatting sqref="D3 D7 D11 D15">
    <cfRule type="expression" dxfId="2903" priority="21650">
      <formula>IF($Y5&gt;$Y2,AND(MID($A3,5,1)=" "))</formula>
    </cfRule>
    <cfRule type="expression" dxfId="2902" priority="21651">
      <formula>IF($Y5&gt;$Y2,AND(MID($A3,5,1)="C"))</formula>
    </cfRule>
    <cfRule type="expression" dxfId="2901" priority="21652">
      <formula>IF($Y5&gt;$Y2,AND(MID($A3,5,1)="D"))</formula>
    </cfRule>
  </conditionalFormatting>
  <conditionalFormatting sqref="D5 D9 D13 D17">
    <cfRule type="expression" dxfId="2900" priority="21665">
      <formula>IF($Y5&gt;$Y2,AND(MID($A5,5,1)=" "))</formula>
    </cfRule>
    <cfRule type="expression" dxfId="2899" priority="21666">
      <formula>IF($Y5&gt;$Y2,AND(MID($A5,5,1)="C"))</formula>
    </cfRule>
    <cfRule type="expression" dxfId="2898" priority="21667">
      <formula>IF($Y5&gt;$Y2,AND(MID($A5,5,1)="D"))</formula>
    </cfRule>
  </conditionalFormatting>
  <conditionalFormatting sqref="C4 C8 C16">
    <cfRule type="expression" dxfId="2897" priority="21680">
      <formula>IF($Y5&gt;$Y2,AND(MID($A4,5,1)=" "))</formula>
    </cfRule>
    <cfRule type="expression" dxfId="2896" priority="21681">
      <formula>IF($Y5&gt;$Y2,AND(MID($A4,5,1)="C"))</formula>
    </cfRule>
    <cfRule type="expression" dxfId="2895" priority="21682">
      <formula>IF($Y5&gt;$Y2,AND(MID($A4,5,1)="D"))</formula>
    </cfRule>
  </conditionalFormatting>
  <conditionalFormatting sqref="Q158:T199">
    <cfRule type="cellIs" dxfId="2894" priority="11533" operator="equal">
      <formula>0</formula>
    </cfRule>
  </conditionalFormatting>
  <conditionalFormatting sqref="Z64">
    <cfRule type="cellIs" dxfId="2893" priority="11510" operator="equal">
      <formula>0</formula>
    </cfRule>
  </conditionalFormatting>
  <conditionalFormatting sqref="AA64">
    <cfRule type="cellIs" dxfId="2892" priority="11509" operator="equal">
      <formula>0</formula>
    </cfRule>
  </conditionalFormatting>
  <conditionalFormatting sqref="Z65 Z67">
    <cfRule type="cellIs" dxfId="2891" priority="11507" operator="equal">
      <formula>0</formula>
    </cfRule>
  </conditionalFormatting>
  <conditionalFormatting sqref="AA65:AA67">
    <cfRule type="cellIs" dxfId="2890" priority="11506" operator="equal">
      <formula>0</formula>
    </cfRule>
  </conditionalFormatting>
  <conditionalFormatting sqref="Z70">
    <cfRule type="cellIs" dxfId="2889" priority="11505" operator="equal">
      <formula>0</formula>
    </cfRule>
  </conditionalFormatting>
  <conditionalFormatting sqref="AA70">
    <cfRule type="cellIs" dxfId="2888" priority="11504" operator="equal">
      <formula>0</formula>
    </cfRule>
  </conditionalFormatting>
  <conditionalFormatting sqref="Z71:Z73">
    <cfRule type="cellIs" dxfId="2887" priority="11502" operator="equal">
      <formula>0</formula>
    </cfRule>
  </conditionalFormatting>
  <conditionalFormatting sqref="AA71:AA73">
    <cfRule type="cellIs" dxfId="2886" priority="11501" operator="equal">
      <formula>0</formula>
    </cfRule>
  </conditionalFormatting>
  <conditionalFormatting sqref="Z76">
    <cfRule type="cellIs" dxfId="2885" priority="11500" operator="equal">
      <formula>0</formula>
    </cfRule>
  </conditionalFormatting>
  <conditionalFormatting sqref="AA76">
    <cfRule type="cellIs" dxfId="2884" priority="11499" operator="equal">
      <formula>0</formula>
    </cfRule>
  </conditionalFormatting>
  <conditionalFormatting sqref="Z77:Z79">
    <cfRule type="cellIs" dxfId="2883" priority="11497" operator="equal">
      <formula>0</formula>
    </cfRule>
  </conditionalFormatting>
  <conditionalFormatting sqref="AA77:AA79">
    <cfRule type="cellIs" dxfId="2882" priority="11496" operator="equal">
      <formula>0</formula>
    </cfRule>
  </conditionalFormatting>
  <conditionalFormatting sqref="Z82">
    <cfRule type="cellIs" dxfId="2881" priority="11495" operator="equal">
      <formula>0</formula>
    </cfRule>
  </conditionalFormatting>
  <conditionalFormatting sqref="AA82">
    <cfRule type="cellIs" dxfId="2880" priority="11494" operator="equal">
      <formula>0</formula>
    </cfRule>
  </conditionalFormatting>
  <conditionalFormatting sqref="Z83:Z85">
    <cfRule type="cellIs" dxfId="2879" priority="11492" operator="equal">
      <formula>0</formula>
    </cfRule>
  </conditionalFormatting>
  <conditionalFormatting sqref="AA83:AA85">
    <cfRule type="cellIs" dxfId="2878" priority="11491" operator="equal">
      <formula>0</formula>
    </cfRule>
  </conditionalFormatting>
  <conditionalFormatting sqref="Z88">
    <cfRule type="cellIs" dxfId="2877" priority="11490" operator="equal">
      <formula>0</formula>
    </cfRule>
  </conditionalFormatting>
  <conditionalFormatting sqref="AA88">
    <cfRule type="cellIs" dxfId="2876" priority="11489" operator="equal">
      <formula>0</formula>
    </cfRule>
  </conditionalFormatting>
  <conditionalFormatting sqref="Z89:Z91">
    <cfRule type="cellIs" dxfId="2875" priority="11487" operator="equal">
      <formula>0</formula>
    </cfRule>
  </conditionalFormatting>
  <conditionalFormatting sqref="AA89:AA91">
    <cfRule type="cellIs" dxfId="2874" priority="11486" operator="equal">
      <formula>0</formula>
    </cfRule>
  </conditionalFormatting>
  <conditionalFormatting sqref="Z94">
    <cfRule type="cellIs" dxfId="2873" priority="11485" operator="equal">
      <formula>0</formula>
    </cfRule>
  </conditionalFormatting>
  <conditionalFormatting sqref="AA94">
    <cfRule type="cellIs" dxfId="2872" priority="11484" operator="equal">
      <formula>0</formula>
    </cfRule>
  </conditionalFormatting>
  <conditionalFormatting sqref="Z95:Z97">
    <cfRule type="cellIs" dxfId="2871" priority="11482" operator="equal">
      <formula>0</formula>
    </cfRule>
  </conditionalFormatting>
  <conditionalFormatting sqref="AA95:AA97">
    <cfRule type="cellIs" dxfId="2870" priority="11481" operator="equal">
      <formula>0</formula>
    </cfRule>
  </conditionalFormatting>
  <conditionalFormatting sqref="Z100">
    <cfRule type="cellIs" dxfId="2869" priority="11480" operator="equal">
      <formula>0</formula>
    </cfRule>
  </conditionalFormatting>
  <conditionalFormatting sqref="AA100">
    <cfRule type="cellIs" dxfId="2868" priority="11479" operator="equal">
      <formula>0</formula>
    </cfRule>
  </conditionalFormatting>
  <conditionalFormatting sqref="Z101:Z103">
    <cfRule type="cellIs" dxfId="2867" priority="11477" operator="equal">
      <formula>0</formula>
    </cfRule>
  </conditionalFormatting>
  <conditionalFormatting sqref="AA101:AA103">
    <cfRule type="cellIs" dxfId="2866" priority="11476" operator="equal">
      <formula>0</formula>
    </cfRule>
  </conditionalFormatting>
  <conditionalFormatting sqref="Z106">
    <cfRule type="cellIs" dxfId="2865" priority="11475" operator="equal">
      <formula>0</formula>
    </cfRule>
  </conditionalFormatting>
  <conditionalFormatting sqref="AA106">
    <cfRule type="cellIs" dxfId="2864" priority="11474" operator="equal">
      <formula>0</formula>
    </cfRule>
  </conditionalFormatting>
  <conditionalFormatting sqref="Z107:Z109">
    <cfRule type="cellIs" dxfId="2863" priority="11472" operator="equal">
      <formula>0</formula>
    </cfRule>
  </conditionalFormatting>
  <conditionalFormatting sqref="AA107:AA109">
    <cfRule type="cellIs" dxfId="2862" priority="11471" operator="equal">
      <formula>0</formula>
    </cfRule>
  </conditionalFormatting>
  <conditionalFormatting sqref="Z112">
    <cfRule type="cellIs" dxfId="2861" priority="11470" operator="equal">
      <formula>0</formula>
    </cfRule>
  </conditionalFormatting>
  <conditionalFormatting sqref="AA112">
    <cfRule type="cellIs" dxfId="2860" priority="11469" operator="equal">
      <formula>0</formula>
    </cfRule>
  </conditionalFormatting>
  <conditionalFormatting sqref="Z136">
    <cfRule type="cellIs" dxfId="2859" priority="11450" operator="equal">
      <formula>0</formula>
    </cfRule>
  </conditionalFormatting>
  <conditionalFormatting sqref="Z113:Z115">
    <cfRule type="cellIs" dxfId="2858" priority="11467" operator="equal">
      <formula>0</formula>
    </cfRule>
  </conditionalFormatting>
  <conditionalFormatting sqref="AA113:AA115">
    <cfRule type="cellIs" dxfId="2857" priority="11466" operator="equal">
      <formula>0</formula>
    </cfRule>
  </conditionalFormatting>
  <conditionalFormatting sqref="Z118">
    <cfRule type="cellIs" dxfId="2856" priority="11465" operator="equal">
      <formula>0</formula>
    </cfRule>
  </conditionalFormatting>
  <conditionalFormatting sqref="AA118">
    <cfRule type="cellIs" dxfId="2855" priority="11464" operator="equal">
      <formula>0</formula>
    </cfRule>
  </conditionalFormatting>
  <conditionalFormatting sqref="Z137:Z139">
    <cfRule type="cellIs" dxfId="2854" priority="11447" operator="equal">
      <formula>0</formula>
    </cfRule>
  </conditionalFormatting>
  <conditionalFormatting sqref="Z119:Z121">
    <cfRule type="cellIs" dxfId="2853" priority="11462" operator="equal">
      <formula>0</formula>
    </cfRule>
  </conditionalFormatting>
  <conditionalFormatting sqref="AA119:AA121">
    <cfRule type="cellIs" dxfId="2852" priority="11461" operator="equal">
      <formula>0</formula>
    </cfRule>
  </conditionalFormatting>
  <conditionalFormatting sqref="Z124">
    <cfRule type="cellIs" dxfId="2851" priority="11460" operator="equal">
      <formula>0</formula>
    </cfRule>
  </conditionalFormatting>
  <conditionalFormatting sqref="AA124">
    <cfRule type="cellIs" dxfId="2850" priority="11459" operator="equal">
      <formula>0</formula>
    </cfRule>
  </conditionalFormatting>
  <conditionalFormatting sqref="AA142">
    <cfRule type="cellIs" dxfId="2849" priority="11444" operator="equal">
      <formula>0</formula>
    </cfRule>
  </conditionalFormatting>
  <conditionalFormatting sqref="Z125:Z127">
    <cfRule type="cellIs" dxfId="2848" priority="11457" operator="equal">
      <formula>0</formula>
    </cfRule>
  </conditionalFormatting>
  <conditionalFormatting sqref="AA125:AA127">
    <cfRule type="cellIs" dxfId="2847" priority="11456" operator="equal">
      <formula>0</formula>
    </cfRule>
  </conditionalFormatting>
  <conditionalFormatting sqref="Z130">
    <cfRule type="cellIs" dxfId="2846" priority="11455" operator="equal">
      <formula>0</formula>
    </cfRule>
  </conditionalFormatting>
  <conditionalFormatting sqref="AA130">
    <cfRule type="cellIs" dxfId="2845" priority="11454" operator="equal">
      <formula>0</formula>
    </cfRule>
  </conditionalFormatting>
  <conditionalFormatting sqref="AA143:AA145">
    <cfRule type="cellIs" dxfId="2844" priority="11441" operator="equal">
      <formula>0</formula>
    </cfRule>
  </conditionalFormatting>
  <conditionalFormatting sqref="Z131:Z133">
    <cfRule type="cellIs" dxfId="2843" priority="11452" operator="equal">
      <formula>0</formula>
    </cfRule>
  </conditionalFormatting>
  <conditionalFormatting sqref="AA131:AA133">
    <cfRule type="cellIs" dxfId="2842" priority="11451" operator="equal">
      <formula>0</formula>
    </cfRule>
  </conditionalFormatting>
  <conditionalFormatting sqref="AA136">
    <cfRule type="cellIs" dxfId="2841" priority="11449" operator="equal">
      <formula>0</formula>
    </cfRule>
  </conditionalFormatting>
  <conditionalFormatting sqref="AA137:AA139">
    <cfRule type="cellIs" dxfId="2840" priority="11446" operator="equal">
      <formula>0</formula>
    </cfRule>
  </conditionalFormatting>
  <conditionalFormatting sqref="Z142">
    <cfRule type="cellIs" dxfId="2839" priority="11445" operator="equal">
      <formula>0</formula>
    </cfRule>
  </conditionalFormatting>
  <conditionalFormatting sqref="Z154">
    <cfRule type="cellIs" dxfId="2838" priority="11435" operator="equal">
      <formula>0</formula>
    </cfRule>
  </conditionalFormatting>
  <conditionalFormatting sqref="Z143:Z145">
    <cfRule type="cellIs" dxfId="2837" priority="11442" operator="equal">
      <formula>0</formula>
    </cfRule>
  </conditionalFormatting>
  <conditionalFormatting sqref="Z148">
    <cfRule type="cellIs" dxfId="2836" priority="11440" operator="equal">
      <formula>0</formula>
    </cfRule>
  </conditionalFormatting>
  <conditionalFormatting sqref="AA148">
    <cfRule type="cellIs" dxfId="2835" priority="11439" operator="equal">
      <formula>0</formula>
    </cfRule>
  </conditionalFormatting>
  <conditionalFormatting sqref="Z155:Z157">
    <cfRule type="cellIs" dxfId="2834" priority="11432" operator="equal">
      <formula>0</formula>
    </cfRule>
  </conditionalFormatting>
  <conditionalFormatting sqref="Z149:Z151">
    <cfRule type="cellIs" dxfId="2833" priority="11437" operator="equal">
      <formula>0</formula>
    </cfRule>
  </conditionalFormatting>
  <conditionalFormatting sqref="AA149:AA151">
    <cfRule type="cellIs" dxfId="2832" priority="11436" operator="equal">
      <formula>0</formula>
    </cfRule>
  </conditionalFormatting>
  <conditionalFormatting sqref="AA154">
    <cfRule type="cellIs" dxfId="2831" priority="11434" operator="equal">
      <formula>0</formula>
    </cfRule>
  </conditionalFormatting>
  <conditionalFormatting sqref="AA160 AA166 AA172 AA178 AA184 AA190 AA196">
    <cfRule type="cellIs" dxfId="2830" priority="11429" operator="equal">
      <formula>0</formula>
    </cfRule>
  </conditionalFormatting>
  <conditionalFormatting sqref="AA155:AA157">
    <cfRule type="cellIs" dxfId="2829" priority="11431" operator="equal">
      <formula>0</formula>
    </cfRule>
  </conditionalFormatting>
  <conditionalFormatting sqref="Z160 Z166 Z172 Z178 Z184 Z190 Z196">
    <cfRule type="cellIs" dxfId="2828" priority="11430" operator="equal">
      <formula>0</formula>
    </cfRule>
  </conditionalFormatting>
  <conditionalFormatting sqref="AA161:AA163 AA167:AA169 AA173:AA175 AA179:AA181 AA185:AA187 AA191:AA193 AA197:AA199">
    <cfRule type="cellIs" dxfId="2827" priority="11426" operator="equal">
      <formula>0</formula>
    </cfRule>
  </conditionalFormatting>
  <conditionalFormatting sqref="Z161:Z163 Z167:Z169 Z173:Z175 Z179:Z181 Z185:Z187 Z191:Z193 Z197:Z199">
    <cfRule type="cellIs" dxfId="2826" priority="11427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825" priority="11420" operator="equal">
      <formula>0</formula>
    </cfRule>
  </conditionalFormatting>
  <conditionalFormatting sqref="W67">
    <cfRule type="cellIs" dxfId="2824" priority="8765" operator="equal">
      <formula>0</formula>
    </cfRule>
    <cfRule type="cellIs" dxfId="2823" priority="10242" operator="greaterThan">
      <formula>W66</formula>
    </cfRule>
  </conditionalFormatting>
  <conditionalFormatting sqref="Y65">
    <cfRule type="cellIs" dxfId="2822" priority="8905" operator="equal">
      <formula>0</formula>
    </cfRule>
  </conditionalFormatting>
  <conditionalFormatting sqref="Y67">
    <cfRule type="cellIs" dxfId="2821" priority="8904" operator="equal">
      <formula>0</formula>
    </cfRule>
  </conditionalFormatting>
  <conditionalFormatting sqref="W69">
    <cfRule type="cellIs" dxfId="2820" priority="8326" operator="lessThan">
      <formula>W68</formula>
    </cfRule>
    <cfRule type="cellIs" dxfId="2819" priority="8752" operator="equal">
      <formula>0</formula>
    </cfRule>
  </conditionalFormatting>
  <conditionalFormatting sqref="W68">
    <cfRule type="cellIs" dxfId="2818" priority="8327" operator="lessThan">
      <formula>W69</formula>
    </cfRule>
    <cfRule type="cellIs" dxfId="2817" priority="8745" operator="equal">
      <formula>0</formula>
    </cfRule>
    <cfRule type="cellIs" dxfId="2816" priority="8746" operator="lessThan">
      <formula>W69</formula>
    </cfRule>
    <cfRule type="cellIs" dxfId="2815" priority="8751" operator="lessThan">
      <formula>0</formula>
    </cfRule>
  </conditionalFormatting>
  <conditionalFormatting sqref="W71">
    <cfRule type="cellIs" dxfId="2814" priority="8750" operator="equal">
      <formula>0</formula>
    </cfRule>
  </conditionalFormatting>
  <conditionalFormatting sqref="W70">
    <cfRule type="cellIs" dxfId="2813" priority="8743" operator="equal">
      <formula>0</formula>
    </cfRule>
    <cfRule type="cellIs" dxfId="2812" priority="8744" operator="lessThan">
      <formula>W71</formula>
    </cfRule>
    <cfRule type="cellIs" dxfId="2811" priority="8749" operator="lessThan">
      <formula>0</formula>
    </cfRule>
  </conditionalFormatting>
  <conditionalFormatting sqref="W72">
    <cfRule type="cellIs" dxfId="2810" priority="8742" operator="equal">
      <formula>0</formula>
    </cfRule>
    <cfRule type="cellIs" dxfId="2809" priority="8747" operator="lessThan">
      <formula>W73</formula>
    </cfRule>
  </conditionalFormatting>
  <conditionalFormatting sqref="W77">
    <cfRule type="cellIs" dxfId="2808" priority="8738" operator="equal">
      <formula>0</formula>
    </cfRule>
  </conditionalFormatting>
  <conditionalFormatting sqref="W76">
    <cfRule type="cellIs" dxfId="2807" priority="8731" operator="equal">
      <formula>0</formula>
    </cfRule>
    <cfRule type="cellIs" dxfId="2806" priority="8732" operator="lessThan">
      <formula>W77</formula>
    </cfRule>
    <cfRule type="cellIs" dxfId="2805" priority="8737" operator="lessThan">
      <formula>0</formula>
    </cfRule>
  </conditionalFormatting>
  <conditionalFormatting sqref="W78">
    <cfRule type="cellIs" dxfId="2804" priority="8730" operator="equal">
      <formula>0</formula>
    </cfRule>
    <cfRule type="cellIs" dxfId="2803" priority="8735" operator="lessThan">
      <formula>W79</formula>
    </cfRule>
  </conditionalFormatting>
  <conditionalFormatting sqref="W83">
    <cfRule type="cellIs" dxfId="2802" priority="8726" operator="equal">
      <formula>0</formula>
    </cfRule>
  </conditionalFormatting>
  <conditionalFormatting sqref="W82">
    <cfRule type="cellIs" dxfId="2801" priority="8719" operator="equal">
      <formula>0</formula>
    </cfRule>
    <cfRule type="cellIs" dxfId="2800" priority="8720" operator="lessThan">
      <formula>W83</formula>
    </cfRule>
    <cfRule type="cellIs" dxfId="2799" priority="8725" operator="lessThan">
      <formula>0</formula>
    </cfRule>
  </conditionalFormatting>
  <conditionalFormatting sqref="W84">
    <cfRule type="cellIs" dxfId="2798" priority="8718" operator="equal">
      <formula>0</formula>
    </cfRule>
    <cfRule type="cellIs" dxfId="2797" priority="8723" operator="lessThan">
      <formula>W85</formula>
    </cfRule>
  </conditionalFormatting>
  <conditionalFormatting sqref="W85">
    <cfRule type="cellIs" dxfId="2796" priority="8717" operator="equal">
      <formula>0</formula>
    </cfRule>
    <cfRule type="cellIs" dxfId="2795" priority="8724" operator="greaterThan">
      <formula>W84</formula>
    </cfRule>
  </conditionalFormatting>
  <conditionalFormatting sqref="W89">
    <cfRule type="cellIs" dxfId="2794" priority="8714" operator="equal">
      <formula>0</formula>
    </cfRule>
  </conditionalFormatting>
  <conditionalFormatting sqref="W88">
    <cfRule type="cellIs" dxfId="2793" priority="8707" operator="equal">
      <formula>0</formula>
    </cfRule>
    <cfRule type="cellIs" dxfId="2792" priority="8708" operator="lessThan">
      <formula>W89</formula>
    </cfRule>
    <cfRule type="cellIs" dxfId="2791" priority="8713" operator="lessThan">
      <formula>0</formula>
    </cfRule>
  </conditionalFormatting>
  <conditionalFormatting sqref="W90">
    <cfRule type="cellIs" dxfId="2790" priority="8706" operator="equal">
      <formula>0</formula>
    </cfRule>
    <cfRule type="cellIs" dxfId="2789" priority="8711" operator="lessThan">
      <formula>W91</formula>
    </cfRule>
  </conditionalFormatting>
  <conditionalFormatting sqref="W91">
    <cfRule type="cellIs" dxfId="2788" priority="8705" operator="equal">
      <formula>0</formula>
    </cfRule>
    <cfRule type="cellIs" dxfId="2787" priority="8712" operator="greaterThan">
      <formula>W90</formula>
    </cfRule>
  </conditionalFormatting>
  <conditionalFormatting sqref="W95">
    <cfRule type="cellIs" dxfId="2786" priority="8702" operator="equal">
      <formula>0</formula>
    </cfRule>
  </conditionalFormatting>
  <conditionalFormatting sqref="W94">
    <cfRule type="cellIs" dxfId="2785" priority="8695" operator="equal">
      <formula>0</formula>
    </cfRule>
    <cfRule type="cellIs" dxfId="2784" priority="8696" operator="lessThan">
      <formula>W95</formula>
    </cfRule>
    <cfRule type="cellIs" dxfId="2783" priority="8701" operator="lessThan">
      <formula>0</formula>
    </cfRule>
  </conditionalFormatting>
  <conditionalFormatting sqref="W96">
    <cfRule type="cellIs" dxfId="2782" priority="8694" operator="equal">
      <formula>0</formula>
    </cfRule>
    <cfRule type="cellIs" dxfId="2781" priority="8699" operator="lessThan">
      <formula>W97</formula>
    </cfRule>
  </conditionalFormatting>
  <conditionalFormatting sqref="W97">
    <cfRule type="cellIs" dxfId="2780" priority="8693" operator="equal">
      <formula>0</formula>
    </cfRule>
    <cfRule type="cellIs" dxfId="2779" priority="8700" operator="greaterThan">
      <formula>W96</formula>
    </cfRule>
  </conditionalFormatting>
  <conditionalFormatting sqref="W101">
    <cfRule type="cellIs" dxfId="2778" priority="8690" operator="equal">
      <formula>0</formula>
    </cfRule>
  </conditionalFormatting>
  <conditionalFormatting sqref="W100">
    <cfRule type="cellIs" dxfId="2777" priority="8683" operator="equal">
      <formula>0</formula>
    </cfRule>
    <cfRule type="cellIs" dxfId="2776" priority="8684" operator="lessThan">
      <formula>W101</formula>
    </cfRule>
    <cfRule type="cellIs" dxfId="2775" priority="8689" operator="lessThan">
      <formula>0</formula>
    </cfRule>
  </conditionalFormatting>
  <conditionalFormatting sqref="W102">
    <cfRule type="cellIs" dxfId="2774" priority="8682" operator="equal">
      <formula>0</formula>
    </cfRule>
    <cfRule type="cellIs" dxfId="2773" priority="8687" operator="lessThan">
      <formula>W103</formula>
    </cfRule>
  </conditionalFormatting>
  <conditionalFormatting sqref="W103">
    <cfRule type="cellIs" dxfId="2772" priority="8681" operator="equal">
      <formula>0</formula>
    </cfRule>
    <cfRule type="cellIs" dxfId="2771" priority="8688" operator="greaterThan">
      <formula>W102</formula>
    </cfRule>
  </conditionalFormatting>
  <conditionalFormatting sqref="W107">
    <cfRule type="cellIs" dxfId="2770" priority="8678" operator="equal">
      <formula>0</formula>
    </cfRule>
  </conditionalFormatting>
  <conditionalFormatting sqref="W106">
    <cfRule type="cellIs" dxfId="2769" priority="8671" operator="equal">
      <formula>0</formula>
    </cfRule>
    <cfRule type="cellIs" dxfId="2768" priority="8672" operator="lessThan">
      <formula>W107</formula>
    </cfRule>
    <cfRule type="cellIs" dxfId="2767" priority="8677" operator="lessThan">
      <formula>0</formula>
    </cfRule>
  </conditionalFormatting>
  <conditionalFormatting sqref="W108">
    <cfRule type="cellIs" dxfId="2766" priority="8670" operator="equal">
      <formula>0</formula>
    </cfRule>
    <cfRule type="cellIs" dxfId="2765" priority="8675" operator="lessThan">
      <formula>W109</formula>
    </cfRule>
  </conditionalFormatting>
  <conditionalFormatting sqref="W109">
    <cfRule type="cellIs" dxfId="2764" priority="8669" operator="equal">
      <formula>0</formula>
    </cfRule>
    <cfRule type="cellIs" dxfId="2763" priority="8676" operator="greaterThan">
      <formula>W108</formula>
    </cfRule>
  </conditionalFormatting>
  <conditionalFormatting sqref="W113">
    <cfRule type="cellIs" dxfId="2762" priority="8666" operator="equal">
      <formula>0</formula>
    </cfRule>
  </conditionalFormatting>
  <conditionalFormatting sqref="W112">
    <cfRule type="cellIs" dxfId="2761" priority="8659" operator="equal">
      <formula>0</formula>
    </cfRule>
    <cfRule type="cellIs" dxfId="2760" priority="8660" operator="lessThan">
      <formula>W113</formula>
    </cfRule>
    <cfRule type="cellIs" dxfId="2759" priority="8665" operator="lessThan">
      <formula>0</formula>
    </cfRule>
  </conditionalFormatting>
  <conditionalFormatting sqref="W114">
    <cfRule type="cellIs" dxfId="2758" priority="8658" operator="equal">
      <formula>0</formula>
    </cfRule>
    <cfRule type="cellIs" dxfId="2757" priority="8663" operator="lessThan">
      <formula>W115</formula>
    </cfRule>
  </conditionalFormatting>
  <conditionalFormatting sqref="W115">
    <cfRule type="cellIs" dxfId="2756" priority="8657" operator="equal">
      <formula>0</formula>
    </cfRule>
    <cfRule type="cellIs" dxfId="2755" priority="8664" operator="greaterThan">
      <formula>W114</formula>
    </cfRule>
  </conditionalFormatting>
  <conditionalFormatting sqref="W119">
    <cfRule type="cellIs" dxfId="2754" priority="8654" operator="equal">
      <formula>0</formula>
    </cfRule>
  </conditionalFormatting>
  <conditionalFormatting sqref="W118">
    <cfRule type="cellIs" dxfId="2753" priority="8647" operator="equal">
      <formula>0</formula>
    </cfRule>
    <cfRule type="cellIs" dxfId="2752" priority="8648" operator="lessThan">
      <formula>W119</formula>
    </cfRule>
    <cfRule type="cellIs" dxfId="2751" priority="8653" operator="lessThan">
      <formula>0</formula>
    </cfRule>
  </conditionalFormatting>
  <conditionalFormatting sqref="W120">
    <cfRule type="cellIs" dxfId="2750" priority="8646" operator="equal">
      <formula>0</formula>
    </cfRule>
    <cfRule type="cellIs" dxfId="2749" priority="8651" operator="lessThan">
      <formula>W121</formula>
    </cfRule>
  </conditionalFormatting>
  <conditionalFormatting sqref="W121">
    <cfRule type="cellIs" dxfId="2748" priority="8645" operator="equal">
      <formula>0</formula>
    </cfRule>
    <cfRule type="cellIs" dxfId="2747" priority="8652" operator="greaterThan">
      <formula>W120</formula>
    </cfRule>
  </conditionalFormatting>
  <conditionalFormatting sqref="W125">
    <cfRule type="cellIs" dxfId="2746" priority="8642" operator="equal">
      <formula>0</formula>
    </cfRule>
  </conditionalFormatting>
  <conditionalFormatting sqref="W124">
    <cfRule type="cellIs" dxfId="2745" priority="8635" operator="equal">
      <formula>0</formula>
    </cfRule>
    <cfRule type="cellIs" dxfId="2744" priority="8636" operator="lessThan">
      <formula>W125</formula>
    </cfRule>
    <cfRule type="cellIs" dxfId="2743" priority="8641" operator="lessThan">
      <formula>0</formula>
    </cfRule>
  </conditionalFormatting>
  <conditionalFormatting sqref="W126">
    <cfRule type="cellIs" dxfId="2742" priority="8634" operator="equal">
      <formula>0</formula>
    </cfRule>
    <cfRule type="cellIs" dxfId="2741" priority="8639" operator="lessThan">
      <formula>W127</formula>
    </cfRule>
  </conditionalFormatting>
  <conditionalFormatting sqref="W127">
    <cfRule type="cellIs" dxfId="2740" priority="8633" operator="equal">
      <formula>0</formula>
    </cfRule>
    <cfRule type="cellIs" dxfId="2739" priority="8640" operator="greaterThan">
      <formula>W126</formula>
    </cfRule>
  </conditionalFormatting>
  <conditionalFormatting sqref="W131">
    <cfRule type="cellIs" dxfId="2738" priority="8630" operator="equal">
      <formula>0</formula>
    </cfRule>
  </conditionalFormatting>
  <conditionalFormatting sqref="W130">
    <cfRule type="cellIs" dxfId="2737" priority="8623" operator="equal">
      <formula>0</formula>
    </cfRule>
    <cfRule type="cellIs" dxfId="2736" priority="8624" operator="lessThan">
      <formula>W131</formula>
    </cfRule>
    <cfRule type="cellIs" dxfId="2735" priority="8629" operator="lessThan">
      <formula>0</formula>
    </cfRule>
  </conditionalFormatting>
  <conditionalFormatting sqref="W132">
    <cfRule type="cellIs" dxfId="2734" priority="8622" operator="equal">
      <formula>0</formula>
    </cfRule>
    <cfRule type="cellIs" dxfId="2733" priority="8627" operator="lessThan">
      <formula>W133</formula>
    </cfRule>
  </conditionalFormatting>
  <conditionalFormatting sqref="W133">
    <cfRule type="cellIs" dxfId="2732" priority="8621" operator="equal">
      <formula>0</formula>
    </cfRule>
    <cfRule type="cellIs" dxfId="2731" priority="8628" operator="greaterThan">
      <formula>W132</formula>
    </cfRule>
  </conditionalFormatting>
  <conditionalFormatting sqref="W137">
    <cfRule type="cellIs" dxfId="2730" priority="8618" operator="equal">
      <formula>0</formula>
    </cfRule>
  </conditionalFormatting>
  <conditionalFormatting sqref="W136">
    <cfRule type="cellIs" dxfId="2729" priority="8611" operator="equal">
      <formula>0</formula>
    </cfRule>
    <cfRule type="cellIs" dxfId="2728" priority="8612" operator="lessThan">
      <formula>W137</formula>
    </cfRule>
    <cfRule type="cellIs" dxfId="2727" priority="8617" operator="lessThan">
      <formula>0</formula>
    </cfRule>
  </conditionalFormatting>
  <conditionalFormatting sqref="W138">
    <cfRule type="cellIs" dxfId="2726" priority="8610" operator="equal">
      <formula>0</formula>
    </cfRule>
    <cfRule type="cellIs" dxfId="2725" priority="8615" operator="lessThan">
      <formula>W139</formula>
    </cfRule>
  </conditionalFormatting>
  <conditionalFormatting sqref="W139">
    <cfRule type="cellIs" dxfId="2724" priority="8609" operator="equal">
      <formula>0</formula>
    </cfRule>
    <cfRule type="cellIs" dxfId="2723" priority="8616" operator="greaterThan">
      <formula>W138</formula>
    </cfRule>
  </conditionalFormatting>
  <conditionalFormatting sqref="W143">
    <cfRule type="cellIs" dxfId="2722" priority="8606" operator="equal">
      <formula>0</formula>
    </cfRule>
  </conditionalFormatting>
  <conditionalFormatting sqref="W142">
    <cfRule type="cellIs" dxfId="2721" priority="8599" operator="equal">
      <formula>0</formula>
    </cfRule>
    <cfRule type="cellIs" dxfId="2720" priority="8600" operator="lessThan">
      <formula>W143</formula>
    </cfRule>
    <cfRule type="cellIs" dxfId="2719" priority="8605" operator="lessThan">
      <formula>0</formula>
    </cfRule>
  </conditionalFormatting>
  <conditionalFormatting sqref="W144">
    <cfRule type="cellIs" dxfId="2718" priority="8598" operator="equal">
      <formula>0</formula>
    </cfRule>
    <cfRule type="cellIs" dxfId="2717" priority="8603" operator="lessThan">
      <formula>W145</formula>
    </cfRule>
  </conditionalFormatting>
  <conditionalFormatting sqref="W145">
    <cfRule type="cellIs" dxfId="2716" priority="8597" operator="equal">
      <formula>0</formula>
    </cfRule>
    <cfRule type="cellIs" dxfId="2715" priority="8604" operator="greaterThan">
      <formula>W144</formula>
    </cfRule>
  </conditionalFormatting>
  <conditionalFormatting sqref="W149">
    <cfRule type="cellIs" dxfId="2714" priority="8594" operator="equal">
      <formula>0</formula>
    </cfRule>
  </conditionalFormatting>
  <conditionalFormatting sqref="W148">
    <cfRule type="cellIs" dxfId="2713" priority="8587" operator="equal">
      <formula>0</formula>
    </cfRule>
    <cfRule type="cellIs" dxfId="2712" priority="8588" operator="lessThan">
      <formula>W149</formula>
    </cfRule>
    <cfRule type="cellIs" dxfId="2711" priority="8593" operator="lessThan">
      <formula>0</formula>
    </cfRule>
  </conditionalFormatting>
  <conditionalFormatting sqref="W150">
    <cfRule type="cellIs" dxfId="2710" priority="8586" operator="equal">
      <formula>0</formula>
    </cfRule>
    <cfRule type="cellIs" dxfId="2709" priority="8591" operator="lessThan">
      <formula>W151</formula>
    </cfRule>
  </conditionalFormatting>
  <conditionalFormatting sqref="W151">
    <cfRule type="cellIs" dxfId="2708" priority="8585" operator="equal">
      <formula>0</formula>
    </cfRule>
    <cfRule type="cellIs" dxfId="2707" priority="8592" operator="greaterThan">
      <formula>W150</formula>
    </cfRule>
  </conditionalFormatting>
  <conditionalFormatting sqref="W153">
    <cfRule type="cellIs" dxfId="2706" priority="8584" operator="equal">
      <formula>0</formula>
    </cfRule>
  </conditionalFormatting>
  <conditionalFormatting sqref="W152">
    <cfRule type="cellIs" dxfId="2705" priority="8577" operator="equal">
      <formula>0</formula>
    </cfRule>
    <cfRule type="cellIs" dxfId="2704" priority="8578" operator="lessThan">
      <formula>W153</formula>
    </cfRule>
    <cfRule type="cellIs" dxfId="2703" priority="8583" operator="lessThan">
      <formula>0</formula>
    </cfRule>
  </conditionalFormatting>
  <conditionalFormatting sqref="W155">
    <cfRule type="cellIs" dxfId="2702" priority="8582" operator="equal">
      <formula>0</formula>
    </cfRule>
  </conditionalFormatting>
  <conditionalFormatting sqref="W154">
    <cfRule type="cellIs" dxfId="2701" priority="8575" operator="equal">
      <formula>0</formula>
    </cfRule>
    <cfRule type="cellIs" dxfId="2700" priority="8576" operator="lessThan">
      <formula>W155</formula>
    </cfRule>
    <cfRule type="cellIs" dxfId="2699" priority="8581" operator="lessThan">
      <formula>0</formula>
    </cfRule>
  </conditionalFormatting>
  <conditionalFormatting sqref="W156">
    <cfRule type="cellIs" dxfId="2698" priority="8574" operator="equal">
      <formula>0</formula>
    </cfRule>
    <cfRule type="cellIs" dxfId="2697" priority="8579" operator="lessThan">
      <formula>W157</formula>
    </cfRule>
  </conditionalFormatting>
  <conditionalFormatting sqref="W157">
    <cfRule type="cellIs" dxfId="2696" priority="8573" operator="equal">
      <formula>0</formula>
    </cfRule>
    <cfRule type="cellIs" dxfId="2695" priority="8580" operator="greaterThan">
      <formula>W156</formula>
    </cfRule>
  </conditionalFormatting>
  <conditionalFormatting sqref="W159">
    <cfRule type="cellIs" dxfId="2694" priority="8572" operator="equal">
      <formula>0</formula>
    </cfRule>
  </conditionalFormatting>
  <conditionalFormatting sqref="W158">
    <cfRule type="cellIs" dxfId="2693" priority="8565" operator="equal">
      <formula>0</formula>
    </cfRule>
    <cfRule type="cellIs" dxfId="2692" priority="8566" operator="lessThan">
      <formula>W159</formula>
    </cfRule>
    <cfRule type="cellIs" dxfId="2691" priority="8571" operator="lessThan">
      <formula>0</formula>
    </cfRule>
  </conditionalFormatting>
  <conditionalFormatting sqref="W161">
    <cfRule type="cellIs" dxfId="2690" priority="8570" operator="equal">
      <formula>0</formula>
    </cfRule>
  </conditionalFormatting>
  <conditionalFormatting sqref="W160">
    <cfRule type="cellIs" dxfId="2689" priority="8563" operator="equal">
      <formula>0</formula>
    </cfRule>
    <cfRule type="cellIs" dxfId="2688" priority="8564" operator="lessThan">
      <formula>W161</formula>
    </cfRule>
    <cfRule type="cellIs" dxfId="2687" priority="8569" operator="lessThan">
      <formula>0</formula>
    </cfRule>
  </conditionalFormatting>
  <conditionalFormatting sqref="W162">
    <cfRule type="cellIs" dxfId="2686" priority="8562" operator="equal">
      <formula>0</formula>
    </cfRule>
    <cfRule type="cellIs" dxfId="2685" priority="8567" operator="lessThan">
      <formula>W163</formula>
    </cfRule>
  </conditionalFormatting>
  <conditionalFormatting sqref="W163">
    <cfRule type="cellIs" dxfId="2684" priority="8561" operator="equal">
      <formula>0</formula>
    </cfRule>
    <cfRule type="cellIs" dxfId="2683" priority="8568" operator="greaterThan">
      <formula>W162</formula>
    </cfRule>
  </conditionalFormatting>
  <conditionalFormatting sqref="W165 W171 W177 W183 W189 W195">
    <cfRule type="cellIs" dxfId="2682" priority="8560" operator="equal">
      <formula>0</formula>
    </cfRule>
  </conditionalFormatting>
  <conditionalFormatting sqref="W164 W170 W176 W182 W188 W194">
    <cfRule type="cellIs" dxfId="2681" priority="8553" operator="equal">
      <formula>0</formula>
    </cfRule>
    <cfRule type="cellIs" dxfId="2680" priority="8554" operator="lessThan">
      <formula>W165</formula>
    </cfRule>
    <cfRule type="cellIs" dxfId="2679" priority="8559" operator="lessThan">
      <formula>0</formula>
    </cfRule>
  </conditionalFormatting>
  <conditionalFormatting sqref="W167 W173 W179 W185 W191 W197">
    <cfRule type="cellIs" dxfId="2678" priority="8558" operator="equal">
      <formula>0</formula>
    </cfRule>
  </conditionalFormatting>
  <conditionalFormatting sqref="W166 W172 W178 W184 W190 W196">
    <cfRule type="cellIs" dxfId="2677" priority="8551" operator="equal">
      <formula>0</formula>
    </cfRule>
    <cfRule type="cellIs" dxfId="2676" priority="8552" operator="lessThan">
      <formula>W167</formula>
    </cfRule>
    <cfRule type="cellIs" dxfId="2675" priority="8557" operator="lessThan">
      <formula>0</formula>
    </cfRule>
  </conditionalFormatting>
  <conditionalFormatting sqref="W168 W174 W180 W186 W192 W198">
    <cfRule type="cellIs" dxfId="2674" priority="8550" operator="equal">
      <formula>0</formula>
    </cfRule>
    <cfRule type="cellIs" dxfId="2673" priority="8555" operator="lessThan">
      <formula>W169</formula>
    </cfRule>
  </conditionalFormatting>
  <conditionalFormatting sqref="W169 W175 W181 W187 W193 W199">
    <cfRule type="cellIs" dxfId="2672" priority="8549" operator="equal">
      <formula>0</formula>
    </cfRule>
    <cfRule type="cellIs" dxfId="2671" priority="8556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70" priority="8320" operator="lessThan">
      <formula>W74</formula>
    </cfRule>
    <cfRule type="cellIs" dxfId="2669" priority="8325" operator="equal">
      <formula>0</formula>
    </cfRule>
  </conditionalFormatting>
  <conditionalFormatting sqref="W74">
    <cfRule type="cellIs" dxfId="2668" priority="8321" operator="lessThan">
      <formula>W75</formula>
    </cfRule>
    <cfRule type="cellIs" dxfId="2667" priority="8322" operator="equal">
      <formula>0</formula>
    </cfRule>
    <cfRule type="cellIs" dxfId="2666" priority="8323" operator="lessThan">
      <formula>W75</formula>
    </cfRule>
    <cfRule type="cellIs" dxfId="2665" priority="8324" operator="lessThan">
      <formula>0</formula>
    </cfRule>
  </conditionalFormatting>
  <conditionalFormatting sqref="W81">
    <cfRule type="cellIs" dxfId="2664" priority="8314" operator="lessThan">
      <formula>W80</formula>
    </cfRule>
    <cfRule type="cellIs" dxfId="2663" priority="8319" operator="equal">
      <formula>0</formula>
    </cfRule>
  </conditionalFormatting>
  <conditionalFormatting sqref="W80">
    <cfRule type="cellIs" dxfId="2662" priority="8315" operator="lessThan">
      <formula>W81</formula>
    </cfRule>
    <cfRule type="cellIs" dxfId="2661" priority="8316" operator="equal">
      <formula>0</formula>
    </cfRule>
    <cfRule type="cellIs" dxfId="2660" priority="8317" operator="lessThan">
      <formula>W81</formula>
    </cfRule>
    <cfRule type="cellIs" dxfId="2659" priority="8318" operator="lessThan">
      <formula>0</formula>
    </cfRule>
  </conditionalFormatting>
  <conditionalFormatting sqref="W87">
    <cfRule type="cellIs" dxfId="2658" priority="8308" operator="lessThan">
      <formula>W86</formula>
    </cfRule>
    <cfRule type="cellIs" dxfId="2657" priority="8313" operator="equal">
      <formula>0</formula>
    </cfRule>
  </conditionalFormatting>
  <conditionalFormatting sqref="W86">
    <cfRule type="cellIs" dxfId="2656" priority="8309" operator="lessThan">
      <formula>W87</formula>
    </cfRule>
    <cfRule type="cellIs" dxfId="2655" priority="8310" operator="equal">
      <formula>0</formula>
    </cfRule>
    <cfRule type="cellIs" dxfId="2654" priority="8311" operator="lessThan">
      <formula>W87</formula>
    </cfRule>
    <cfRule type="cellIs" dxfId="2653" priority="8312" operator="lessThan">
      <formula>0</formula>
    </cfRule>
  </conditionalFormatting>
  <conditionalFormatting sqref="W93">
    <cfRule type="cellIs" dxfId="2652" priority="8302" operator="lessThan">
      <formula>W92</formula>
    </cfRule>
    <cfRule type="cellIs" dxfId="2651" priority="8307" operator="equal">
      <formula>0</formula>
    </cfRule>
  </conditionalFormatting>
  <conditionalFormatting sqref="W92">
    <cfRule type="cellIs" dxfId="2650" priority="8303" operator="lessThan">
      <formula>W93</formula>
    </cfRule>
    <cfRule type="cellIs" dxfId="2649" priority="8304" operator="equal">
      <formula>0</formula>
    </cfRule>
    <cfRule type="cellIs" dxfId="2648" priority="8305" operator="lessThan">
      <formula>W93</formula>
    </cfRule>
    <cfRule type="cellIs" dxfId="2647" priority="8306" operator="lessThan">
      <formula>0</formula>
    </cfRule>
  </conditionalFormatting>
  <conditionalFormatting sqref="W99">
    <cfRule type="cellIs" dxfId="2646" priority="8296" operator="lessThan">
      <formula>W98</formula>
    </cfRule>
    <cfRule type="cellIs" dxfId="2645" priority="8301" operator="equal">
      <formula>0</formula>
    </cfRule>
  </conditionalFormatting>
  <conditionalFormatting sqref="W98">
    <cfRule type="cellIs" dxfId="2644" priority="8297" operator="lessThan">
      <formula>W99</formula>
    </cfRule>
    <cfRule type="cellIs" dxfId="2643" priority="8298" operator="equal">
      <formula>0</formula>
    </cfRule>
    <cfRule type="cellIs" dxfId="2642" priority="8299" operator="lessThan">
      <formula>W99</formula>
    </cfRule>
    <cfRule type="cellIs" dxfId="2641" priority="8300" operator="lessThan">
      <formula>0</formula>
    </cfRule>
  </conditionalFormatting>
  <conditionalFormatting sqref="W105">
    <cfRule type="cellIs" dxfId="2640" priority="8290" operator="lessThan">
      <formula>W104</formula>
    </cfRule>
    <cfRule type="cellIs" dxfId="2639" priority="8295" operator="equal">
      <formula>0</formula>
    </cfRule>
  </conditionalFormatting>
  <conditionalFormatting sqref="W104">
    <cfRule type="cellIs" dxfId="2638" priority="8291" operator="lessThan">
      <formula>W105</formula>
    </cfRule>
    <cfRule type="cellIs" dxfId="2637" priority="8292" operator="equal">
      <formula>0</formula>
    </cfRule>
    <cfRule type="cellIs" dxfId="2636" priority="8293" operator="lessThan">
      <formula>W105</formula>
    </cfRule>
    <cfRule type="cellIs" dxfId="2635" priority="8294" operator="lessThan">
      <formula>0</formula>
    </cfRule>
  </conditionalFormatting>
  <conditionalFormatting sqref="W111">
    <cfRule type="cellIs" dxfId="2634" priority="8284" operator="lessThan">
      <formula>W110</formula>
    </cfRule>
    <cfRule type="cellIs" dxfId="2633" priority="8289" operator="equal">
      <formula>0</formula>
    </cfRule>
  </conditionalFormatting>
  <conditionalFormatting sqref="W110">
    <cfRule type="cellIs" dxfId="2632" priority="8285" operator="lessThan">
      <formula>W111</formula>
    </cfRule>
    <cfRule type="cellIs" dxfId="2631" priority="8286" operator="equal">
      <formula>0</formula>
    </cfRule>
    <cfRule type="cellIs" dxfId="2630" priority="8287" operator="lessThan">
      <formula>W111</formula>
    </cfRule>
    <cfRule type="cellIs" dxfId="2629" priority="8288" operator="lessThan">
      <formula>0</formula>
    </cfRule>
  </conditionalFormatting>
  <conditionalFormatting sqref="W117">
    <cfRule type="cellIs" dxfId="2628" priority="8278" operator="lessThan">
      <formula>W116</formula>
    </cfRule>
    <cfRule type="cellIs" dxfId="2627" priority="8283" operator="equal">
      <formula>0</formula>
    </cfRule>
  </conditionalFormatting>
  <conditionalFormatting sqref="W116">
    <cfRule type="cellIs" dxfId="2626" priority="8279" operator="lessThan">
      <formula>W117</formula>
    </cfRule>
    <cfRule type="cellIs" dxfId="2625" priority="8280" operator="equal">
      <formula>0</formula>
    </cfRule>
    <cfRule type="cellIs" dxfId="2624" priority="8281" operator="lessThan">
      <formula>W117</formula>
    </cfRule>
    <cfRule type="cellIs" dxfId="2623" priority="8282" operator="lessThan">
      <formula>0</formula>
    </cfRule>
  </conditionalFormatting>
  <conditionalFormatting sqref="W123">
    <cfRule type="cellIs" dxfId="2622" priority="8272" operator="lessThan">
      <formula>W122</formula>
    </cfRule>
    <cfRule type="cellIs" dxfId="2621" priority="8277" operator="equal">
      <formula>0</formula>
    </cfRule>
  </conditionalFormatting>
  <conditionalFormatting sqref="W122">
    <cfRule type="cellIs" dxfId="2620" priority="8273" operator="lessThan">
      <formula>W123</formula>
    </cfRule>
    <cfRule type="cellIs" dxfId="2619" priority="8274" operator="equal">
      <formula>0</formula>
    </cfRule>
    <cfRule type="cellIs" dxfId="2618" priority="8275" operator="lessThan">
      <formula>W123</formula>
    </cfRule>
    <cfRule type="cellIs" dxfId="2617" priority="8276" operator="lessThan">
      <formula>0</formula>
    </cfRule>
  </conditionalFormatting>
  <conditionalFormatting sqref="W129">
    <cfRule type="cellIs" dxfId="2616" priority="8266" operator="lessThan">
      <formula>W128</formula>
    </cfRule>
    <cfRule type="cellIs" dxfId="2615" priority="8271" operator="equal">
      <formula>0</formula>
    </cfRule>
  </conditionalFormatting>
  <conditionalFormatting sqref="W128">
    <cfRule type="cellIs" dxfId="2614" priority="8267" operator="lessThan">
      <formula>W129</formula>
    </cfRule>
    <cfRule type="cellIs" dxfId="2613" priority="8268" operator="equal">
      <formula>0</formula>
    </cfRule>
    <cfRule type="cellIs" dxfId="2612" priority="8269" operator="lessThan">
      <formula>W129</formula>
    </cfRule>
    <cfRule type="cellIs" dxfId="2611" priority="8270" operator="lessThan">
      <formula>0</formula>
    </cfRule>
  </conditionalFormatting>
  <conditionalFormatting sqref="W135">
    <cfRule type="cellIs" dxfId="2610" priority="8260" operator="lessThan">
      <formula>W134</formula>
    </cfRule>
    <cfRule type="cellIs" dxfId="2609" priority="8265" operator="equal">
      <formula>0</formula>
    </cfRule>
  </conditionalFormatting>
  <conditionalFormatting sqref="W134">
    <cfRule type="cellIs" dxfId="2608" priority="8261" operator="lessThan">
      <formula>W135</formula>
    </cfRule>
    <cfRule type="cellIs" dxfId="2607" priority="8262" operator="equal">
      <formula>0</formula>
    </cfRule>
    <cfRule type="cellIs" dxfId="2606" priority="8263" operator="lessThan">
      <formula>W135</formula>
    </cfRule>
    <cfRule type="cellIs" dxfId="2605" priority="8264" operator="lessThan">
      <formula>0</formula>
    </cfRule>
  </conditionalFormatting>
  <conditionalFormatting sqref="W141">
    <cfRule type="cellIs" dxfId="2604" priority="8254" operator="lessThan">
      <formula>W140</formula>
    </cfRule>
    <cfRule type="cellIs" dxfId="2603" priority="8259" operator="equal">
      <formula>0</formula>
    </cfRule>
  </conditionalFormatting>
  <conditionalFormatting sqref="W140">
    <cfRule type="cellIs" dxfId="2602" priority="8255" operator="lessThan">
      <formula>W141</formula>
    </cfRule>
    <cfRule type="cellIs" dxfId="2601" priority="8256" operator="equal">
      <formula>0</formula>
    </cfRule>
    <cfRule type="cellIs" dxfId="2600" priority="8257" operator="lessThan">
      <formula>W141</formula>
    </cfRule>
    <cfRule type="cellIs" dxfId="2599" priority="8258" operator="lessThan">
      <formula>0</formula>
    </cfRule>
  </conditionalFormatting>
  <conditionalFormatting sqref="W147">
    <cfRule type="cellIs" dxfId="2598" priority="8248" operator="lessThan">
      <formula>W146</formula>
    </cfRule>
    <cfRule type="cellIs" dxfId="2597" priority="8253" operator="equal">
      <formula>0</formula>
    </cfRule>
  </conditionalFormatting>
  <conditionalFormatting sqref="W146">
    <cfRule type="cellIs" dxfId="2596" priority="8249" operator="lessThan">
      <formula>W147</formula>
    </cfRule>
    <cfRule type="cellIs" dxfId="2595" priority="8250" operator="equal">
      <formula>0</formula>
    </cfRule>
    <cfRule type="cellIs" dxfId="2594" priority="8251" operator="lessThan">
      <formula>W147</formula>
    </cfRule>
    <cfRule type="cellIs" dxfId="2593" priority="8252" operator="lessThan">
      <formula>0</formula>
    </cfRule>
  </conditionalFormatting>
  <conditionalFormatting sqref="W73">
    <cfRule type="cellIs" dxfId="2592" priority="8177" operator="equal">
      <formula>0</formula>
    </cfRule>
    <cfRule type="cellIs" dxfId="2591" priority="8178" operator="greaterThan">
      <formula>W72</formula>
    </cfRule>
  </conditionalFormatting>
  <conditionalFormatting sqref="W79">
    <cfRule type="cellIs" dxfId="2590" priority="8175" operator="equal">
      <formula>0</formula>
    </cfRule>
    <cfRule type="cellIs" dxfId="2589" priority="8176" operator="greaterThan">
      <formula>W78</formula>
    </cfRule>
  </conditionalFormatting>
  <conditionalFormatting sqref="D30">
    <cfRule type="expression" dxfId="2588" priority="6475">
      <formula>E30&gt;B30</formula>
    </cfRule>
  </conditionalFormatting>
  <conditionalFormatting sqref="C30">
    <cfRule type="expression" dxfId="2587" priority="6474">
      <formula>B30&gt;E30</formula>
    </cfRule>
  </conditionalFormatting>
  <conditionalFormatting sqref="D31">
    <cfRule type="expression" dxfId="2586" priority="6268">
      <formula>E31&gt;B31</formula>
    </cfRule>
  </conditionalFormatting>
  <conditionalFormatting sqref="C31">
    <cfRule type="expression" dxfId="2585" priority="6267">
      <formula>B31&gt;E31</formula>
    </cfRule>
  </conditionalFormatting>
  <conditionalFormatting sqref="D32 D34 D36 D38 D50 D55 D57 D59 D41 D43 D45">
    <cfRule type="expression" dxfId="2584" priority="6266">
      <formula>E32&gt;B32</formula>
    </cfRule>
  </conditionalFormatting>
  <conditionalFormatting sqref="C32 C34 C36 C38 C50 C55 C57 C59 C41 C43 C45">
    <cfRule type="expression" dxfId="2583" priority="6265">
      <formula>B32&gt;E32</formula>
    </cfRule>
  </conditionalFormatting>
  <conditionalFormatting sqref="D33 D35 D37 D51 D56 D58 D39:D40 D42 D44 D46">
    <cfRule type="expression" dxfId="2582" priority="6264">
      <formula>E33&gt;B33</formula>
    </cfRule>
  </conditionalFormatting>
  <conditionalFormatting sqref="C33 C35 C37 C51 C56 C58 C39:C40 C42 C44 C46">
    <cfRule type="expression" dxfId="2581" priority="6263">
      <formula>B33&gt;E33</formula>
    </cfRule>
  </conditionalFormatting>
  <conditionalFormatting sqref="Y30:Y34 Y37:Y39">
    <cfRule type="cellIs" dxfId="2580" priority="6220" operator="equal">
      <formula>0</formula>
    </cfRule>
  </conditionalFormatting>
  <conditionalFormatting sqref="X60">
    <cfRule type="cellIs" dxfId="2579" priority="6108" operator="equal">
      <formula>0</formula>
    </cfRule>
    <cfRule type="expression" dxfId="2578" priority="6109">
      <formula>F60*100&lt;X60</formula>
    </cfRule>
    <cfRule type="expression" dxfId="2577" priority="6110">
      <formula>X60&lt;F60*100</formula>
    </cfRule>
  </conditionalFormatting>
  <conditionalFormatting sqref="X61">
    <cfRule type="cellIs" dxfId="2576" priority="6105" operator="equal">
      <formula>0</formula>
    </cfRule>
    <cfRule type="expression" dxfId="2575" priority="6106">
      <formula>F61*100&lt;X61</formula>
    </cfRule>
    <cfRule type="expression" dxfId="2574" priority="6107">
      <formula>X61&lt;F61*100</formula>
    </cfRule>
  </conditionalFormatting>
  <conditionalFormatting sqref="W60:W61">
    <cfRule type="cellIs" dxfId="2573" priority="6104" operator="equal">
      <formula>0</formula>
    </cfRule>
  </conditionalFormatting>
  <conditionalFormatting sqref="W60">
    <cfRule type="containsText" dxfId="2572" priority="6102" operator="containsText" text="STOP">
      <formula>NOT(ISERROR(SEARCH("STOP",W60)))</formula>
    </cfRule>
    <cfRule type="containsText" dxfId="2571" priority="6103" operator="containsText" text="TRAILING">
      <formula>NOT(ISERROR(SEARCH("TRAILING",W60)))</formula>
    </cfRule>
  </conditionalFormatting>
  <conditionalFormatting sqref="W61">
    <cfRule type="containsText" dxfId="2570" priority="6100" operator="containsText" text="STOP">
      <formula>NOT(ISERROR(SEARCH("STOP",W61)))</formula>
    </cfRule>
    <cfRule type="containsText" dxfId="2569" priority="6101" operator="containsText" text="TRAILING">
      <formula>NOT(ISERROR(SEARCH("TRAILING",W61)))</formula>
    </cfRule>
  </conditionalFormatting>
  <conditionalFormatting sqref="D53">
    <cfRule type="expression" dxfId="2568" priority="6090">
      <formula>E53&gt;B53</formula>
    </cfRule>
  </conditionalFormatting>
  <conditionalFormatting sqref="C53">
    <cfRule type="expression" dxfId="2567" priority="6089">
      <formula>B53&gt;E53</formula>
    </cfRule>
  </conditionalFormatting>
  <conditionalFormatting sqref="D52">
    <cfRule type="expression" dxfId="2566" priority="6088">
      <formula>E52&gt;B52</formula>
    </cfRule>
  </conditionalFormatting>
  <conditionalFormatting sqref="C52">
    <cfRule type="expression" dxfId="2565" priority="6087">
      <formula>B52&gt;E52</formula>
    </cfRule>
  </conditionalFormatting>
  <conditionalFormatting sqref="D48">
    <cfRule type="expression" dxfId="2564" priority="6061">
      <formula>E48&gt;B48</formula>
    </cfRule>
  </conditionalFormatting>
  <conditionalFormatting sqref="C48">
    <cfRule type="expression" dxfId="2563" priority="6060">
      <formula>B48&gt;E48</formula>
    </cfRule>
  </conditionalFormatting>
  <conditionalFormatting sqref="D47 D49">
    <cfRule type="expression" dxfId="2562" priority="6059">
      <formula>E47&gt;B47</formula>
    </cfRule>
  </conditionalFormatting>
  <conditionalFormatting sqref="C47 C49">
    <cfRule type="expression" dxfId="2561" priority="6058">
      <formula>B47&gt;E47</formula>
    </cfRule>
  </conditionalFormatting>
  <conditionalFormatting sqref="B55">
    <cfRule type="cellIs" dxfId="2560" priority="6039" operator="greaterThan">
      <formula>E55</formula>
    </cfRule>
  </conditionalFormatting>
  <conditionalFormatting sqref="B56">
    <cfRule type="cellIs" dxfId="2559" priority="6038" operator="greaterThan">
      <formula>E56</formula>
    </cfRule>
  </conditionalFormatting>
  <conditionalFormatting sqref="B57 B59 B41 B43 B45 B47 B49">
    <cfRule type="cellIs" dxfId="2558" priority="6037" operator="greaterThan">
      <formula>E41</formula>
    </cfRule>
  </conditionalFormatting>
  <conditionalFormatting sqref="B58 B40 B42 B44 B46 B48">
    <cfRule type="cellIs" dxfId="2557" priority="6036" operator="greaterThan">
      <formula>E40</formula>
    </cfRule>
  </conditionalFormatting>
  <conditionalFormatting sqref="E55">
    <cfRule type="cellIs" dxfId="2556" priority="6035" operator="greaterThan">
      <formula>B55</formula>
    </cfRule>
  </conditionalFormatting>
  <conditionalFormatting sqref="E56">
    <cfRule type="cellIs" dxfId="2555" priority="6034" operator="greaterThan">
      <formula>B56</formula>
    </cfRule>
  </conditionalFormatting>
  <conditionalFormatting sqref="E57 E59 E41 E45 E47 E49">
    <cfRule type="cellIs" dxfId="2554" priority="6033" operator="greaterThan">
      <formula>B41</formula>
    </cfRule>
  </conditionalFormatting>
  <conditionalFormatting sqref="E58 E40 E42 E44 E46 E48">
    <cfRule type="cellIs" dxfId="2553" priority="6032" operator="greaterThan">
      <formula>B40</formula>
    </cfRule>
  </conditionalFormatting>
  <conditionalFormatting sqref="E43">
    <cfRule type="cellIs" dxfId="2552" priority="6031" operator="greaterThan">
      <formula>H53</formula>
    </cfRule>
  </conditionalFormatting>
  <conditionalFormatting sqref="B30">
    <cfRule type="cellIs" dxfId="2551" priority="6030" operator="greaterThan">
      <formula>E30</formula>
    </cfRule>
  </conditionalFormatting>
  <conditionalFormatting sqref="B31">
    <cfRule type="cellIs" dxfId="2550" priority="6029" operator="greaterThan">
      <formula>E31</formula>
    </cfRule>
  </conditionalFormatting>
  <conditionalFormatting sqref="B32 B34 B36 B38 B50 B52">
    <cfRule type="cellIs" dxfId="2549" priority="6028" operator="greaterThan">
      <formula>E32</formula>
    </cfRule>
  </conditionalFormatting>
  <conditionalFormatting sqref="B33 B35 B37 B39 B51 B53">
    <cfRule type="cellIs" dxfId="2548" priority="6027" operator="greaterThan">
      <formula>E33</formula>
    </cfRule>
  </conditionalFormatting>
  <conditionalFormatting sqref="E30">
    <cfRule type="cellIs" dxfId="2547" priority="6026" operator="greaterThan">
      <formula>B30</formula>
    </cfRule>
  </conditionalFormatting>
  <conditionalFormatting sqref="E31">
    <cfRule type="cellIs" dxfId="2546" priority="6025" operator="greaterThan">
      <formula>B31</formula>
    </cfRule>
  </conditionalFormatting>
  <conditionalFormatting sqref="E32 E34 E36 E50 E52">
    <cfRule type="cellIs" dxfId="2545" priority="6024" operator="greaterThan">
      <formula>B32</formula>
    </cfRule>
  </conditionalFormatting>
  <conditionalFormatting sqref="E33 E35 E37 E39 E51 E53">
    <cfRule type="cellIs" dxfId="2544" priority="6023" operator="greaterThan">
      <formula>B33</formula>
    </cfRule>
  </conditionalFormatting>
  <conditionalFormatting sqref="E38">
    <cfRule type="cellIs" dxfId="2543" priority="6022" operator="greaterThan">
      <formula>H38</formula>
    </cfRule>
  </conditionalFormatting>
  <conditionalFormatting sqref="Y35:Z35">
    <cfRule type="cellIs" dxfId="2542" priority="6011" operator="equal">
      <formula>0</formula>
    </cfRule>
  </conditionalFormatting>
  <conditionalFormatting sqref="Y36:Z36">
    <cfRule type="cellIs" dxfId="2541" priority="6005" operator="equal">
      <formula>0</formula>
    </cfRule>
  </conditionalFormatting>
  <conditionalFormatting sqref="X26 X170:X199 X62">
    <cfRule type="expression" dxfId="2540" priority="5691">
      <formula>X26*100&lt;C26</formula>
    </cfRule>
    <cfRule type="cellIs" dxfId="2539" priority="5692" operator="equal">
      <formula>0</formula>
    </cfRule>
  </conditionalFormatting>
  <conditionalFormatting sqref="X27">
    <cfRule type="expression" dxfId="2538" priority="5689">
      <formula>X27*100&lt;C27</formula>
    </cfRule>
    <cfRule type="cellIs" dxfId="2537" priority="5690" operator="equal">
      <formula>0</formula>
    </cfRule>
  </conditionalFormatting>
  <conditionalFormatting sqref="X28">
    <cfRule type="expression" dxfId="2536" priority="5687">
      <formula>X28*100&lt;C28</formula>
    </cfRule>
    <cfRule type="cellIs" dxfId="2535" priority="5688" operator="equal">
      <formula>0</formula>
    </cfRule>
  </conditionalFormatting>
  <conditionalFormatting sqref="X29">
    <cfRule type="expression" dxfId="2534" priority="5685">
      <formula>X29*100&lt;C29</formula>
    </cfRule>
    <cfRule type="cellIs" dxfId="2533" priority="5686" operator="equal">
      <formula>0</formula>
    </cfRule>
  </conditionalFormatting>
  <conditionalFormatting sqref="X63">
    <cfRule type="expression" dxfId="2532" priority="5585">
      <formula>X63*100&lt;C63</formula>
    </cfRule>
    <cfRule type="cellIs" dxfId="2531" priority="5586" operator="equal">
      <formula>0</formula>
    </cfRule>
  </conditionalFormatting>
  <conditionalFormatting sqref="X64">
    <cfRule type="expression" dxfId="2530" priority="5583">
      <formula>X64*100&lt;C64</formula>
    </cfRule>
    <cfRule type="cellIs" dxfId="2529" priority="5584" operator="equal">
      <formula>0</formula>
    </cfRule>
  </conditionalFormatting>
  <conditionalFormatting sqref="X65">
    <cfRule type="expression" dxfId="2528" priority="5581">
      <formula>X65*100&lt;C65</formula>
    </cfRule>
    <cfRule type="cellIs" dxfId="2527" priority="5582" operator="equal">
      <formula>0</formula>
    </cfRule>
  </conditionalFormatting>
  <conditionalFormatting sqref="X66">
    <cfRule type="expression" dxfId="2526" priority="5579">
      <formula>X66*100&lt;C66</formula>
    </cfRule>
    <cfRule type="cellIs" dxfId="2525" priority="5580" operator="equal">
      <formula>0</formula>
    </cfRule>
  </conditionalFormatting>
  <conditionalFormatting sqref="X67">
    <cfRule type="expression" dxfId="2524" priority="5577">
      <formula>X67*100&lt;C67</formula>
    </cfRule>
    <cfRule type="cellIs" dxfId="2523" priority="5578" operator="equal">
      <formula>0</formula>
    </cfRule>
  </conditionalFormatting>
  <conditionalFormatting sqref="X68">
    <cfRule type="expression" dxfId="2522" priority="5575">
      <formula>X68*100&lt;C68</formula>
    </cfRule>
    <cfRule type="cellIs" dxfId="2521" priority="5576" operator="equal">
      <formula>0</formula>
    </cfRule>
  </conditionalFormatting>
  <conditionalFormatting sqref="X69">
    <cfRule type="expression" dxfId="2520" priority="5573">
      <formula>X69*100&lt;C69</formula>
    </cfRule>
    <cfRule type="cellIs" dxfId="2519" priority="5574" operator="equal">
      <formula>0</formula>
    </cfRule>
  </conditionalFormatting>
  <conditionalFormatting sqref="X70">
    <cfRule type="expression" dxfId="2518" priority="5571">
      <formula>X70*100&lt;C70</formula>
    </cfRule>
    <cfRule type="cellIs" dxfId="2517" priority="5572" operator="equal">
      <formula>0</formula>
    </cfRule>
  </conditionalFormatting>
  <conditionalFormatting sqref="X71">
    <cfRule type="expression" dxfId="2516" priority="5569">
      <formula>X71*100&lt;C71</formula>
    </cfRule>
    <cfRule type="cellIs" dxfId="2515" priority="5570" operator="equal">
      <formula>0</formula>
    </cfRule>
  </conditionalFormatting>
  <conditionalFormatting sqref="X72">
    <cfRule type="expression" dxfId="2514" priority="5567">
      <formula>X72*100&lt;C72</formula>
    </cfRule>
    <cfRule type="cellIs" dxfId="2513" priority="5568" operator="equal">
      <formula>0</formula>
    </cfRule>
  </conditionalFormatting>
  <conditionalFormatting sqref="X73">
    <cfRule type="expression" dxfId="2512" priority="5565">
      <formula>X73*100&lt;C73</formula>
    </cfRule>
    <cfRule type="cellIs" dxfId="2511" priority="5566" operator="equal">
      <formula>0</formula>
    </cfRule>
  </conditionalFormatting>
  <conditionalFormatting sqref="X74">
    <cfRule type="expression" dxfId="2510" priority="5563">
      <formula>X74*100&lt;C74</formula>
    </cfRule>
    <cfRule type="cellIs" dxfId="2509" priority="5564" operator="equal">
      <formula>0</formula>
    </cfRule>
  </conditionalFormatting>
  <conditionalFormatting sqref="X75">
    <cfRule type="expression" dxfId="2508" priority="5561">
      <formula>X75*100&lt;C75</formula>
    </cfRule>
    <cfRule type="cellIs" dxfId="2507" priority="5562" operator="equal">
      <formula>0</formula>
    </cfRule>
  </conditionalFormatting>
  <conditionalFormatting sqref="X76">
    <cfRule type="expression" dxfId="2506" priority="5559">
      <formula>X76*100&lt;C76</formula>
    </cfRule>
    <cfRule type="cellIs" dxfId="2505" priority="5560" operator="equal">
      <formula>0</formula>
    </cfRule>
  </conditionalFormatting>
  <conditionalFormatting sqref="X77">
    <cfRule type="expression" dxfId="2504" priority="5557">
      <formula>X77*100&lt;C77</formula>
    </cfRule>
    <cfRule type="cellIs" dxfId="2503" priority="5558" operator="equal">
      <formula>0</formula>
    </cfRule>
  </conditionalFormatting>
  <conditionalFormatting sqref="X78">
    <cfRule type="expression" dxfId="2502" priority="5555">
      <formula>X78*100&lt;C78</formula>
    </cfRule>
    <cfRule type="cellIs" dxfId="2501" priority="5556" operator="equal">
      <formula>0</formula>
    </cfRule>
  </conditionalFormatting>
  <conditionalFormatting sqref="X79">
    <cfRule type="expression" dxfId="2500" priority="5553">
      <formula>X79*100&lt;C79</formula>
    </cfRule>
    <cfRule type="cellIs" dxfId="2499" priority="5554" operator="equal">
      <formula>0</formula>
    </cfRule>
  </conditionalFormatting>
  <conditionalFormatting sqref="X80">
    <cfRule type="expression" dxfId="2498" priority="5551">
      <formula>X80*100&lt;C80</formula>
    </cfRule>
    <cfRule type="cellIs" dxfId="2497" priority="5552" operator="equal">
      <formula>0</formula>
    </cfRule>
  </conditionalFormatting>
  <conditionalFormatting sqref="X81">
    <cfRule type="expression" dxfId="2496" priority="5549">
      <formula>X81*100&lt;C81</formula>
    </cfRule>
    <cfRule type="cellIs" dxfId="2495" priority="5550" operator="equal">
      <formula>0</formula>
    </cfRule>
  </conditionalFormatting>
  <conditionalFormatting sqref="X82">
    <cfRule type="expression" dxfId="2494" priority="5547">
      <formula>X82*100&lt;C82</formula>
    </cfRule>
    <cfRule type="cellIs" dxfId="2493" priority="5548" operator="equal">
      <formula>0</formula>
    </cfRule>
  </conditionalFormatting>
  <conditionalFormatting sqref="X83">
    <cfRule type="expression" dxfId="2492" priority="5545">
      <formula>X83*100&lt;C83</formula>
    </cfRule>
    <cfRule type="cellIs" dxfId="2491" priority="5546" operator="equal">
      <formula>0</formula>
    </cfRule>
  </conditionalFormatting>
  <conditionalFormatting sqref="X84">
    <cfRule type="expression" dxfId="2490" priority="5543">
      <formula>X84*100&lt;C84</formula>
    </cfRule>
    <cfRule type="cellIs" dxfId="2489" priority="5544" operator="equal">
      <formula>0</formula>
    </cfRule>
  </conditionalFormatting>
  <conditionalFormatting sqref="X85">
    <cfRule type="expression" dxfId="2488" priority="5541">
      <formula>X85*100&lt;C85</formula>
    </cfRule>
    <cfRule type="cellIs" dxfId="2487" priority="5542" operator="equal">
      <formula>0</formula>
    </cfRule>
  </conditionalFormatting>
  <conditionalFormatting sqref="X86">
    <cfRule type="expression" dxfId="2486" priority="5539">
      <formula>X86*100&lt;C86</formula>
    </cfRule>
    <cfRule type="cellIs" dxfId="2485" priority="5540" operator="equal">
      <formula>0</formula>
    </cfRule>
  </conditionalFormatting>
  <conditionalFormatting sqref="X87">
    <cfRule type="expression" dxfId="2484" priority="5537">
      <formula>X87*100&lt;C87</formula>
    </cfRule>
    <cfRule type="cellIs" dxfId="2483" priority="5538" operator="equal">
      <formula>0</formula>
    </cfRule>
  </conditionalFormatting>
  <conditionalFormatting sqref="X88">
    <cfRule type="expression" dxfId="2482" priority="5535">
      <formula>X88*100&lt;C88</formula>
    </cfRule>
    <cfRule type="cellIs" dxfId="2481" priority="5536" operator="equal">
      <formula>0</formula>
    </cfRule>
  </conditionalFormatting>
  <conditionalFormatting sqref="X89">
    <cfRule type="expression" dxfId="2480" priority="5533">
      <formula>X89*100&lt;C89</formula>
    </cfRule>
    <cfRule type="cellIs" dxfId="2479" priority="5534" operator="equal">
      <formula>0</formula>
    </cfRule>
  </conditionalFormatting>
  <conditionalFormatting sqref="X90">
    <cfRule type="expression" dxfId="2478" priority="5531">
      <formula>X90*100&lt;C90</formula>
    </cfRule>
    <cfRule type="cellIs" dxfId="2477" priority="5532" operator="equal">
      <formula>0</formula>
    </cfRule>
  </conditionalFormatting>
  <conditionalFormatting sqref="X91">
    <cfRule type="expression" dxfId="2476" priority="5529">
      <formula>X91*100&lt;C91</formula>
    </cfRule>
    <cfRule type="cellIs" dxfId="2475" priority="5530" operator="equal">
      <formula>0</formula>
    </cfRule>
  </conditionalFormatting>
  <conditionalFormatting sqref="X92">
    <cfRule type="expression" dxfId="2474" priority="5527">
      <formula>X92*100&lt;C92</formula>
    </cfRule>
    <cfRule type="cellIs" dxfId="2473" priority="5528" operator="equal">
      <formula>0</formula>
    </cfRule>
  </conditionalFormatting>
  <conditionalFormatting sqref="X93">
    <cfRule type="expression" dxfId="2472" priority="5525">
      <formula>X93*100&lt;C93</formula>
    </cfRule>
    <cfRule type="cellIs" dxfId="2471" priority="5526" operator="equal">
      <formula>0</formula>
    </cfRule>
  </conditionalFormatting>
  <conditionalFormatting sqref="X94">
    <cfRule type="expression" dxfId="2470" priority="5523">
      <formula>X94*100&lt;C94</formula>
    </cfRule>
    <cfRule type="cellIs" dxfId="2469" priority="5524" operator="equal">
      <formula>0</formula>
    </cfRule>
  </conditionalFormatting>
  <conditionalFormatting sqref="X95">
    <cfRule type="expression" dxfId="2468" priority="5521">
      <formula>X95*100&lt;C95</formula>
    </cfRule>
    <cfRule type="cellIs" dxfId="2467" priority="5522" operator="equal">
      <formula>0</formula>
    </cfRule>
  </conditionalFormatting>
  <conditionalFormatting sqref="X96">
    <cfRule type="expression" dxfId="2466" priority="5519">
      <formula>X96*100&lt;C96</formula>
    </cfRule>
    <cfRule type="cellIs" dxfId="2465" priority="5520" operator="equal">
      <formula>0</formula>
    </cfRule>
  </conditionalFormatting>
  <conditionalFormatting sqref="X97">
    <cfRule type="expression" dxfId="2464" priority="5517">
      <formula>X97*100&lt;C97</formula>
    </cfRule>
    <cfRule type="cellIs" dxfId="2463" priority="5518" operator="equal">
      <formula>0</formula>
    </cfRule>
  </conditionalFormatting>
  <conditionalFormatting sqref="X98">
    <cfRule type="expression" dxfId="2462" priority="5515">
      <formula>X98*100&lt;C98</formula>
    </cfRule>
    <cfRule type="cellIs" dxfId="2461" priority="5516" operator="equal">
      <formula>0</formula>
    </cfRule>
  </conditionalFormatting>
  <conditionalFormatting sqref="X99">
    <cfRule type="expression" dxfId="2460" priority="5513">
      <formula>X99*100&lt;C99</formula>
    </cfRule>
    <cfRule type="cellIs" dxfId="2459" priority="5514" operator="equal">
      <formula>0</formula>
    </cfRule>
  </conditionalFormatting>
  <conditionalFormatting sqref="X100">
    <cfRule type="expression" dxfId="2458" priority="5511">
      <formula>X100*100&lt;C100</formula>
    </cfRule>
    <cfRule type="cellIs" dxfId="2457" priority="5512" operator="equal">
      <formula>0</formula>
    </cfRule>
  </conditionalFormatting>
  <conditionalFormatting sqref="X101">
    <cfRule type="expression" dxfId="2456" priority="5509">
      <formula>X101*100&lt;C101</formula>
    </cfRule>
    <cfRule type="cellIs" dxfId="2455" priority="5510" operator="equal">
      <formula>0</formula>
    </cfRule>
  </conditionalFormatting>
  <conditionalFormatting sqref="X102">
    <cfRule type="expression" dxfId="2454" priority="5507">
      <formula>X102*100&lt;C102</formula>
    </cfRule>
    <cfRule type="cellIs" dxfId="2453" priority="5508" operator="equal">
      <formula>0</formula>
    </cfRule>
  </conditionalFormatting>
  <conditionalFormatting sqref="X103">
    <cfRule type="expression" dxfId="2452" priority="5505">
      <formula>X103*100&lt;C103</formula>
    </cfRule>
    <cfRule type="cellIs" dxfId="2451" priority="5506" operator="equal">
      <formula>0</formula>
    </cfRule>
  </conditionalFormatting>
  <conditionalFormatting sqref="X104">
    <cfRule type="expression" dxfId="2450" priority="5503">
      <formula>X104*100&lt;C104</formula>
    </cfRule>
    <cfRule type="cellIs" dxfId="2449" priority="5504" operator="equal">
      <formula>0</formula>
    </cfRule>
  </conditionalFormatting>
  <conditionalFormatting sqref="X105">
    <cfRule type="expression" dxfId="2448" priority="5501">
      <formula>X105*100&lt;C105</formula>
    </cfRule>
    <cfRule type="cellIs" dxfId="2447" priority="5502" operator="equal">
      <formula>0</formula>
    </cfRule>
  </conditionalFormatting>
  <conditionalFormatting sqref="X106">
    <cfRule type="expression" dxfId="2446" priority="5499">
      <formula>X106*100&lt;C106</formula>
    </cfRule>
    <cfRule type="cellIs" dxfId="2445" priority="5500" operator="equal">
      <formula>0</formula>
    </cfRule>
  </conditionalFormatting>
  <conditionalFormatting sqref="X107">
    <cfRule type="expression" dxfId="2444" priority="5497">
      <formula>X107*100&lt;C107</formula>
    </cfRule>
    <cfRule type="cellIs" dxfId="2443" priority="5498" operator="equal">
      <formula>0</formula>
    </cfRule>
  </conditionalFormatting>
  <conditionalFormatting sqref="X108">
    <cfRule type="expression" dxfId="2442" priority="5495">
      <formula>X108*100&lt;C108</formula>
    </cfRule>
    <cfRule type="cellIs" dxfId="2441" priority="5496" operator="equal">
      <formula>0</formula>
    </cfRule>
  </conditionalFormatting>
  <conditionalFormatting sqref="X109">
    <cfRule type="expression" dxfId="2440" priority="5493">
      <formula>X109*100&lt;C109</formula>
    </cfRule>
    <cfRule type="cellIs" dxfId="2439" priority="5494" operator="equal">
      <formula>0</formula>
    </cfRule>
  </conditionalFormatting>
  <conditionalFormatting sqref="X110">
    <cfRule type="expression" dxfId="2438" priority="5491">
      <formula>X110*100&lt;C110</formula>
    </cfRule>
    <cfRule type="cellIs" dxfId="2437" priority="5492" operator="equal">
      <formula>0</formula>
    </cfRule>
  </conditionalFormatting>
  <conditionalFormatting sqref="X111">
    <cfRule type="expression" dxfId="2436" priority="5489">
      <formula>X111*100&lt;C111</formula>
    </cfRule>
    <cfRule type="cellIs" dxfId="2435" priority="5490" operator="equal">
      <formula>0</formula>
    </cfRule>
  </conditionalFormatting>
  <conditionalFormatting sqref="X112">
    <cfRule type="expression" dxfId="2434" priority="5487">
      <formula>X112*100&lt;C112</formula>
    </cfRule>
    <cfRule type="cellIs" dxfId="2433" priority="5488" operator="equal">
      <formula>0</formula>
    </cfRule>
  </conditionalFormatting>
  <conditionalFormatting sqref="X113">
    <cfRule type="expression" dxfId="2432" priority="5485">
      <formula>X113*100&lt;C113</formula>
    </cfRule>
    <cfRule type="cellIs" dxfId="2431" priority="5486" operator="equal">
      <formula>0</formula>
    </cfRule>
  </conditionalFormatting>
  <conditionalFormatting sqref="X114">
    <cfRule type="expression" dxfId="2430" priority="5483">
      <formula>X114*100&lt;C114</formula>
    </cfRule>
    <cfRule type="cellIs" dxfId="2429" priority="5484" operator="equal">
      <formula>0</formula>
    </cfRule>
  </conditionalFormatting>
  <conditionalFormatting sqref="X115">
    <cfRule type="expression" dxfId="2428" priority="5481">
      <formula>X115*100&lt;C115</formula>
    </cfRule>
    <cfRule type="cellIs" dxfId="2427" priority="5482" operator="equal">
      <formula>0</formula>
    </cfRule>
  </conditionalFormatting>
  <conditionalFormatting sqref="X116">
    <cfRule type="expression" dxfId="2426" priority="5479">
      <formula>X116*100&lt;C116</formula>
    </cfRule>
    <cfRule type="cellIs" dxfId="2425" priority="5480" operator="equal">
      <formula>0</formula>
    </cfRule>
  </conditionalFormatting>
  <conditionalFormatting sqref="X117">
    <cfRule type="expression" dxfId="2424" priority="5477">
      <formula>X117*100&lt;C117</formula>
    </cfRule>
    <cfRule type="cellIs" dxfId="2423" priority="5478" operator="equal">
      <formula>0</formula>
    </cfRule>
  </conditionalFormatting>
  <conditionalFormatting sqref="X118">
    <cfRule type="expression" dxfId="2422" priority="5475">
      <formula>X118*100&lt;C118</formula>
    </cfRule>
    <cfRule type="cellIs" dxfId="2421" priority="5476" operator="equal">
      <formula>0</formula>
    </cfRule>
  </conditionalFormatting>
  <conditionalFormatting sqref="X119">
    <cfRule type="expression" dxfId="2420" priority="5473">
      <formula>X119*100&lt;C119</formula>
    </cfRule>
    <cfRule type="cellIs" dxfId="2419" priority="5474" operator="equal">
      <formula>0</formula>
    </cfRule>
  </conditionalFormatting>
  <conditionalFormatting sqref="X120">
    <cfRule type="expression" dxfId="2418" priority="5471">
      <formula>X120*100&lt;C120</formula>
    </cfRule>
    <cfRule type="cellIs" dxfId="2417" priority="5472" operator="equal">
      <formula>0</formula>
    </cfRule>
  </conditionalFormatting>
  <conditionalFormatting sqref="X121">
    <cfRule type="expression" dxfId="2416" priority="5469">
      <formula>X121*100&lt;C121</formula>
    </cfRule>
    <cfRule type="cellIs" dxfId="2415" priority="5470" operator="equal">
      <formula>0</formula>
    </cfRule>
  </conditionalFormatting>
  <conditionalFormatting sqref="X122">
    <cfRule type="expression" dxfId="2414" priority="5467">
      <formula>X122*100&lt;C122</formula>
    </cfRule>
    <cfRule type="cellIs" dxfId="2413" priority="5468" operator="equal">
      <formula>0</formula>
    </cfRule>
  </conditionalFormatting>
  <conditionalFormatting sqref="X123">
    <cfRule type="expression" dxfId="2412" priority="5465">
      <formula>X123*100&lt;C123</formula>
    </cfRule>
    <cfRule type="cellIs" dxfId="2411" priority="5466" operator="equal">
      <formula>0</formula>
    </cfRule>
  </conditionalFormatting>
  <conditionalFormatting sqref="X124">
    <cfRule type="expression" dxfId="2410" priority="5463">
      <formula>X124*100&lt;C124</formula>
    </cfRule>
    <cfRule type="cellIs" dxfId="2409" priority="5464" operator="equal">
      <formula>0</formula>
    </cfRule>
  </conditionalFormatting>
  <conditionalFormatting sqref="X125">
    <cfRule type="expression" dxfId="2408" priority="5461">
      <formula>X125*100&lt;C125</formula>
    </cfRule>
    <cfRule type="cellIs" dxfId="2407" priority="5462" operator="equal">
      <formula>0</formula>
    </cfRule>
  </conditionalFormatting>
  <conditionalFormatting sqref="X126">
    <cfRule type="expression" dxfId="2406" priority="5459">
      <formula>X126*100&lt;C126</formula>
    </cfRule>
    <cfRule type="cellIs" dxfId="2405" priority="5460" operator="equal">
      <formula>0</formula>
    </cfRule>
  </conditionalFormatting>
  <conditionalFormatting sqref="X127">
    <cfRule type="expression" dxfId="2404" priority="5457">
      <formula>X127*100&lt;C127</formula>
    </cfRule>
    <cfRule type="cellIs" dxfId="2403" priority="5458" operator="equal">
      <formula>0</formula>
    </cfRule>
  </conditionalFormatting>
  <conditionalFormatting sqref="X128">
    <cfRule type="expression" dxfId="2402" priority="5455">
      <formula>X128*100&lt;C128</formula>
    </cfRule>
    <cfRule type="cellIs" dxfId="2401" priority="5456" operator="equal">
      <formula>0</formula>
    </cfRule>
  </conditionalFormatting>
  <conditionalFormatting sqref="X129">
    <cfRule type="expression" dxfId="2400" priority="5453">
      <formula>X129*100&lt;C129</formula>
    </cfRule>
    <cfRule type="cellIs" dxfId="2399" priority="5454" operator="equal">
      <formula>0</formula>
    </cfRule>
  </conditionalFormatting>
  <conditionalFormatting sqref="X130">
    <cfRule type="expression" dxfId="2398" priority="5451">
      <formula>X130*100&lt;C130</formula>
    </cfRule>
    <cfRule type="cellIs" dxfId="2397" priority="5452" operator="equal">
      <formula>0</formula>
    </cfRule>
  </conditionalFormatting>
  <conditionalFormatting sqref="X131">
    <cfRule type="expression" dxfId="2396" priority="5449">
      <formula>X131*100&lt;C131</formula>
    </cfRule>
    <cfRule type="cellIs" dxfId="2395" priority="5450" operator="equal">
      <formula>0</formula>
    </cfRule>
  </conditionalFormatting>
  <conditionalFormatting sqref="X132">
    <cfRule type="expression" dxfId="2394" priority="5447">
      <formula>X132*100&lt;C132</formula>
    </cfRule>
    <cfRule type="cellIs" dxfId="2393" priority="5448" operator="equal">
      <formula>0</formula>
    </cfRule>
  </conditionalFormatting>
  <conditionalFormatting sqref="X133">
    <cfRule type="expression" dxfId="2392" priority="5445">
      <formula>X133*100&lt;C133</formula>
    </cfRule>
    <cfRule type="cellIs" dxfId="2391" priority="5446" operator="equal">
      <formula>0</formula>
    </cfRule>
  </conditionalFormatting>
  <conditionalFormatting sqref="X134">
    <cfRule type="expression" dxfId="2390" priority="5443">
      <formula>X134*100&lt;C134</formula>
    </cfRule>
    <cfRule type="cellIs" dxfId="2389" priority="5444" operator="equal">
      <formula>0</formula>
    </cfRule>
  </conditionalFormatting>
  <conditionalFormatting sqref="X135">
    <cfRule type="expression" dxfId="2388" priority="5441">
      <formula>X135*100&lt;C135</formula>
    </cfRule>
    <cfRule type="cellIs" dxfId="2387" priority="5442" operator="equal">
      <formula>0</formula>
    </cfRule>
  </conditionalFormatting>
  <conditionalFormatting sqref="X136">
    <cfRule type="expression" dxfId="2386" priority="5439">
      <formula>X136*100&lt;C136</formula>
    </cfRule>
    <cfRule type="cellIs" dxfId="2385" priority="5440" operator="equal">
      <formula>0</formula>
    </cfRule>
  </conditionalFormatting>
  <conditionalFormatting sqref="X137">
    <cfRule type="expression" dxfId="2384" priority="5437">
      <formula>X137*100&lt;C137</formula>
    </cfRule>
    <cfRule type="cellIs" dxfId="2383" priority="5438" operator="equal">
      <formula>0</formula>
    </cfRule>
  </conditionalFormatting>
  <conditionalFormatting sqref="X138">
    <cfRule type="expression" dxfId="2382" priority="5435">
      <formula>X138*100&lt;C138</formula>
    </cfRule>
    <cfRule type="cellIs" dxfId="2381" priority="5436" operator="equal">
      <formula>0</formula>
    </cfRule>
  </conditionalFormatting>
  <conditionalFormatting sqref="X139">
    <cfRule type="expression" dxfId="2380" priority="5433">
      <formula>X139*100&lt;C139</formula>
    </cfRule>
    <cfRule type="cellIs" dxfId="2379" priority="5434" operator="equal">
      <formula>0</formula>
    </cfRule>
  </conditionalFormatting>
  <conditionalFormatting sqref="X140">
    <cfRule type="expression" dxfId="2378" priority="5431">
      <formula>X140*100&lt;C140</formula>
    </cfRule>
    <cfRule type="cellIs" dxfId="2377" priority="5432" operator="equal">
      <formula>0</formula>
    </cfRule>
  </conditionalFormatting>
  <conditionalFormatting sqref="X141">
    <cfRule type="expression" dxfId="2376" priority="5429">
      <formula>X141*100&lt;C141</formula>
    </cfRule>
    <cfRule type="cellIs" dxfId="2375" priority="5430" operator="equal">
      <formula>0</formula>
    </cfRule>
  </conditionalFormatting>
  <conditionalFormatting sqref="X142">
    <cfRule type="expression" dxfId="2374" priority="5427">
      <formula>X142*100&lt;C142</formula>
    </cfRule>
    <cfRule type="cellIs" dxfId="2373" priority="5428" operator="equal">
      <formula>0</formula>
    </cfRule>
  </conditionalFormatting>
  <conditionalFormatting sqref="X143">
    <cfRule type="expression" dxfId="2372" priority="5425">
      <formula>X143*100&lt;C143</formula>
    </cfRule>
    <cfRule type="cellIs" dxfId="2371" priority="5426" operator="equal">
      <formula>0</formula>
    </cfRule>
  </conditionalFormatting>
  <conditionalFormatting sqref="X144">
    <cfRule type="expression" dxfId="2370" priority="5423">
      <formula>X144*100&lt;C144</formula>
    </cfRule>
    <cfRule type="cellIs" dxfId="2369" priority="5424" operator="equal">
      <formula>0</formula>
    </cfRule>
  </conditionalFormatting>
  <conditionalFormatting sqref="X145">
    <cfRule type="expression" dxfId="2368" priority="5421">
      <formula>X145*100&lt;C145</formula>
    </cfRule>
    <cfRule type="cellIs" dxfId="2367" priority="5422" operator="equal">
      <formula>0</formula>
    </cfRule>
  </conditionalFormatting>
  <conditionalFormatting sqref="X146">
    <cfRule type="expression" dxfId="2366" priority="5419">
      <formula>X146*100&lt;C146</formula>
    </cfRule>
    <cfRule type="cellIs" dxfId="2365" priority="5420" operator="equal">
      <formula>0</formula>
    </cfRule>
  </conditionalFormatting>
  <conditionalFormatting sqref="X147">
    <cfRule type="expression" dxfId="2364" priority="5417">
      <formula>X147*100&lt;C147</formula>
    </cfRule>
    <cfRule type="cellIs" dxfId="2363" priority="5418" operator="equal">
      <formula>0</formula>
    </cfRule>
  </conditionalFormatting>
  <conditionalFormatting sqref="X148">
    <cfRule type="expression" dxfId="2362" priority="5415">
      <formula>X148*100&lt;C148</formula>
    </cfRule>
    <cfRule type="cellIs" dxfId="2361" priority="5416" operator="equal">
      <formula>0</formula>
    </cfRule>
  </conditionalFormatting>
  <conditionalFormatting sqref="X149">
    <cfRule type="expression" dxfId="2360" priority="5413">
      <formula>X149*100&lt;C149</formula>
    </cfRule>
    <cfRule type="cellIs" dxfId="2359" priority="5414" operator="equal">
      <formula>0</formula>
    </cfRule>
  </conditionalFormatting>
  <conditionalFormatting sqref="X150">
    <cfRule type="expression" dxfId="2358" priority="5411">
      <formula>X150*100&lt;C150</formula>
    </cfRule>
    <cfRule type="cellIs" dxfId="2357" priority="5412" operator="equal">
      <formula>0</formula>
    </cfRule>
  </conditionalFormatting>
  <conditionalFormatting sqref="X151">
    <cfRule type="expression" dxfId="2356" priority="5409">
      <formula>X151*100&lt;C151</formula>
    </cfRule>
    <cfRule type="cellIs" dxfId="2355" priority="5410" operator="equal">
      <formula>0</formula>
    </cfRule>
  </conditionalFormatting>
  <conditionalFormatting sqref="X152">
    <cfRule type="expression" dxfId="2354" priority="5407">
      <formula>X152*100&lt;C152</formula>
    </cfRule>
    <cfRule type="cellIs" dxfId="2353" priority="5408" operator="equal">
      <formula>0</formula>
    </cfRule>
  </conditionalFormatting>
  <conditionalFormatting sqref="X153">
    <cfRule type="expression" dxfId="2352" priority="5405">
      <formula>X153*100&lt;C153</formula>
    </cfRule>
    <cfRule type="cellIs" dxfId="2351" priority="5406" operator="equal">
      <formula>0</formula>
    </cfRule>
  </conditionalFormatting>
  <conditionalFormatting sqref="X154">
    <cfRule type="expression" dxfId="2350" priority="5403">
      <formula>X154*100&lt;C154</formula>
    </cfRule>
    <cfRule type="cellIs" dxfId="2349" priority="5404" operator="equal">
      <formula>0</formula>
    </cfRule>
  </conditionalFormatting>
  <conditionalFormatting sqref="X155">
    <cfRule type="expression" dxfId="2348" priority="5401">
      <formula>X155*100&lt;C155</formula>
    </cfRule>
    <cfRule type="cellIs" dxfId="2347" priority="5402" operator="equal">
      <formula>0</formula>
    </cfRule>
  </conditionalFormatting>
  <conditionalFormatting sqref="X156">
    <cfRule type="expression" dxfId="2346" priority="5399">
      <formula>X156*100&lt;C156</formula>
    </cfRule>
    <cfRule type="cellIs" dxfId="2345" priority="5400" operator="equal">
      <formula>0</formula>
    </cfRule>
  </conditionalFormatting>
  <conditionalFormatting sqref="X157">
    <cfRule type="expression" dxfId="2344" priority="5397">
      <formula>X157*100&lt;C157</formula>
    </cfRule>
    <cfRule type="cellIs" dxfId="2343" priority="5398" operator="equal">
      <formula>0</formula>
    </cfRule>
  </conditionalFormatting>
  <conditionalFormatting sqref="X158">
    <cfRule type="expression" dxfId="2342" priority="5395">
      <formula>X158*100&lt;C158</formula>
    </cfRule>
    <cfRule type="cellIs" dxfId="2341" priority="5396" operator="equal">
      <formula>0</formula>
    </cfRule>
  </conditionalFormatting>
  <conditionalFormatting sqref="X159">
    <cfRule type="expression" dxfId="2340" priority="5393">
      <formula>X159*100&lt;C159</formula>
    </cfRule>
    <cfRule type="cellIs" dxfId="2339" priority="5394" operator="equal">
      <formula>0</formula>
    </cfRule>
  </conditionalFormatting>
  <conditionalFormatting sqref="X160">
    <cfRule type="expression" dxfId="2338" priority="5391">
      <formula>X160*100&lt;C160</formula>
    </cfRule>
    <cfRule type="cellIs" dxfId="2337" priority="5392" operator="equal">
      <formula>0</formula>
    </cfRule>
  </conditionalFormatting>
  <conditionalFormatting sqref="X161">
    <cfRule type="expression" dxfId="2336" priority="5389">
      <formula>X161*100&lt;C161</formula>
    </cfRule>
    <cfRule type="cellIs" dxfId="2335" priority="5390" operator="equal">
      <formula>0</formula>
    </cfRule>
  </conditionalFormatting>
  <conditionalFormatting sqref="X162">
    <cfRule type="expression" dxfId="2334" priority="5387">
      <formula>X162*100&lt;C162</formula>
    </cfRule>
    <cfRule type="cellIs" dxfId="2333" priority="5388" operator="equal">
      <formula>0</formula>
    </cfRule>
  </conditionalFormatting>
  <conditionalFormatting sqref="X163">
    <cfRule type="expression" dxfId="2332" priority="5385">
      <formula>X163*100&lt;C163</formula>
    </cfRule>
    <cfRule type="cellIs" dxfId="2331" priority="5386" operator="equal">
      <formula>0</formula>
    </cfRule>
  </conditionalFormatting>
  <conditionalFormatting sqref="X164">
    <cfRule type="expression" dxfId="2330" priority="5383">
      <formula>X164*100&lt;C164</formula>
    </cfRule>
    <cfRule type="cellIs" dxfId="2329" priority="5384" operator="equal">
      <formula>0</formula>
    </cfRule>
  </conditionalFormatting>
  <conditionalFormatting sqref="X165">
    <cfRule type="expression" dxfId="2328" priority="5381">
      <formula>X165*100&lt;C165</formula>
    </cfRule>
    <cfRule type="cellIs" dxfId="2327" priority="5382" operator="equal">
      <formula>0</formula>
    </cfRule>
  </conditionalFormatting>
  <conditionalFormatting sqref="X166">
    <cfRule type="expression" dxfId="2326" priority="5379">
      <formula>X166*100&lt;C166</formula>
    </cfRule>
    <cfRule type="cellIs" dxfId="2325" priority="5380" operator="equal">
      <formula>0</formula>
    </cfRule>
  </conditionalFormatting>
  <conditionalFormatting sqref="X167">
    <cfRule type="expression" dxfId="2324" priority="5377">
      <formula>X167*100&lt;C167</formula>
    </cfRule>
    <cfRule type="cellIs" dxfId="2323" priority="5378" operator="equal">
      <formula>0</formula>
    </cfRule>
  </conditionalFormatting>
  <conditionalFormatting sqref="X168">
    <cfRule type="expression" dxfId="2322" priority="5375">
      <formula>X168*100&lt;C168</formula>
    </cfRule>
    <cfRule type="cellIs" dxfId="2321" priority="5376" operator="equal">
      <formula>0</formula>
    </cfRule>
  </conditionalFormatting>
  <conditionalFormatting sqref="X169">
    <cfRule type="expression" dxfId="2320" priority="5373">
      <formula>X169*100&lt;C169</formula>
    </cfRule>
    <cfRule type="cellIs" dxfId="2319" priority="5374" operator="equal">
      <formula>0</formula>
    </cfRule>
  </conditionalFormatting>
  <conditionalFormatting sqref="X2">
    <cfRule type="expression" dxfId="2318" priority="5366">
      <formula>X2*100&gt;C2</formula>
    </cfRule>
    <cfRule type="cellIs" dxfId="2317" priority="5367" operator="equal">
      <formula>0</formula>
    </cfRule>
  </conditionalFormatting>
  <conditionalFormatting sqref="X3">
    <cfRule type="expression" dxfId="2316" priority="5364">
      <formula>X3*100&gt;C3</formula>
    </cfRule>
    <cfRule type="cellIs" dxfId="2315" priority="5365" operator="equal">
      <formula>0</formula>
    </cfRule>
  </conditionalFormatting>
  <conditionalFormatting sqref="X4">
    <cfRule type="expression" dxfId="2314" priority="5357">
      <formula>X4*100&gt;C4</formula>
    </cfRule>
    <cfRule type="cellIs" dxfId="2313" priority="5358" operator="equal">
      <formula>0</formula>
    </cfRule>
  </conditionalFormatting>
  <conditionalFormatting sqref="X5">
    <cfRule type="expression" dxfId="2312" priority="5355">
      <formula>X5*100&gt;C5</formula>
    </cfRule>
    <cfRule type="cellIs" dxfId="2311" priority="5356" operator="equal">
      <formula>0</formula>
    </cfRule>
  </conditionalFormatting>
  <conditionalFormatting sqref="X6">
    <cfRule type="expression" dxfId="2310" priority="5348">
      <formula>X6*100&gt;C6</formula>
    </cfRule>
    <cfRule type="cellIs" dxfId="2309" priority="5349" operator="equal">
      <formula>0</formula>
    </cfRule>
  </conditionalFormatting>
  <conditionalFormatting sqref="X7">
    <cfRule type="expression" dxfId="2308" priority="5346">
      <formula>X7*100&gt;C7</formula>
    </cfRule>
    <cfRule type="cellIs" dxfId="2307" priority="5347" operator="equal">
      <formula>0</formula>
    </cfRule>
  </conditionalFormatting>
  <conditionalFormatting sqref="X8">
    <cfRule type="expression" dxfId="2306" priority="5339">
      <formula>X8*100&gt;C8</formula>
    </cfRule>
    <cfRule type="cellIs" dxfId="2305" priority="5340" operator="equal">
      <formula>0</formula>
    </cfRule>
  </conditionalFormatting>
  <conditionalFormatting sqref="X9">
    <cfRule type="expression" dxfId="2304" priority="5337">
      <formula>X9*100&gt;C9</formula>
    </cfRule>
    <cfRule type="cellIs" dxfId="2303" priority="5338" operator="equal">
      <formula>0</formula>
    </cfRule>
  </conditionalFormatting>
  <conditionalFormatting sqref="Y62">
    <cfRule type="cellIs" dxfId="2302" priority="4083" operator="lessThanOrEqual">
      <formula>0</formula>
    </cfRule>
    <cfRule type="expression" dxfId="2301" priority="5106">
      <formula>(C63)-(D62)&gt;(C63/100)*(1+$AD$1*$AE$1)</formula>
    </cfRule>
  </conditionalFormatting>
  <conditionalFormatting sqref="Y63">
    <cfRule type="cellIs" dxfId="2300" priority="5107" operator="equal">
      <formula>0</formula>
    </cfRule>
  </conditionalFormatting>
  <conditionalFormatting sqref="Y60">
    <cfRule type="expression" dxfId="2299" priority="5103">
      <formula>(C61)-(D60)&gt;(C61/100)*(1+$AD$1*$AE$1)</formula>
    </cfRule>
    <cfRule type="cellIs" dxfId="2298" priority="5105" operator="lessThanOrEqual">
      <formula>0</formula>
    </cfRule>
  </conditionalFormatting>
  <conditionalFormatting sqref="Y61">
    <cfRule type="cellIs" dxfId="2297" priority="5104" operator="equal">
      <formula>0</formula>
    </cfRule>
  </conditionalFormatting>
  <conditionalFormatting sqref="Z1">
    <cfRule type="cellIs" dxfId="2296" priority="5017" operator="notEqual">
      <formula>0</formula>
    </cfRule>
  </conditionalFormatting>
  <conditionalFormatting sqref="AA1">
    <cfRule type="cellIs" dxfId="2295" priority="5016" operator="notEqual">
      <formula>0</formula>
    </cfRule>
  </conditionalFormatting>
  <conditionalFormatting sqref="Q1">
    <cfRule type="cellIs" dxfId="2294" priority="4991" operator="equal">
      <formula>"BONOS"</formula>
    </cfRule>
  </conditionalFormatting>
  <conditionalFormatting sqref="Z26">
    <cfRule type="cellIs" dxfId="2293" priority="4983" operator="equal">
      <formula>0</formula>
    </cfRule>
  </conditionalFormatting>
  <conditionalFormatting sqref="Z26">
    <cfRule type="cellIs" dxfId="2292" priority="4982" operator="greaterThan">
      <formula>0</formula>
    </cfRule>
  </conditionalFormatting>
  <conditionalFormatting sqref="Z28">
    <cfRule type="cellIs" dxfId="2291" priority="4979" operator="equal">
      <formula>0</formula>
    </cfRule>
  </conditionalFormatting>
  <conditionalFormatting sqref="Z28">
    <cfRule type="cellIs" dxfId="2290" priority="4978" operator="greaterThan">
      <formula>0</formula>
    </cfRule>
  </conditionalFormatting>
  <conditionalFormatting sqref="Z29">
    <cfRule type="cellIs" dxfId="2289" priority="4977" operator="equal">
      <formula>0</formula>
    </cfRule>
  </conditionalFormatting>
  <conditionalFormatting sqref="Z29">
    <cfRule type="cellIs" dxfId="2288" priority="4976" operator="greaterThan">
      <formula>0</formula>
    </cfRule>
  </conditionalFormatting>
  <conditionalFormatting sqref="B26">
    <cfRule type="expression" dxfId="2287" priority="4509">
      <formula>IF($V26&lt;&gt;0,AND(MID($A26,5,1)=" "))</formula>
    </cfRule>
    <cfRule type="expression" dxfId="2286" priority="4510">
      <formula>IF($V26&lt;&gt;0,AND(MID($A26,5,1)="C"))</formula>
    </cfRule>
    <cfRule type="expression" dxfId="2285" priority="4511">
      <formula>IF($V26&lt;&gt;0,AND(MID($A26,5,1)="D"))</formula>
    </cfRule>
  </conditionalFormatting>
  <conditionalFormatting sqref="E26">
    <cfRule type="expression" dxfId="2284" priority="4494">
      <formula>IF($V26&lt;&gt;0,AND(MID($A26,5,1)=" "))</formula>
    </cfRule>
    <cfRule type="expression" dxfId="2283" priority="4495">
      <formula>IF($V26&lt;&gt;0,AND(MID($A26,5,1)="C"))</formula>
    </cfRule>
    <cfRule type="expression" dxfId="2282" priority="4496">
      <formula>IF($V26&lt;&gt;0,AND(MID($A26,5,1)="D"))</formula>
    </cfRule>
  </conditionalFormatting>
  <conditionalFormatting sqref="B28">
    <cfRule type="expression" dxfId="2281" priority="4491">
      <formula>IF($V28&lt;&gt;0,AND(MID($A28,5,1)=" "))</formula>
    </cfRule>
    <cfRule type="expression" dxfId="2280" priority="4492">
      <formula>IF($V28&lt;&gt;0,AND(MID($A28,5,1)="C"))</formula>
    </cfRule>
    <cfRule type="expression" dxfId="2279" priority="4493">
      <formula>IF($V28&lt;&gt;0,AND(MID($A28,5,1)="D"))</formula>
    </cfRule>
  </conditionalFormatting>
  <conditionalFormatting sqref="E28">
    <cfRule type="expression" dxfId="2278" priority="4476">
      <formula>IF($V28&lt;&gt;0,AND(MID($A28,5,1)=" "))</formula>
    </cfRule>
    <cfRule type="expression" dxfId="2277" priority="4477">
      <formula>IF($V28&lt;&gt;0,AND(MID($A28,5,1)="C"))</formula>
    </cfRule>
    <cfRule type="expression" dxfId="2276" priority="4478">
      <formula>IF($V28&lt;&gt;0,AND(MID($A28,5,1)="D"))</formula>
    </cfRule>
  </conditionalFormatting>
  <conditionalFormatting sqref="B29">
    <cfRule type="expression" dxfId="2275" priority="4473">
      <formula>IF($V29&lt;&gt;0,AND(MID($A29,5,1)=" "))</formula>
    </cfRule>
    <cfRule type="expression" dxfId="2274" priority="4474">
      <formula>IF($V29&lt;&gt;0,AND(MID($A29,5,1)="C"))</formula>
    </cfRule>
    <cfRule type="expression" dxfId="2273" priority="4475">
      <formula>IF($V29&lt;&gt;0,AND(MID($A29,5,1)="D"))</formula>
    </cfRule>
  </conditionalFormatting>
  <conditionalFormatting sqref="E29">
    <cfRule type="expression" dxfId="2272" priority="4458">
      <formula>IF($V29&lt;&gt;0,AND(MID($A29,5,1)=" "))</formula>
    </cfRule>
    <cfRule type="expression" dxfId="2271" priority="4459">
      <formula>IF($V29&lt;&gt;0,AND(MID($A29,5,1)="C"))</formula>
    </cfRule>
    <cfRule type="expression" dxfId="2270" priority="4460">
      <formula>IF($V29&lt;&gt;0,AND(MID($A29,5,1)="D"))</formula>
    </cfRule>
  </conditionalFormatting>
  <conditionalFormatting sqref="B27">
    <cfRule type="expression" dxfId="2269" priority="4455">
      <formula>IF($V27&lt;&gt;0,AND(MID($A27,5,1)=" "))</formula>
    </cfRule>
    <cfRule type="expression" dxfId="2268" priority="4456">
      <formula>IF($V27&lt;&gt;0,AND(MID($A27,5,1)="C"))</formula>
    </cfRule>
    <cfRule type="expression" dxfId="2267" priority="4457">
      <formula>IF($V27&lt;&gt;0,AND(MID($A27,5,1)="D"))</formula>
    </cfRule>
  </conditionalFormatting>
  <conditionalFormatting sqref="E27">
    <cfRule type="expression" dxfId="2266" priority="4440">
      <formula>IF($V27&lt;&gt;0,AND(MID($A27,5,1)=" "))</formula>
    </cfRule>
    <cfRule type="expression" dxfId="2265" priority="4441">
      <formula>IF($V27&lt;&gt;0,AND(MID($A27,5,1)="C"))</formula>
    </cfRule>
    <cfRule type="expression" dxfId="2264" priority="4442">
      <formula>IF($V27&lt;&gt;0,AND(MID($A27,5,1)="D"))</formula>
    </cfRule>
  </conditionalFormatting>
  <conditionalFormatting sqref="C26">
    <cfRule type="cellIs" dxfId="2263" priority="4407" operator="lessThan">
      <formula>D26</formula>
    </cfRule>
    <cfRule type="expression" dxfId="2262" priority="4411">
      <formula>IF($V26&lt;&gt;0,AND(MID($A26,5,1)=" "))</formula>
    </cfRule>
    <cfRule type="expression" dxfId="2261" priority="4412">
      <formula>IF($V26&lt;&gt;0,AND(MID($A26,5,1)="C"))</formula>
    </cfRule>
    <cfRule type="expression" dxfId="2260" priority="4413">
      <formula>IF($V26&lt;&gt;0,AND(MID($A26,5,1)="D"))</formula>
    </cfRule>
  </conditionalFormatting>
  <conditionalFormatting sqref="D26">
    <cfRule type="cellIs" dxfId="2259" priority="4406" operator="lessThan">
      <formula>C26</formula>
    </cfRule>
    <cfRule type="expression" dxfId="2258" priority="4408">
      <formula>IF($V26&lt;&gt;0,AND(MID($A26,5,1)=" "))</formula>
    </cfRule>
    <cfRule type="expression" dxfId="2257" priority="4409">
      <formula>IF($V26&lt;&gt;0,AND(MID($A26,5,1)="C"))</formula>
    </cfRule>
    <cfRule type="expression" dxfId="2256" priority="4410">
      <formula>IF($V26&lt;&gt;0,AND(MID($A26,5,1)="D"))</formula>
    </cfRule>
  </conditionalFormatting>
  <conditionalFormatting sqref="C27">
    <cfRule type="cellIs" dxfId="2255" priority="4399" operator="lessThan">
      <formula>D27</formula>
    </cfRule>
    <cfRule type="expression" dxfId="2254" priority="4403">
      <formula>IF($V27&lt;&gt;0,AND(MID($A27,5,1)=" "))</formula>
    </cfRule>
    <cfRule type="expression" dxfId="2253" priority="4404">
      <formula>IF($V27&lt;&gt;0,AND(MID($A27,5,1)="C"))</formula>
    </cfRule>
    <cfRule type="expression" dxfId="2252" priority="4405">
      <formula>IF($V27&lt;&gt;0,AND(MID($A27,5,1)="D"))</formula>
    </cfRule>
  </conditionalFormatting>
  <conditionalFormatting sqref="D27">
    <cfRule type="cellIs" dxfId="2251" priority="4398" operator="lessThan">
      <formula>C27</formula>
    </cfRule>
    <cfRule type="expression" dxfId="2250" priority="4400">
      <formula>IF($V27&lt;&gt;0,AND(MID($A27,5,1)=" "))</formula>
    </cfRule>
    <cfRule type="expression" dxfId="2249" priority="4401">
      <formula>IF($V27&lt;&gt;0,AND(MID($A27,5,1)="C"))</formula>
    </cfRule>
    <cfRule type="expression" dxfId="2248" priority="4402">
      <formula>IF($V27&lt;&gt;0,AND(MID($A27,5,1)="D"))</formula>
    </cfRule>
  </conditionalFormatting>
  <conditionalFormatting sqref="C28">
    <cfRule type="cellIs" dxfId="2247" priority="4391" operator="lessThan">
      <formula>D28</formula>
    </cfRule>
    <cfRule type="expression" dxfId="2246" priority="4395">
      <formula>IF($V28&lt;&gt;0,AND(MID($A28,5,1)=" "))</formula>
    </cfRule>
    <cfRule type="expression" dxfId="2245" priority="4396">
      <formula>IF($V28&lt;&gt;0,AND(MID($A28,5,1)="C"))</formula>
    </cfRule>
    <cfRule type="expression" dxfId="2244" priority="4397">
      <formula>IF($V28&lt;&gt;0,AND(MID($A28,5,1)="D"))</formula>
    </cfRule>
  </conditionalFormatting>
  <conditionalFormatting sqref="D28">
    <cfRule type="cellIs" dxfId="2243" priority="4390" operator="lessThan">
      <formula>C28</formula>
    </cfRule>
    <cfRule type="expression" dxfId="2242" priority="4392">
      <formula>IF($V28&lt;&gt;0,AND(MID($A28,5,1)=" "))</formula>
    </cfRule>
    <cfRule type="expression" dxfId="2241" priority="4393">
      <formula>IF($V28&lt;&gt;0,AND(MID($A28,5,1)="C"))</formula>
    </cfRule>
    <cfRule type="expression" dxfId="2240" priority="4394">
      <formula>IF($V28&lt;&gt;0,AND(MID($A28,5,1)="D"))</formula>
    </cfRule>
  </conditionalFormatting>
  <conditionalFormatting sqref="C29">
    <cfRule type="cellIs" dxfId="2239" priority="4383" operator="lessThan">
      <formula>D29</formula>
    </cfRule>
    <cfRule type="expression" dxfId="2238" priority="4387">
      <formula>IF($V29&lt;&gt;0,AND(MID($A29,5,1)=" "))</formula>
    </cfRule>
    <cfRule type="expression" dxfId="2237" priority="4388">
      <formula>IF($V29&lt;&gt;0,AND(MID($A29,5,1)="C"))</formula>
    </cfRule>
    <cfRule type="expression" dxfId="2236" priority="4389">
      <formula>IF($V29&lt;&gt;0,AND(MID($A29,5,1)="D"))</formula>
    </cfRule>
  </conditionalFormatting>
  <conditionalFormatting sqref="D29">
    <cfRule type="cellIs" dxfId="2235" priority="4382" operator="lessThan">
      <formula>C29</formula>
    </cfRule>
    <cfRule type="expression" dxfId="2234" priority="4384">
      <formula>IF($V29&lt;&gt;0,AND(MID($A29,5,1)=" "))</formula>
    </cfRule>
    <cfRule type="expression" dxfId="2233" priority="4385">
      <formula>IF($V29&lt;&gt;0,AND(MID($A29,5,1)="C"))</formula>
    </cfRule>
    <cfRule type="expression" dxfId="2232" priority="4386">
      <formula>IF($V29&lt;&gt;0,AND(MID($A29,5,1)="D"))</formula>
    </cfRule>
  </conditionalFormatting>
  <conditionalFormatting sqref="A15">
    <cfRule type="expression" dxfId="2231" priority="4305">
      <formula>IF($Y17&gt;$Y14,AND(MID($A15,5,1)=" "))</formula>
    </cfRule>
    <cfRule type="expression" dxfId="2230" priority="4306">
      <formula>IF($Y17&gt;$Y14,AND(MID($A15,5,1)="C"))</formula>
    </cfRule>
    <cfRule type="expression" dxfId="2229" priority="4307">
      <formula>IF($Y17&gt;$Y14,AND(MID($A15,5,1)="D"))</formula>
    </cfRule>
  </conditionalFormatting>
  <conditionalFormatting sqref="A16">
    <cfRule type="expression" dxfId="2228" priority="4308">
      <formula>IF($Y17&gt;$Y14,AND(MID($A16,5,1)=" "))</formula>
    </cfRule>
    <cfRule type="expression" dxfId="2227" priority="4309">
      <formula>IF($Y17&gt;$Y14,AND(MID($A16,5,1)="C"))</formula>
    </cfRule>
    <cfRule type="expression" dxfId="2226" priority="4310">
      <formula>IF($Y17&gt;$Y14,AND(MID($A16,5,1)="D"))</formula>
    </cfRule>
  </conditionalFormatting>
  <conditionalFormatting sqref="A17">
    <cfRule type="expression" dxfId="2225" priority="4302">
      <formula>IF($Y17&gt;$Y14,AND(MID($A17,5,1)=" "))</formula>
    </cfRule>
    <cfRule type="expression" dxfId="2224" priority="4303">
      <formula>IF($Y17&gt;$Y14,AND(MID($A17,5,1)="C"))</formula>
    </cfRule>
    <cfRule type="expression" dxfId="2223" priority="4304">
      <formula>IF($Y17&gt;$Y14,AND(MID($A17,5,1)="D"))</formula>
    </cfRule>
  </conditionalFormatting>
  <conditionalFormatting sqref="A14">
    <cfRule type="expression" dxfId="2222" priority="4299">
      <formula>IF($Y17&gt;$Y14,AND(MID($A14,5,1)=" "))</formula>
    </cfRule>
    <cfRule type="expression" dxfId="2221" priority="4300">
      <formula>IF($Y17&gt;$Y14,AND(MID($A14,5,1)="C"))</formula>
    </cfRule>
    <cfRule type="expression" dxfId="2220" priority="4301">
      <formula>IF($Y17&gt;$Y14,AND(MID($A14,5,1)="D"))</formula>
    </cfRule>
  </conditionalFormatting>
  <conditionalFormatting sqref="B12">
    <cfRule type="expression" dxfId="2219" priority="4293">
      <formula>IF($Y13&gt;$Y10,AND(MID($A12,5,1)=" "))</formula>
    </cfRule>
    <cfRule type="expression" dxfId="2218" priority="4294">
      <formula>IF($Y13&gt;$Y10,AND(MID($A12,5,1)="C"))</formula>
    </cfRule>
    <cfRule type="expression" dxfId="2217" priority="4295">
      <formula>IF($Y13&gt;$Y10,AND(MID($A12,5,1)="D"))</formula>
    </cfRule>
  </conditionalFormatting>
  <conditionalFormatting sqref="C12">
    <cfRule type="expression" dxfId="2216" priority="4296">
      <formula>IF($Y13&gt;$Y10,AND(MID($A12,5,1)=" "))</formula>
    </cfRule>
    <cfRule type="expression" dxfId="2215" priority="4297">
      <formula>IF($Y13&gt;$Y10,AND(MID($A12,5,1)="C"))</formula>
    </cfRule>
    <cfRule type="expression" dxfId="2214" priority="4298">
      <formula>IF($Y13&gt;$Y10,AND(MID($A12,5,1)="D"))</formula>
    </cfRule>
  </conditionalFormatting>
  <conditionalFormatting sqref="Y70 Y72">
    <cfRule type="cellIs" dxfId="2213" priority="4082" operator="lessThanOrEqual">
      <formula>0</formula>
    </cfRule>
  </conditionalFormatting>
  <conditionalFormatting sqref="Y71">
    <cfRule type="cellIs" dxfId="2212" priority="4081" operator="equal">
      <formula>0</formula>
    </cfRule>
  </conditionalFormatting>
  <conditionalFormatting sqref="Y73">
    <cfRule type="cellIs" dxfId="2211" priority="4080" operator="equal">
      <formula>0</formula>
    </cfRule>
  </conditionalFormatting>
  <conditionalFormatting sqref="Y69">
    <cfRule type="cellIs" dxfId="2210" priority="4079" operator="equal">
      <formula>0</formula>
    </cfRule>
  </conditionalFormatting>
  <conditionalFormatting sqref="Y76 Y78">
    <cfRule type="cellIs" dxfId="2209" priority="4076" operator="lessThanOrEqual">
      <formula>0</formula>
    </cfRule>
  </conditionalFormatting>
  <conditionalFormatting sqref="Y77">
    <cfRule type="cellIs" dxfId="2208" priority="4075" operator="equal">
      <formula>0</formula>
    </cfRule>
  </conditionalFormatting>
  <conditionalFormatting sqref="Y79">
    <cfRule type="cellIs" dxfId="2207" priority="4074" operator="equal">
      <formula>0</formula>
    </cfRule>
  </conditionalFormatting>
  <conditionalFormatting sqref="Y75">
    <cfRule type="cellIs" dxfId="2206" priority="4073" operator="equal">
      <formula>0</formula>
    </cfRule>
  </conditionalFormatting>
  <conditionalFormatting sqref="Y82 Y84">
    <cfRule type="cellIs" dxfId="2205" priority="4070" operator="lessThanOrEqual">
      <formula>0</formula>
    </cfRule>
  </conditionalFormatting>
  <conditionalFormatting sqref="Y83">
    <cfRule type="cellIs" dxfId="2204" priority="4069" operator="equal">
      <formula>0</formula>
    </cfRule>
  </conditionalFormatting>
  <conditionalFormatting sqref="Y85">
    <cfRule type="cellIs" dxfId="2203" priority="4068" operator="equal">
      <formula>0</formula>
    </cfRule>
  </conditionalFormatting>
  <conditionalFormatting sqref="Y81">
    <cfRule type="cellIs" dxfId="2202" priority="4067" operator="equal">
      <formula>0</formula>
    </cfRule>
  </conditionalFormatting>
  <conditionalFormatting sqref="Y88 Y90">
    <cfRule type="cellIs" dxfId="2201" priority="4064" operator="lessThanOrEqual">
      <formula>0</formula>
    </cfRule>
  </conditionalFormatting>
  <conditionalFormatting sqref="Y89">
    <cfRule type="cellIs" dxfId="2200" priority="4063" operator="equal">
      <formula>0</formula>
    </cfRule>
  </conditionalFormatting>
  <conditionalFormatting sqref="Y91">
    <cfRule type="cellIs" dxfId="2199" priority="4062" operator="equal">
      <formula>0</formula>
    </cfRule>
  </conditionalFormatting>
  <conditionalFormatting sqref="Y87">
    <cfRule type="cellIs" dxfId="2198" priority="4061" operator="equal">
      <formula>0</formula>
    </cfRule>
  </conditionalFormatting>
  <conditionalFormatting sqref="Y94 Y96">
    <cfRule type="cellIs" dxfId="2197" priority="4058" operator="lessThanOrEqual">
      <formula>0</formula>
    </cfRule>
  </conditionalFormatting>
  <conditionalFormatting sqref="Y95">
    <cfRule type="cellIs" dxfId="2196" priority="4057" operator="equal">
      <formula>0</formula>
    </cfRule>
  </conditionalFormatting>
  <conditionalFormatting sqref="Y97">
    <cfRule type="cellIs" dxfId="2195" priority="4056" operator="equal">
      <formula>0</formula>
    </cfRule>
  </conditionalFormatting>
  <conditionalFormatting sqref="Y93">
    <cfRule type="cellIs" dxfId="2194" priority="4055" operator="equal">
      <formula>0</formula>
    </cfRule>
  </conditionalFormatting>
  <conditionalFormatting sqref="Y100 Y102">
    <cfRule type="cellIs" dxfId="2193" priority="4052" operator="lessThanOrEqual">
      <formula>0</formula>
    </cfRule>
  </conditionalFormatting>
  <conditionalFormatting sqref="Y101">
    <cfRule type="cellIs" dxfId="2192" priority="4051" operator="equal">
      <formula>0</formula>
    </cfRule>
  </conditionalFormatting>
  <conditionalFormatting sqref="Y103">
    <cfRule type="cellIs" dxfId="2191" priority="4050" operator="equal">
      <formula>0</formula>
    </cfRule>
  </conditionalFormatting>
  <conditionalFormatting sqref="Y99">
    <cfRule type="cellIs" dxfId="2190" priority="4049" operator="equal">
      <formula>0</formula>
    </cfRule>
  </conditionalFormatting>
  <conditionalFormatting sqref="Y106 Y108">
    <cfRule type="cellIs" dxfId="2189" priority="4046" operator="lessThanOrEqual">
      <formula>0</formula>
    </cfRule>
  </conditionalFormatting>
  <conditionalFormatting sqref="Y107">
    <cfRule type="cellIs" dxfId="2188" priority="4045" operator="equal">
      <formula>0</formula>
    </cfRule>
  </conditionalFormatting>
  <conditionalFormatting sqref="Y109">
    <cfRule type="cellIs" dxfId="2187" priority="4044" operator="equal">
      <formula>0</formula>
    </cfRule>
  </conditionalFormatting>
  <conditionalFormatting sqref="Y105">
    <cfRule type="cellIs" dxfId="2186" priority="4043" operator="equal">
      <formula>0</formula>
    </cfRule>
  </conditionalFormatting>
  <conditionalFormatting sqref="Y112 Y114">
    <cfRule type="cellIs" dxfId="2185" priority="4040" operator="lessThanOrEqual">
      <formula>0</formula>
    </cfRule>
  </conditionalFormatting>
  <conditionalFormatting sqref="Y113">
    <cfRule type="cellIs" dxfId="2184" priority="4039" operator="equal">
      <formula>0</formula>
    </cfRule>
  </conditionalFormatting>
  <conditionalFormatting sqref="Y115">
    <cfRule type="cellIs" dxfId="2183" priority="4038" operator="equal">
      <formula>0</formula>
    </cfRule>
  </conditionalFormatting>
  <conditionalFormatting sqref="Y111">
    <cfRule type="cellIs" dxfId="2182" priority="4037" operator="equal">
      <formula>0</formula>
    </cfRule>
  </conditionalFormatting>
  <conditionalFormatting sqref="Y118 Y120">
    <cfRule type="cellIs" dxfId="2181" priority="4034" operator="lessThanOrEqual">
      <formula>0</formula>
    </cfRule>
  </conditionalFormatting>
  <conditionalFormatting sqref="Y119">
    <cfRule type="cellIs" dxfId="2180" priority="4033" operator="equal">
      <formula>0</formula>
    </cfRule>
  </conditionalFormatting>
  <conditionalFormatting sqref="Y121">
    <cfRule type="cellIs" dxfId="2179" priority="4032" operator="equal">
      <formula>0</formula>
    </cfRule>
  </conditionalFormatting>
  <conditionalFormatting sqref="Y117">
    <cfRule type="cellIs" dxfId="2178" priority="4031" operator="equal">
      <formula>0</formula>
    </cfRule>
  </conditionalFormatting>
  <conditionalFormatting sqref="Y124 Y126">
    <cfRule type="cellIs" dxfId="2177" priority="4028" operator="lessThanOrEqual">
      <formula>0</formula>
    </cfRule>
  </conditionalFormatting>
  <conditionalFormatting sqref="Y125">
    <cfRule type="cellIs" dxfId="2176" priority="4027" operator="equal">
      <formula>0</formula>
    </cfRule>
  </conditionalFormatting>
  <conditionalFormatting sqref="Y127">
    <cfRule type="cellIs" dxfId="2175" priority="4026" operator="equal">
      <formula>0</formula>
    </cfRule>
  </conditionalFormatting>
  <conditionalFormatting sqref="Y123">
    <cfRule type="cellIs" dxfId="2174" priority="4025" operator="equal">
      <formula>0</formula>
    </cfRule>
  </conditionalFormatting>
  <conditionalFormatting sqref="Y130 Y132">
    <cfRule type="cellIs" dxfId="2173" priority="4022" operator="lessThanOrEqual">
      <formula>0</formula>
    </cfRule>
  </conditionalFormatting>
  <conditionalFormatting sqref="Y131">
    <cfRule type="cellIs" dxfId="2172" priority="4021" operator="equal">
      <formula>0</formula>
    </cfRule>
  </conditionalFormatting>
  <conditionalFormatting sqref="Y133">
    <cfRule type="cellIs" dxfId="2171" priority="4020" operator="equal">
      <formula>0</formula>
    </cfRule>
  </conditionalFormatting>
  <conditionalFormatting sqref="Y129">
    <cfRule type="cellIs" dxfId="2170" priority="4019" operator="equal">
      <formula>0</formula>
    </cfRule>
  </conditionalFormatting>
  <conditionalFormatting sqref="Y136 Y138">
    <cfRule type="cellIs" dxfId="2169" priority="4016" operator="lessThanOrEqual">
      <formula>0</formula>
    </cfRule>
  </conditionalFormatting>
  <conditionalFormatting sqref="Y137">
    <cfRule type="cellIs" dxfId="2168" priority="4015" operator="equal">
      <formula>0</formula>
    </cfRule>
  </conditionalFormatting>
  <conditionalFormatting sqref="Y139">
    <cfRule type="cellIs" dxfId="2167" priority="4014" operator="equal">
      <formula>0</formula>
    </cfRule>
  </conditionalFormatting>
  <conditionalFormatting sqref="Y135">
    <cfRule type="cellIs" dxfId="2166" priority="4013" operator="equal">
      <formula>0</formula>
    </cfRule>
  </conditionalFormatting>
  <conditionalFormatting sqref="Y142 Y144">
    <cfRule type="cellIs" dxfId="2165" priority="4010" operator="lessThanOrEqual">
      <formula>0</formula>
    </cfRule>
  </conditionalFormatting>
  <conditionalFormatting sqref="Y143">
    <cfRule type="cellIs" dxfId="2164" priority="4009" operator="equal">
      <formula>0</formula>
    </cfRule>
  </conditionalFormatting>
  <conditionalFormatting sqref="Y145">
    <cfRule type="cellIs" dxfId="2163" priority="4008" operator="equal">
      <formula>0</formula>
    </cfRule>
  </conditionalFormatting>
  <conditionalFormatting sqref="Y141">
    <cfRule type="cellIs" dxfId="2162" priority="4007" operator="equal">
      <formula>0</formula>
    </cfRule>
  </conditionalFormatting>
  <conditionalFormatting sqref="Y148 Y150">
    <cfRule type="cellIs" dxfId="2161" priority="4004" operator="lessThanOrEqual">
      <formula>0</formula>
    </cfRule>
  </conditionalFormatting>
  <conditionalFormatting sqref="Y149">
    <cfRule type="cellIs" dxfId="2160" priority="4003" operator="equal">
      <formula>0</formula>
    </cfRule>
  </conditionalFormatting>
  <conditionalFormatting sqref="Y151">
    <cfRule type="cellIs" dxfId="2159" priority="4002" operator="equal">
      <formula>0</formula>
    </cfRule>
  </conditionalFormatting>
  <conditionalFormatting sqref="Y147">
    <cfRule type="cellIs" dxfId="2158" priority="4001" operator="equal">
      <formula>0</formula>
    </cfRule>
  </conditionalFormatting>
  <conditionalFormatting sqref="Y154 Y156">
    <cfRule type="cellIs" dxfId="2157" priority="3998" operator="lessThanOrEqual">
      <formula>0</formula>
    </cfRule>
  </conditionalFormatting>
  <conditionalFormatting sqref="Y155">
    <cfRule type="cellIs" dxfId="2156" priority="3997" operator="equal">
      <formula>0</formula>
    </cfRule>
  </conditionalFormatting>
  <conditionalFormatting sqref="Y157">
    <cfRule type="cellIs" dxfId="2155" priority="3996" operator="equal">
      <formula>0</formula>
    </cfRule>
  </conditionalFormatting>
  <conditionalFormatting sqref="Y153">
    <cfRule type="cellIs" dxfId="2154" priority="3995" operator="equal">
      <formula>0</formula>
    </cfRule>
  </conditionalFormatting>
  <conditionalFormatting sqref="Y160 Y162">
    <cfRule type="cellIs" dxfId="2153" priority="3992" operator="lessThanOrEqual">
      <formula>0</formula>
    </cfRule>
  </conditionalFormatting>
  <conditionalFormatting sqref="Y161">
    <cfRule type="cellIs" dxfId="2152" priority="3991" operator="equal">
      <formula>0</formula>
    </cfRule>
  </conditionalFormatting>
  <conditionalFormatting sqref="Y163">
    <cfRule type="cellIs" dxfId="2151" priority="3990" operator="equal">
      <formula>0</formula>
    </cfRule>
  </conditionalFormatting>
  <conditionalFormatting sqref="Y159">
    <cfRule type="cellIs" dxfId="2150" priority="3989" operator="equal">
      <formula>0</formula>
    </cfRule>
  </conditionalFormatting>
  <conditionalFormatting sqref="Y166 Y168 Y172 Y178 Y184 Y190 Y196 Y174 Y180 Y186 Y192 Y198">
    <cfRule type="cellIs" dxfId="2149" priority="3986" operator="lessThanOrEqual">
      <formula>0</formula>
    </cfRule>
  </conditionalFormatting>
  <conditionalFormatting sqref="Y167 Y173 Y179 Y185 Y191 Y197">
    <cfRule type="cellIs" dxfId="2148" priority="3985" operator="equal">
      <formula>0</formula>
    </cfRule>
  </conditionalFormatting>
  <conditionalFormatting sqref="Y169 Y175 Y181 Y187 Y193 Y199">
    <cfRule type="cellIs" dxfId="2147" priority="3984" operator="equal">
      <formula>0</formula>
    </cfRule>
  </conditionalFormatting>
  <conditionalFormatting sqref="Y165 Y171 Y177 Y183 Y189 Y195">
    <cfRule type="cellIs" dxfId="2146" priority="3983" operator="equal">
      <formula>0</formula>
    </cfRule>
  </conditionalFormatting>
  <conditionalFormatting sqref="D54">
    <cfRule type="expression" dxfId="2145" priority="3977">
      <formula>E54&gt;B54</formula>
    </cfRule>
  </conditionalFormatting>
  <conditionalFormatting sqref="C54">
    <cfRule type="expression" dxfId="2144" priority="3976">
      <formula>B54&gt;E54</formula>
    </cfRule>
  </conditionalFormatting>
  <conditionalFormatting sqref="B54">
    <cfRule type="cellIs" dxfId="2143" priority="3975" operator="greaterThan">
      <formula>E54</formula>
    </cfRule>
  </conditionalFormatting>
  <conditionalFormatting sqref="E54">
    <cfRule type="cellIs" dxfId="2142" priority="3974" operator="greaterThan">
      <formula>B54</formula>
    </cfRule>
  </conditionalFormatting>
  <conditionalFormatting sqref="AA2">
    <cfRule type="expression" dxfId="2141" priority="3939">
      <formula>IF($Y5&gt;$Y2,AND(MID($A2,5,1)=" "))</formula>
    </cfRule>
    <cfRule type="expression" dxfId="2140" priority="3940">
      <formula>IF($Y5&gt;$Y2,AND(MID($A2,5,1)="C"))</formula>
    </cfRule>
    <cfRule type="expression" dxfId="2139" priority="3941">
      <formula>IF($Y5&gt;$Y2,AND(MID($A2,5,1)="D"))</formula>
    </cfRule>
  </conditionalFormatting>
  <conditionalFormatting sqref="AA4">
    <cfRule type="expression" dxfId="2138" priority="3894">
      <formula>IF($Y5&gt;$Y2,AND(MID($A4,5,1)=" "))</formula>
    </cfRule>
    <cfRule type="expression" dxfId="2137" priority="3895">
      <formula>IF($Y5&gt;$Y2,AND(MID($A4,5,1)="C"))</formula>
    </cfRule>
    <cfRule type="expression" dxfId="2136" priority="3896">
      <formula>IF($Y5&gt;$Y2,AND(MID($A4,5,1)="D"))</formula>
    </cfRule>
  </conditionalFormatting>
  <conditionalFormatting sqref="AA6">
    <cfRule type="expression" dxfId="2135" priority="3888">
      <formula>IF($Y9&gt;$Y6,AND(MID($A6,5,1)=" "))</formula>
    </cfRule>
    <cfRule type="expression" dxfId="2134" priority="3889">
      <formula>IF($Y9&gt;$Y6,AND(MID($A6,5,1)="C"))</formula>
    </cfRule>
    <cfRule type="expression" dxfId="2133" priority="3890">
      <formula>IF($Y9&gt;$Y6,AND(MID($A6,5,1)="D"))</formula>
    </cfRule>
  </conditionalFormatting>
  <conditionalFormatting sqref="AA8">
    <cfRule type="expression" dxfId="2132" priority="3885">
      <formula>IF($Y9&gt;$Y6,AND(MID($A8,5,1)=" "))</formula>
    </cfRule>
    <cfRule type="expression" dxfId="2131" priority="3886">
      <formula>IF($Y9&gt;$Y6,AND(MID($A8,5,1)="C"))</formula>
    </cfRule>
    <cfRule type="expression" dxfId="2130" priority="3887">
      <formula>IF($Y9&gt;$Y6,AND(MID($A8,5,1)="D"))</formula>
    </cfRule>
  </conditionalFormatting>
  <conditionalFormatting sqref="AA10">
    <cfRule type="expression" dxfId="2129" priority="3882">
      <formula>IF($Y13&gt;$Y10,AND(MID($A10,5,1)=" "))</formula>
    </cfRule>
    <cfRule type="expression" dxfId="2128" priority="3883">
      <formula>IF($Y13&gt;$Y10,AND(MID($A10,5,1)="C"))</formula>
    </cfRule>
    <cfRule type="expression" dxfId="2127" priority="3884">
      <formula>IF($Y13&gt;$Y10,AND(MID($A10,5,1)="D"))</formula>
    </cfRule>
  </conditionalFormatting>
  <conditionalFormatting sqref="AA12">
    <cfRule type="expression" dxfId="2126" priority="3879">
      <formula>IF($Y13&gt;$Y10,AND(MID($A12,5,1)=" "))</formula>
    </cfRule>
    <cfRule type="expression" dxfId="2125" priority="3880">
      <formula>IF($Y13&gt;$Y10,AND(MID($A12,5,1)="C"))</formula>
    </cfRule>
    <cfRule type="expression" dxfId="2124" priority="3881">
      <formula>IF($Y13&gt;$Y10,AND(MID($A12,5,1)="D"))</formula>
    </cfRule>
  </conditionalFormatting>
  <conditionalFormatting sqref="AA14">
    <cfRule type="expression" dxfId="2123" priority="3876">
      <formula>IF($Y17&gt;$Y14,AND(MID($A14,5,1)=" "))</formula>
    </cfRule>
    <cfRule type="expression" dxfId="2122" priority="3877">
      <formula>IF($Y17&gt;$Y14,AND(MID($A14,5,1)="C"))</formula>
    </cfRule>
    <cfRule type="expression" dxfId="2121" priority="3878">
      <formula>IF($Y17&gt;$Y14,AND(MID($A14,5,1)="D"))</formula>
    </cfRule>
  </conditionalFormatting>
  <conditionalFormatting sqref="AA16">
    <cfRule type="expression" dxfId="2120" priority="3873">
      <formula>IF($Y17&gt;$Y14,AND(MID($A16,5,1)=" "))</formula>
    </cfRule>
    <cfRule type="expression" dxfId="2119" priority="3874">
      <formula>IF($Y17&gt;$Y14,AND(MID($A16,5,1)="C"))</formula>
    </cfRule>
    <cfRule type="expression" dxfId="2118" priority="3875">
      <formula>IF($Y17&gt;$Y14,AND(MID($A16,5,1)="D"))</formula>
    </cfRule>
  </conditionalFormatting>
  <conditionalFormatting sqref="AA18 AA22">
    <cfRule type="expression" dxfId="2117" priority="3870">
      <formula>IF($Y21&gt;$Y18,AND(MID($A18,5,1)=" "))</formula>
    </cfRule>
    <cfRule type="expression" dxfId="2116" priority="3871">
      <formula>IF($Y21&gt;$Y18,AND(MID($A18,5,1)="C"))</formula>
    </cfRule>
    <cfRule type="expression" dxfId="2115" priority="3872">
      <formula>IF($Y21&gt;$Y18,AND(MID($A18,5,1)="D"))</formula>
    </cfRule>
  </conditionalFormatting>
  <conditionalFormatting sqref="AA20 AA24">
    <cfRule type="expression" dxfId="2114" priority="3867">
      <formula>IF($Y21&gt;$Y18,AND(MID($A20,5,1)=" "))</formula>
    </cfRule>
    <cfRule type="expression" dxfId="2113" priority="3868">
      <formula>IF($Y21&gt;$Y18,AND(MID($A20,5,1)="C"))</formula>
    </cfRule>
    <cfRule type="expression" dxfId="2112" priority="3869">
      <formula>IF($Y21&gt;$Y18,AND(MID($A20,5,1)="D"))</formula>
    </cfRule>
  </conditionalFormatting>
  <conditionalFormatting sqref="Y21 Y25">
    <cfRule type="expression" dxfId="2111" priority="3849">
      <formula>IF($Y22&gt;$Y19,AND(MID($A21,5,1)=" "))</formula>
    </cfRule>
    <cfRule type="expression" dxfId="2110" priority="3850">
      <formula>IF($Y22&gt;$Y19,AND(MID($A21,5,1)="C"))</formula>
    </cfRule>
    <cfRule type="expression" dxfId="2109" priority="3851">
      <formula>IF($Y22&gt;$Y19,AND(MID($A21,5,1)="D"))</formula>
    </cfRule>
  </conditionalFormatting>
  <conditionalFormatting sqref="Y13">
    <cfRule type="cellIs" dxfId="2108" priority="3330" operator="equal">
      <formula>0</formula>
    </cfRule>
    <cfRule type="expression" dxfId="2107" priority="3843">
      <formula>IF($Y13&gt;$Y10,AND(MID($A13,5,1)=" "))</formula>
    </cfRule>
    <cfRule type="expression" dxfId="2106" priority="3844">
      <formula>IF($Y13&gt;$Y10,AND(MID($A13,5,1)="C"))</formula>
    </cfRule>
    <cfRule type="expression" dxfId="2105" priority="3845">
      <formula>IF($Y13&gt;$Y10,AND(MID($A13,5,1)="D"))</formula>
    </cfRule>
  </conditionalFormatting>
  <conditionalFormatting sqref="Y9">
    <cfRule type="cellIs" dxfId="2104" priority="3331" operator="equal">
      <formula>0</formula>
    </cfRule>
    <cfRule type="expression" dxfId="2103" priority="3840">
      <formula>IF($Y9&gt;$Y6,AND(MID($A9,5,1)=" "))</formula>
    </cfRule>
    <cfRule type="expression" dxfId="2102" priority="3841">
      <formula>IF($Y9&gt;$Y6,AND(MID($A9,5,1)="C"))</formula>
    </cfRule>
    <cfRule type="expression" dxfId="2101" priority="3842">
      <formula>IF($Y9&gt;$Y6,AND(MID($A9,5,1)="D"))</formula>
    </cfRule>
  </conditionalFormatting>
  <conditionalFormatting sqref="Y5">
    <cfRule type="cellIs" dxfId="2100" priority="3332" operator="equal">
      <formula>0</formula>
    </cfRule>
    <cfRule type="expression" dxfId="2099" priority="3837">
      <formula>IF($Y5&gt;$Y2,AND(MID($A5,5,1)=" "))</formula>
    </cfRule>
    <cfRule type="expression" dxfId="2098" priority="3838">
      <formula>IF($Y5&gt;$Y2,AND(MID($A5,5,1)="C"))</formula>
    </cfRule>
    <cfRule type="expression" dxfId="2097" priority="3839">
      <formula>IF($Y5&gt;$Y2,AND(MID($A5,5,1)="D"))</formula>
    </cfRule>
  </conditionalFormatting>
  <conditionalFormatting sqref="B18">
    <cfRule type="expression" dxfId="2096" priority="3423">
      <formula>IF($Y21&gt;$Y18,AND(MID($A18,5,1)=" "))</formula>
    </cfRule>
    <cfRule type="expression" dxfId="2095" priority="3424">
      <formula>IF($Y21&gt;$Y18,AND(MID($A18,5,1)="C"))</formula>
    </cfRule>
    <cfRule type="expression" dxfId="2094" priority="3425">
      <formula>IF($Y21&gt;$Y18,AND(MID($A18,5,1)="D"))</formula>
    </cfRule>
  </conditionalFormatting>
  <conditionalFormatting sqref="E19">
    <cfRule type="expression" dxfId="2093" priority="3426">
      <formula>IF($Y21&gt;$Y18,AND(MID($A19,5,1)=" "))</formula>
    </cfRule>
    <cfRule type="expression" dxfId="2092" priority="3427">
      <formula>IF($Y21&gt;$Y18,AND(MID($A19,5,1)="C"))</formula>
    </cfRule>
    <cfRule type="expression" dxfId="2091" priority="3428">
      <formula>IF($Y21&gt;$Y18,AND(MID($A19,5,1)="D"))</formula>
    </cfRule>
  </conditionalFormatting>
  <conditionalFormatting sqref="B20">
    <cfRule type="expression" dxfId="2090" priority="3429">
      <formula>IF($Y21&gt;$Y18,AND(MID($A20,5,1)=" "))</formula>
    </cfRule>
    <cfRule type="expression" dxfId="2089" priority="3430">
      <formula>IF($Y21&gt;$Y18,AND(MID($A20,5,1)="C"))</formula>
    </cfRule>
    <cfRule type="expression" dxfId="2088" priority="3431">
      <formula>IF($Y21&gt;$Y18,AND(MID($A20,5,1)="D"))</formula>
    </cfRule>
  </conditionalFormatting>
  <conditionalFormatting sqref="E21">
    <cfRule type="expression" dxfId="2087" priority="3432">
      <formula>IF($Y21&gt;$Y18,AND(MID($A21,5,1)=" "))</formula>
    </cfRule>
    <cfRule type="expression" dxfId="2086" priority="3433">
      <formula>IF($Y21&gt;$Y18,AND(MID($A21,5,1)="C"))</formula>
    </cfRule>
    <cfRule type="expression" dxfId="2085" priority="3434">
      <formula>IF($Y21&gt;$Y18,AND(MID($A21,5,1)="D"))</formula>
    </cfRule>
  </conditionalFormatting>
  <conditionalFormatting sqref="C18">
    <cfRule type="expression" dxfId="2084" priority="3435">
      <formula>IF($Y21&gt;$Y18,AND(MID($A18,5,1)=" "))</formula>
    </cfRule>
    <cfRule type="expression" dxfId="2083" priority="3436">
      <formula>IF($Y21&gt;$Y18,AND(MID($A18,5,1)="C"))</formula>
    </cfRule>
    <cfRule type="expression" dxfId="2082" priority="3437">
      <formula>IF($Y21&gt;$Y18,AND(MID($A18,5,1)="D"))</formula>
    </cfRule>
  </conditionalFormatting>
  <conditionalFormatting sqref="D19">
    <cfRule type="expression" dxfId="2081" priority="3438">
      <formula>IF($Y21&gt;$Y18,AND(MID($A19,5,1)=" "))</formula>
    </cfRule>
    <cfRule type="expression" dxfId="2080" priority="3439">
      <formula>IF($Y21&gt;$Y18,AND(MID($A19,5,1)="C"))</formula>
    </cfRule>
    <cfRule type="expression" dxfId="2079" priority="3440">
      <formula>IF($Y21&gt;$Y18,AND(MID($A19,5,1)="D"))</formula>
    </cfRule>
  </conditionalFormatting>
  <conditionalFormatting sqref="D21">
    <cfRule type="expression" dxfId="2078" priority="3441">
      <formula>IF($Y21&gt;$Y18,AND(MID($A21,5,1)=" "))</formula>
    </cfRule>
    <cfRule type="expression" dxfId="2077" priority="3442">
      <formula>IF($Y21&gt;$Y18,AND(MID($A21,5,1)="C"))</formula>
    </cfRule>
    <cfRule type="expression" dxfId="2076" priority="3443">
      <formula>IF($Y21&gt;$Y18,AND(MID($A21,5,1)="D"))</formula>
    </cfRule>
  </conditionalFormatting>
  <conditionalFormatting sqref="C20">
    <cfRule type="expression" dxfId="2075" priority="3444">
      <formula>IF($Y21&gt;$Y18,AND(MID($A20,5,1)=" "))</formula>
    </cfRule>
    <cfRule type="expression" dxfId="2074" priority="3445">
      <formula>IF($Y21&gt;$Y18,AND(MID($A20,5,1)="C"))</formula>
    </cfRule>
    <cfRule type="expression" dxfId="2073" priority="3446">
      <formula>IF($Y21&gt;$Y18,AND(MID($A20,5,1)="D"))</formula>
    </cfRule>
  </conditionalFormatting>
  <conditionalFormatting sqref="A19">
    <cfRule type="expression" dxfId="2072" priority="3417">
      <formula>IF($Y21&gt;$Y18,AND(MID($A19,5,1)=" "))</formula>
    </cfRule>
    <cfRule type="expression" dxfId="2071" priority="3418">
      <formula>IF($Y21&gt;$Y18,AND(MID($A19,5,1)="C"))</formula>
    </cfRule>
    <cfRule type="expression" dxfId="2070" priority="3419">
      <formula>IF($Y21&gt;$Y18,AND(MID($A19,5,1)="D"))</formula>
    </cfRule>
  </conditionalFormatting>
  <conditionalFormatting sqref="A20">
    <cfRule type="expression" dxfId="2069" priority="3420">
      <formula>IF($Y21&gt;$Y18,AND(MID($A20,5,1)=" "))</formula>
    </cfRule>
    <cfRule type="expression" dxfId="2068" priority="3421">
      <formula>IF($Y21&gt;$Y18,AND(MID($A20,5,1)="C"))</formula>
    </cfRule>
    <cfRule type="expression" dxfId="2067" priority="3422">
      <formula>IF($Y21&gt;$Y18,AND(MID($A20,5,1)="D"))</formula>
    </cfRule>
  </conditionalFormatting>
  <conditionalFormatting sqref="A21">
    <cfRule type="expression" dxfId="2066" priority="3414">
      <formula>IF($Y21&gt;$Y18,AND(MID($A21,5,1)=" "))</formula>
    </cfRule>
    <cfRule type="expression" dxfId="2065" priority="3415">
      <formula>IF($Y21&gt;$Y18,AND(MID($A21,5,1)="C"))</formula>
    </cfRule>
    <cfRule type="expression" dxfId="2064" priority="3416">
      <formula>IF($Y21&gt;$Y18,AND(MID($A21,5,1)="D"))</formula>
    </cfRule>
  </conditionalFormatting>
  <conditionalFormatting sqref="A18">
    <cfRule type="expression" dxfId="2063" priority="3411">
      <formula>IF($Y21&gt;$Y18,AND(MID($A18,5,1)=" "))</formula>
    </cfRule>
    <cfRule type="expression" dxfId="2062" priority="3412">
      <formula>IF($Y21&gt;$Y18,AND(MID($A18,5,1)="C"))</formula>
    </cfRule>
    <cfRule type="expression" dxfId="2061" priority="3413">
      <formula>IF($Y21&gt;$Y18,AND(MID($A18,5,1)="D"))</formula>
    </cfRule>
  </conditionalFormatting>
  <conditionalFormatting sqref="A11">
    <cfRule type="expression" dxfId="2060" priority="3405">
      <formula>IF($Y13&gt;$Y10,AND(MID($A11,5,1)=" "))</formula>
    </cfRule>
    <cfRule type="expression" dxfId="2059" priority="3406">
      <formula>IF($Y13&gt;$Y10,AND(MID($A11,5,1)="C"))</formula>
    </cfRule>
    <cfRule type="expression" dxfId="2058" priority="3407">
      <formula>IF($Y13&gt;$Y10,AND(MID($A11,5,1)="D"))</formula>
    </cfRule>
  </conditionalFormatting>
  <conditionalFormatting sqref="A12">
    <cfRule type="expression" dxfId="2057" priority="3408">
      <formula>IF($Y13&gt;$Y10,AND(MID($A12,5,1)=" "))</formula>
    </cfRule>
    <cfRule type="expression" dxfId="2056" priority="3409">
      <formula>IF($Y13&gt;$Y10,AND(MID($A12,5,1)="C"))</formula>
    </cfRule>
    <cfRule type="expression" dxfId="2055" priority="3410">
      <formula>IF($Y13&gt;$Y10,AND(MID($A12,5,1)="D"))</formula>
    </cfRule>
  </conditionalFormatting>
  <conditionalFormatting sqref="A13">
    <cfRule type="expression" dxfId="2054" priority="3402">
      <formula>IF($Y13&gt;$Y10,AND(MID($A13,5,1)=" "))</formula>
    </cfRule>
    <cfRule type="expression" dxfId="2053" priority="3403">
      <formula>IF($Y13&gt;$Y10,AND(MID($A13,5,1)="C"))</formula>
    </cfRule>
    <cfRule type="expression" dxfId="2052" priority="3404">
      <formula>IF($Y13&gt;$Y10,AND(MID($A13,5,1)="D"))</formula>
    </cfRule>
  </conditionalFormatting>
  <conditionalFormatting sqref="A10">
    <cfRule type="expression" dxfId="2051" priority="3399">
      <formula>IF($Y13&gt;$Y10,AND(MID($A10,5,1)=" "))</formula>
    </cfRule>
    <cfRule type="expression" dxfId="2050" priority="3400">
      <formula>IF($Y13&gt;$Y10,AND(MID($A10,5,1)="C"))</formula>
    </cfRule>
    <cfRule type="expression" dxfId="2049" priority="3401">
      <formula>IF($Y13&gt;$Y10,AND(MID($A10,5,1)="D"))</formula>
    </cfRule>
  </conditionalFormatting>
  <conditionalFormatting sqref="A7">
    <cfRule type="expression" dxfId="2048" priority="3393">
      <formula>IF($Y9&gt;$Y6,AND(MID($A7,5,1)=" "))</formula>
    </cfRule>
    <cfRule type="expression" dxfId="2047" priority="3394">
      <formula>IF($Y9&gt;$Y6,AND(MID($A7,5,1)="C"))</formula>
    </cfRule>
    <cfRule type="expression" dxfId="2046" priority="3395">
      <formula>IF($Y9&gt;$Y6,AND(MID($A7,5,1)="D"))</formula>
    </cfRule>
  </conditionalFormatting>
  <conditionalFormatting sqref="A8">
    <cfRule type="expression" dxfId="2045" priority="3396">
      <formula>IF($Y9&gt;$Y6,AND(MID($A8,5,1)=" "))</formula>
    </cfRule>
    <cfRule type="expression" dxfId="2044" priority="3397">
      <formula>IF($Y9&gt;$Y6,AND(MID($A8,5,1)="C"))</formula>
    </cfRule>
    <cfRule type="expression" dxfId="2043" priority="3398">
      <formula>IF($Y9&gt;$Y6,AND(MID($A8,5,1)="D"))</formula>
    </cfRule>
  </conditionalFormatting>
  <conditionalFormatting sqref="A9">
    <cfRule type="expression" dxfId="2042" priority="3390">
      <formula>IF($Y9&gt;$Y6,AND(MID($A9,5,1)=" "))</formula>
    </cfRule>
    <cfRule type="expression" dxfId="2041" priority="3391">
      <formula>IF($Y9&gt;$Y6,AND(MID($A9,5,1)="C"))</formula>
    </cfRule>
    <cfRule type="expression" dxfId="2040" priority="3392">
      <formula>IF($Y9&gt;$Y6,AND(MID($A9,5,1)="D"))</formula>
    </cfRule>
  </conditionalFormatting>
  <conditionalFormatting sqref="A6">
    <cfRule type="expression" dxfId="2039" priority="3387">
      <formula>IF($Y9&gt;$Y6,AND(MID($A6,5,1)=" "))</formula>
    </cfRule>
    <cfRule type="expression" dxfId="2038" priority="3388">
      <formula>IF($Y9&gt;$Y6,AND(MID($A6,5,1)="C"))</formula>
    </cfRule>
    <cfRule type="expression" dxfId="2037" priority="3389">
      <formula>IF($Y9&gt;$Y6,AND(MID($A6,5,1)="D"))</formula>
    </cfRule>
  </conditionalFormatting>
  <conditionalFormatting sqref="A3">
    <cfRule type="expression" dxfId="2036" priority="3381">
      <formula>IF($Y5&gt;$Y2,AND(MID($A3,5,1)=" "))</formula>
    </cfRule>
    <cfRule type="expression" dxfId="2035" priority="3382">
      <formula>IF($Y5&gt;$Y2,AND(MID($A3,5,1)="C"))</formula>
    </cfRule>
    <cfRule type="expression" dxfId="2034" priority="3383">
      <formula>IF($Y5&gt;$Y2,AND(MID($A3,5,1)="D"))</formula>
    </cfRule>
  </conditionalFormatting>
  <conditionalFormatting sqref="A4">
    <cfRule type="expression" dxfId="2033" priority="3384">
      <formula>IF($Y5&gt;$Y2,AND(MID($A4,5,1)=" "))</formula>
    </cfRule>
    <cfRule type="expression" dxfId="2032" priority="3385">
      <formula>IF($Y5&gt;$Y2,AND(MID($A4,5,1)="C"))</formula>
    </cfRule>
    <cfRule type="expression" dxfId="2031" priority="3386">
      <formula>IF($Y5&gt;$Y2,AND(MID($A4,5,1)="D"))</formula>
    </cfRule>
  </conditionalFormatting>
  <conditionalFormatting sqref="A5">
    <cfRule type="expression" dxfId="2030" priority="3378">
      <formula>IF($Y5&gt;$Y2,AND(MID($A5,5,1)=" "))</formula>
    </cfRule>
    <cfRule type="expression" dxfId="2029" priority="3379">
      <formula>IF($Y5&gt;$Y2,AND(MID($A5,5,1)="C"))</formula>
    </cfRule>
    <cfRule type="expression" dxfId="2028" priority="3380">
      <formula>IF($Y5&gt;$Y2,AND(MID($A5,5,1)="D"))</formula>
    </cfRule>
  </conditionalFormatting>
  <conditionalFormatting sqref="A2">
    <cfRule type="expression" dxfId="2027" priority="3375">
      <formula>IF($Y5&gt;$Y2,AND(MID($A2,5,1)=" "))</formula>
    </cfRule>
    <cfRule type="expression" dxfId="2026" priority="3376">
      <formula>IF($Y5&gt;$Y2,AND(MID($A2,5,1)="C"))</formula>
    </cfRule>
    <cfRule type="expression" dxfId="2025" priority="3377">
      <formula>IF($Y5&gt;$Y2,AND(MID($A2,5,1)="D"))</formula>
    </cfRule>
  </conditionalFormatting>
  <conditionalFormatting sqref="B22">
    <cfRule type="expression" dxfId="2024" priority="3348">
      <formula>IF($Y25&gt;$Y22,AND(MID($A22,5,1)=" "))</formula>
    </cfRule>
    <cfRule type="expression" dxfId="2023" priority="3349">
      <formula>IF($Y25&gt;$Y22,AND(MID($A22,5,1)="C"))</formula>
    </cfRule>
    <cfRule type="expression" dxfId="2022" priority="3350">
      <formula>IF($Y25&gt;$Y22,AND(MID($A22,5,1)="D"))</formula>
    </cfRule>
  </conditionalFormatting>
  <conditionalFormatting sqref="E23">
    <cfRule type="expression" dxfId="2021" priority="3351">
      <formula>IF($Y25&gt;$Y22,AND(MID($A23,5,1)=" "))</formula>
    </cfRule>
    <cfRule type="expression" dxfId="2020" priority="3352">
      <formula>IF($Y25&gt;$Y22,AND(MID($A23,5,1)="C"))</formula>
    </cfRule>
    <cfRule type="expression" dxfId="2019" priority="3353">
      <formula>IF($Y25&gt;$Y22,AND(MID($A23,5,1)="D"))</formula>
    </cfRule>
  </conditionalFormatting>
  <conditionalFormatting sqref="B24">
    <cfRule type="expression" dxfId="2018" priority="3354">
      <formula>IF($Y25&gt;$Y22,AND(MID($A24,5,1)=" "))</formula>
    </cfRule>
    <cfRule type="expression" dxfId="2017" priority="3355">
      <formula>IF($Y25&gt;$Y22,AND(MID($A24,5,1)="C"))</formula>
    </cfRule>
    <cfRule type="expression" dxfId="2016" priority="3356">
      <formula>IF($Y25&gt;$Y22,AND(MID($A24,5,1)="D"))</formula>
    </cfRule>
  </conditionalFormatting>
  <conditionalFormatting sqref="E25">
    <cfRule type="expression" dxfId="2015" priority="3357">
      <formula>IF($Y25&gt;$Y22,AND(MID($A25,5,1)=" "))</formula>
    </cfRule>
    <cfRule type="expression" dxfId="2014" priority="3358">
      <formula>IF($Y25&gt;$Y22,AND(MID($A25,5,1)="C"))</formula>
    </cfRule>
    <cfRule type="expression" dxfId="2013" priority="3359">
      <formula>IF($Y25&gt;$Y22,AND(MID($A25,5,1)="D"))</formula>
    </cfRule>
  </conditionalFormatting>
  <conditionalFormatting sqref="C22">
    <cfRule type="expression" dxfId="2012" priority="3360">
      <formula>IF($Y25&gt;$Y22,AND(MID($A22,5,1)=" "))</formula>
    </cfRule>
    <cfRule type="expression" dxfId="2011" priority="3361">
      <formula>IF($Y25&gt;$Y22,AND(MID($A22,5,1)="C"))</formula>
    </cfRule>
    <cfRule type="expression" dxfId="2010" priority="3362">
      <formula>IF($Y25&gt;$Y22,AND(MID($A22,5,1)="D"))</formula>
    </cfRule>
  </conditionalFormatting>
  <conditionalFormatting sqref="D23">
    <cfRule type="expression" dxfId="2009" priority="3363">
      <formula>IF($Y25&gt;$Y22,AND(MID($A23,5,1)=" "))</formula>
    </cfRule>
    <cfRule type="expression" dxfId="2008" priority="3364">
      <formula>IF($Y25&gt;$Y22,AND(MID($A23,5,1)="C"))</formula>
    </cfRule>
    <cfRule type="expression" dxfId="2007" priority="3365">
      <formula>IF($Y25&gt;$Y22,AND(MID($A23,5,1)="D"))</formula>
    </cfRule>
  </conditionalFormatting>
  <conditionalFormatting sqref="D25">
    <cfRule type="expression" dxfId="2006" priority="3366">
      <formula>IF($Y25&gt;$Y22,AND(MID($A25,5,1)=" "))</formula>
    </cfRule>
    <cfRule type="expression" dxfId="2005" priority="3367">
      <formula>IF($Y25&gt;$Y22,AND(MID($A25,5,1)="C"))</formula>
    </cfRule>
    <cfRule type="expression" dxfId="2004" priority="3368">
      <formula>IF($Y25&gt;$Y22,AND(MID($A25,5,1)="D"))</formula>
    </cfRule>
  </conditionalFormatting>
  <conditionalFormatting sqref="C24">
    <cfRule type="expression" dxfId="2003" priority="3369">
      <formula>IF($Y25&gt;$Y22,AND(MID($A24,5,1)=" "))</formula>
    </cfRule>
    <cfRule type="expression" dxfId="2002" priority="3370">
      <formula>IF($Y25&gt;$Y22,AND(MID($A24,5,1)="C"))</formula>
    </cfRule>
    <cfRule type="expression" dxfId="2001" priority="3371">
      <formula>IF($Y25&gt;$Y22,AND(MID($A24,5,1)="D"))</formula>
    </cfRule>
  </conditionalFormatting>
  <conditionalFormatting sqref="A23">
    <cfRule type="expression" dxfId="2000" priority="3342">
      <formula>IF($Y25&gt;$Y22,AND(MID($A23,5,1)=" "))</formula>
    </cfRule>
    <cfRule type="expression" dxfId="1999" priority="3343">
      <formula>IF($Y25&gt;$Y22,AND(MID($A23,5,1)="C"))</formula>
    </cfRule>
    <cfRule type="expression" dxfId="1998" priority="3344">
      <formula>IF($Y25&gt;$Y22,AND(MID($A23,5,1)="D"))</formula>
    </cfRule>
  </conditionalFormatting>
  <conditionalFormatting sqref="A24">
    <cfRule type="expression" dxfId="1997" priority="3345">
      <formula>IF($Y25&gt;$Y22,AND(MID($A24,5,1)=" "))</formula>
    </cfRule>
    <cfRule type="expression" dxfId="1996" priority="3346">
      <formula>IF($Y25&gt;$Y22,AND(MID($A24,5,1)="C"))</formula>
    </cfRule>
    <cfRule type="expression" dxfId="1995" priority="3347">
      <formula>IF($Y25&gt;$Y22,AND(MID($A24,5,1)="D"))</formula>
    </cfRule>
  </conditionalFormatting>
  <conditionalFormatting sqref="A25">
    <cfRule type="expression" dxfId="1994" priority="3339">
      <formula>IF($Y25&gt;$Y22,AND(MID($A25,5,1)=" "))</formula>
    </cfRule>
    <cfRule type="expression" dxfId="1993" priority="3340">
      <formula>IF($Y25&gt;$Y22,AND(MID($A25,5,1)="C"))</formula>
    </cfRule>
    <cfRule type="expression" dxfId="1992" priority="3341">
      <formula>IF($Y25&gt;$Y22,AND(MID($A25,5,1)="D"))</formula>
    </cfRule>
  </conditionalFormatting>
  <conditionalFormatting sqref="A22">
    <cfRule type="expression" dxfId="1991" priority="3336">
      <formula>IF($Y25&gt;$Y22,AND(MID($A22,5,1)=" "))</formula>
    </cfRule>
    <cfRule type="expression" dxfId="1990" priority="3337">
      <formula>IF($Y25&gt;$Y22,AND(MID($A22,5,1)="C"))</formula>
    </cfRule>
    <cfRule type="expression" dxfId="1989" priority="3338">
      <formula>IF($Y25&gt;$Y22,AND(MID($A22,5,1)="D"))</formula>
    </cfRule>
  </conditionalFormatting>
  <conditionalFormatting sqref="Y17">
    <cfRule type="cellIs" dxfId="1988" priority="3329" operator="equal">
      <formula>0</formula>
    </cfRule>
    <cfRule type="expression" dxfId="1987" priority="3333">
      <formula>IF($Y17&gt;$Y14,AND(MID($A17,5,1)=" "))</formula>
    </cfRule>
    <cfRule type="expression" dxfId="1986" priority="3334">
      <formula>IF($Y17&gt;$Y14,AND(MID($A17,5,1)="C"))</formula>
    </cfRule>
    <cfRule type="expression" dxfId="1985" priority="3335">
      <formula>IF($Y17&gt;$Y14,AND(MID($A17,5,1)="D"))</formula>
    </cfRule>
  </conditionalFormatting>
  <conditionalFormatting sqref="Y21">
    <cfRule type="cellIs" dxfId="1984" priority="3328" operator="equal">
      <formula>0</formula>
    </cfRule>
  </conditionalFormatting>
  <conditionalFormatting sqref="Y25">
    <cfRule type="cellIs" dxfId="1983" priority="3327" operator="equal">
      <formula>0</formula>
    </cfRule>
  </conditionalFormatting>
  <conditionalFormatting sqref="D61">
    <cfRule type="expression" dxfId="1982" priority="3326">
      <formula>E61&gt;B61</formula>
    </cfRule>
  </conditionalFormatting>
  <conditionalFormatting sqref="C61">
    <cfRule type="expression" dxfId="1981" priority="3325">
      <formula>B61&gt;E61</formula>
    </cfRule>
  </conditionalFormatting>
  <conditionalFormatting sqref="D60">
    <cfRule type="expression" dxfId="1980" priority="3324">
      <formula>E60&gt;B60</formula>
    </cfRule>
  </conditionalFormatting>
  <conditionalFormatting sqref="C60">
    <cfRule type="expression" dxfId="1979" priority="3323">
      <formula>B60&gt;E60</formula>
    </cfRule>
  </conditionalFormatting>
  <conditionalFormatting sqref="B61">
    <cfRule type="cellIs" dxfId="1978" priority="3322" operator="greaterThan">
      <formula>E61</formula>
    </cfRule>
  </conditionalFormatting>
  <conditionalFormatting sqref="B60">
    <cfRule type="cellIs" dxfId="1977" priority="3321" operator="greaterThan">
      <formula>E60</formula>
    </cfRule>
  </conditionalFormatting>
  <conditionalFormatting sqref="E61">
    <cfRule type="cellIs" dxfId="1976" priority="3320" operator="greaterThan">
      <formula>B61</formula>
    </cfRule>
  </conditionalFormatting>
  <conditionalFormatting sqref="E60">
    <cfRule type="cellIs" dxfId="1975" priority="3319" operator="greaterThan">
      <formula>B60</formula>
    </cfRule>
  </conditionalFormatting>
  <conditionalFormatting sqref="Z40:Z44 Z47:Z49">
    <cfRule type="cellIs" dxfId="1974" priority="3318" operator="equal">
      <formula>0</formula>
    </cfRule>
  </conditionalFormatting>
  <conditionalFormatting sqref="Y40:Y44 Y47:Y49">
    <cfRule type="cellIs" dxfId="1973" priority="3317" operator="equal">
      <formula>0</formula>
    </cfRule>
  </conditionalFormatting>
  <conditionalFormatting sqref="Y45:Z45">
    <cfRule type="cellIs" dxfId="1972" priority="3316" operator="equal">
      <formula>0</formula>
    </cfRule>
  </conditionalFormatting>
  <conditionalFormatting sqref="Y46:Z46">
    <cfRule type="cellIs" dxfId="1971" priority="3315" operator="equal">
      <formula>0</formula>
    </cfRule>
  </conditionalFormatting>
  <conditionalFormatting sqref="Z50:Z54 Z57:Z59">
    <cfRule type="cellIs" dxfId="1970" priority="3314" operator="equal">
      <formula>0</formula>
    </cfRule>
  </conditionalFormatting>
  <conditionalFormatting sqref="Y50:Y54 Y57:Y59">
    <cfRule type="cellIs" dxfId="1969" priority="3313" operator="equal">
      <formula>0</formula>
    </cfRule>
  </conditionalFormatting>
  <conditionalFormatting sqref="Y55:Z55">
    <cfRule type="cellIs" dxfId="1968" priority="3312" operator="equal">
      <formula>0</formula>
    </cfRule>
  </conditionalFormatting>
  <conditionalFormatting sqref="Y56:Z56">
    <cfRule type="cellIs" dxfId="1967" priority="3311" operator="equal">
      <formula>0</formula>
    </cfRule>
  </conditionalFormatting>
  <conditionalFormatting sqref="Y68">
    <cfRule type="cellIs" dxfId="1966" priority="3296" operator="lessThanOrEqual">
      <formula>0</formula>
    </cfRule>
    <cfRule type="expression" dxfId="1965" priority="3297">
      <formula>(C69)-(D68)&gt;(C69/100)*(1+$AD$1*$AE$1)</formula>
    </cfRule>
  </conditionalFormatting>
  <conditionalFormatting sqref="Y74">
    <cfRule type="cellIs" dxfId="1964" priority="3294" operator="lessThanOrEqual">
      <formula>0</formula>
    </cfRule>
    <cfRule type="expression" dxfId="1963" priority="3295">
      <formula>(C75)-(D74)&gt;(C75/100)*(1+$AD$1*$AE$1)</formula>
    </cfRule>
  </conditionalFormatting>
  <conditionalFormatting sqref="Y80">
    <cfRule type="cellIs" dxfId="1962" priority="3292" operator="lessThanOrEqual">
      <formula>0</formula>
    </cfRule>
    <cfRule type="expression" dxfId="1961" priority="3293">
      <formula>(C81)-(D80)&gt;(C81/100)*(1+$AD$1*$AE$1)</formula>
    </cfRule>
  </conditionalFormatting>
  <conditionalFormatting sqref="Y86">
    <cfRule type="cellIs" dxfId="1960" priority="3290" operator="lessThanOrEqual">
      <formula>0</formula>
    </cfRule>
    <cfRule type="expression" dxfId="1959" priority="3291">
      <formula>(C87)-(D86)&gt;(C87/100)*(1+$AD$1*$AE$1)</formula>
    </cfRule>
  </conditionalFormatting>
  <conditionalFormatting sqref="Y92">
    <cfRule type="cellIs" dxfId="1958" priority="3288" operator="lessThanOrEqual">
      <formula>0</formula>
    </cfRule>
    <cfRule type="expression" dxfId="1957" priority="3289">
      <formula>(C93)-(D92)&gt;(C93/100)*(1+$AD$1*$AE$1)</formula>
    </cfRule>
  </conditionalFormatting>
  <conditionalFormatting sqref="Y98">
    <cfRule type="cellIs" dxfId="1956" priority="3286" operator="lessThanOrEqual">
      <formula>0</formula>
    </cfRule>
    <cfRule type="expression" dxfId="1955" priority="3287">
      <formula>(C99)-(D98)&gt;(C99/100)*(1+$AD$1*$AE$1)</formula>
    </cfRule>
  </conditionalFormatting>
  <conditionalFormatting sqref="Y104">
    <cfRule type="cellIs" dxfId="1954" priority="3284" operator="lessThanOrEqual">
      <formula>0</formula>
    </cfRule>
    <cfRule type="expression" dxfId="1953" priority="3285">
      <formula>(C105)-(D104)&gt;(C105/100)*(1+$AD$1*$AE$1)</formula>
    </cfRule>
  </conditionalFormatting>
  <conditionalFormatting sqref="Y110">
    <cfRule type="cellIs" dxfId="1952" priority="3282" operator="lessThanOrEqual">
      <formula>0</formula>
    </cfRule>
    <cfRule type="expression" dxfId="1951" priority="3283">
      <formula>(C111)-(D110)&gt;(C111/100)*(1+$AD$1*$AE$1)</formula>
    </cfRule>
  </conditionalFormatting>
  <conditionalFormatting sqref="Y116">
    <cfRule type="cellIs" dxfId="1950" priority="3280" operator="lessThanOrEqual">
      <formula>0</formula>
    </cfRule>
    <cfRule type="expression" dxfId="1949" priority="3281">
      <formula>(C117)-(D116)&gt;(C117/100)*(1+$AD$1*$AE$1)</formula>
    </cfRule>
  </conditionalFormatting>
  <conditionalFormatting sqref="Y122">
    <cfRule type="cellIs" dxfId="1948" priority="3278" operator="lessThanOrEqual">
      <formula>0</formula>
    </cfRule>
    <cfRule type="expression" dxfId="1947" priority="3279">
      <formula>(C123)-(D122)&gt;(C123/100)*(1+$AD$1*$AE$1)</formula>
    </cfRule>
  </conditionalFormatting>
  <conditionalFormatting sqref="Y128">
    <cfRule type="cellIs" dxfId="1946" priority="3276" operator="lessThanOrEqual">
      <formula>0</formula>
    </cfRule>
    <cfRule type="expression" dxfId="1945" priority="3277">
      <formula>(C129)-(D128)&gt;(C129/100)*(1+$AD$1*$AE$1)</formula>
    </cfRule>
  </conditionalFormatting>
  <conditionalFormatting sqref="Y134">
    <cfRule type="cellIs" dxfId="1944" priority="3274" operator="lessThanOrEqual">
      <formula>0</formula>
    </cfRule>
    <cfRule type="expression" dxfId="1943" priority="3275">
      <formula>(C135)-(D134)&gt;(C135/100)*(1+$AD$1*$AE$1)</formula>
    </cfRule>
  </conditionalFormatting>
  <conditionalFormatting sqref="Y140">
    <cfRule type="cellIs" dxfId="1942" priority="3272" operator="lessThanOrEqual">
      <formula>0</formula>
    </cfRule>
    <cfRule type="expression" dxfId="1941" priority="3273">
      <formula>(C141)-(D140)&gt;(C141/100)*(1+$AD$1*$AE$1)</formula>
    </cfRule>
  </conditionalFormatting>
  <conditionalFormatting sqref="Y146">
    <cfRule type="cellIs" dxfId="1940" priority="3270" operator="lessThanOrEqual">
      <formula>0</formula>
    </cfRule>
    <cfRule type="expression" dxfId="1939" priority="3271">
      <formula>(C147)-(D146)&gt;(C147/100)*(1+$AD$1*$AE$1)</formula>
    </cfRule>
  </conditionalFormatting>
  <conditionalFormatting sqref="Y152">
    <cfRule type="cellIs" dxfId="1938" priority="3268" operator="lessThanOrEqual">
      <formula>0</formula>
    </cfRule>
    <cfRule type="expression" dxfId="1937" priority="3269">
      <formula>(C153)-(D152)&gt;(C153/100)*(1+$AD$1*$AE$1)</formula>
    </cfRule>
  </conditionalFormatting>
  <conditionalFormatting sqref="Y158">
    <cfRule type="cellIs" dxfId="1936" priority="3266" operator="lessThanOrEqual">
      <formula>0</formula>
    </cfRule>
    <cfRule type="expression" dxfId="1935" priority="3267">
      <formula>(C159)-(D158)&gt;(C159/100)*(1+$AD$1*$AE$1)</formula>
    </cfRule>
  </conditionalFormatting>
  <conditionalFormatting sqref="Y164">
    <cfRule type="cellIs" dxfId="1934" priority="3264" operator="lessThanOrEqual">
      <formula>0</formula>
    </cfRule>
    <cfRule type="expression" dxfId="1933" priority="3265">
      <formula>(C165)-(D164)&gt;(C165/100)*(1+$AD$1*$AE$1)</formula>
    </cfRule>
  </conditionalFormatting>
  <conditionalFormatting sqref="Y170">
    <cfRule type="cellIs" dxfId="1932" priority="3262" operator="lessThanOrEqual">
      <formula>0</formula>
    </cfRule>
    <cfRule type="expression" dxfId="1931" priority="3263">
      <formula>(C171)-(D170)&gt;(C171/100)*(1+$AD$1*$AE$1)</formula>
    </cfRule>
  </conditionalFormatting>
  <conditionalFormatting sqref="Y176">
    <cfRule type="cellIs" dxfId="1930" priority="3260" operator="lessThanOrEqual">
      <formula>0</formula>
    </cfRule>
    <cfRule type="expression" dxfId="1929" priority="3261">
      <formula>(C177)-(D176)&gt;(C177/100)*(1+$AD$1*$AE$1)</formula>
    </cfRule>
  </conditionalFormatting>
  <conditionalFormatting sqref="Y182">
    <cfRule type="cellIs" dxfId="1928" priority="3258" operator="lessThanOrEqual">
      <formula>0</formula>
    </cfRule>
    <cfRule type="expression" dxfId="1927" priority="3259">
      <formula>(C183)-(D182)&gt;(C183/100)*(1+$AD$1*$AE$1)</formula>
    </cfRule>
  </conditionalFormatting>
  <conditionalFormatting sqref="Y188">
    <cfRule type="cellIs" dxfId="1926" priority="3256" operator="lessThanOrEqual">
      <formula>0</formula>
    </cfRule>
    <cfRule type="expression" dxfId="1925" priority="3257">
      <formula>(C189)-(D188)&gt;(C189/100)*(1+$AD$1*$AE$1)</formula>
    </cfRule>
  </conditionalFormatting>
  <conditionalFormatting sqref="Y194">
    <cfRule type="cellIs" dxfId="1924" priority="3254" operator="lessThanOrEqual">
      <formula>0</formula>
    </cfRule>
    <cfRule type="expression" dxfId="1923" priority="3255">
      <formula>(C195)-(D194)&gt;(C195/100)*(1+$AD$1*$AE$1)</formula>
    </cfRule>
  </conditionalFormatting>
  <conditionalFormatting sqref="X10">
    <cfRule type="expression" dxfId="1922" priority="3212">
      <formula>X10*100&gt;C10</formula>
    </cfRule>
    <cfRule type="cellIs" dxfId="1921" priority="3213" operator="equal">
      <formula>0</formula>
    </cfRule>
  </conditionalFormatting>
  <conditionalFormatting sqref="X11">
    <cfRule type="expression" dxfId="1920" priority="3210">
      <formula>X11*100&gt;C11</formula>
    </cfRule>
    <cfRule type="cellIs" dxfId="1919" priority="3211" operator="equal">
      <formula>0</formula>
    </cfRule>
  </conditionalFormatting>
  <conditionalFormatting sqref="X12">
    <cfRule type="expression" dxfId="1918" priority="3208">
      <formula>X12*100&gt;C12</formula>
    </cfRule>
    <cfRule type="cellIs" dxfId="1917" priority="3209" operator="equal">
      <formula>0</formula>
    </cfRule>
  </conditionalFormatting>
  <conditionalFormatting sqref="X13">
    <cfRule type="expression" dxfId="1916" priority="3206">
      <formula>X13*100&gt;C13</formula>
    </cfRule>
    <cfRule type="cellIs" dxfId="1915" priority="3207" operator="equal">
      <formula>0</formula>
    </cfRule>
  </conditionalFormatting>
  <conditionalFormatting sqref="X14">
    <cfRule type="expression" dxfId="1914" priority="3204">
      <formula>X14*100&gt;C14</formula>
    </cfRule>
    <cfRule type="cellIs" dxfId="1913" priority="3205" operator="equal">
      <formula>0</formula>
    </cfRule>
  </conditionalFormatting>
  <conditionalFormatting sqref="X15">
    <cfRule type="expression" dxfId="1912" priority="3202">
      <formula>X15*100&gt;C15</formula>
    </cfRule>
    <cfRule type="cellIs" dxfId="1911" priority="3203" operator="equal">
      <formula>0</formula>
    </cfRule>
  </conditionalFormatting>
  <conditionalFormatting sqref="X16">
    <cfRule type="expression" dxfId="1910" priority="3200">
      <formula>X16*100&gt;C16</formula>
    </cfRule>
    <cfRule type="cellIs" dxfId="1909" priority="3201" operator="equal">
      <formula>0</formula>
    </cfRule>
  </conditionalFormatting>
  <conditionalFormatting sqref="X17">
    <cfRule type="expression" dxfId="1908" priority="3198">
      <formula>X17*100&gt;C17</formula>
    </cfRule>
    <cfRule type="cellIs" dxfId="1907" priority="3199" operator="equal">
      <formula>0</formula>
    </cfRule>
  </conditionalFormatting>
  <conditionalFormatting sqref="X18">
    <cfRule type="expression" dxfId="1906" priority="3196">
      <formula>X18*100&gt;C18</formula>
    </cfRule>
    <cfRule type="cellIs" dxfId="1905" priority="3197" operator="equal">
      <formula>0</formula>
    </cfRule>
  </conditionalFormatting>
  <conditionalFormatting sqref="X19">
    <cfRule type="expression" dxfId="1904" priority="3194">
      <formula>X19*100&gt;C19</formula>
    </cfRule>
    <cfRule type="cellIs" dxfId="1903" priority="3195" operator="equal">
      <formula>0</formula>
    </cfRule>
  </conditionalFormatting>
  <conditionalFormatting sqref="X20">
    <cfRule type="expression" dxfId="1902" priority="3192">
      <formula>X20*100&gt;C20</formula>
    </cfRule>
    <cfRule type="cellIs" dxfId="1901" priority="3193" operator="equal">
      <formula>0</formula>
    </cfRule>
  </conditionalFormatting>
  <conditionalFormatting sqref="X21">
    <cfRule type="expression" dxfId="1900" priority="3190">
      <formula>X21*100&gt;C21</formula>
    </cfRule>
    <cfRule type="cellIs" dxfId="1899" priority="3191" operator="equal">
      <formula>0</formula>
    </cfRule>
  </conditionalFormatting>
  <conditionalFormatting sqref="X22">
    <cfRule type="expression" dxfId="1898" priority="3188">
      <formula>X22*100&gt;C22</formula>
    </cfRule>
    <cfRule type="cellIs" dxfId="1897" priority="3189" operator="equal">
      <formula>0</formula>
    </cfRule>
  </conditionalFormatting>
  <conditionalFormatting sqref="X23">
    <cfRule type="expression" dxfId="1896" priority="3186">
      <formula>X23*100&gt;C23</formula>
    </cfRule>
    <cfRule type="cellIs" dxfId="1895" priority="3187" operator="equal">
      <formula>0</formula>
    </cfRule>
  </conditionalFormatting>
  <conditionalFormatting sqref="X24">
    <cfRule type="expression" dxfId="1894" priority="3184">
      <formula>X24*100&gt;C24</formula>
    </cfRule>
    <cfRule type="cellIs" dxfId="1893" priority="3185" operator="equal">
      <formula>0</formula>
    </cfRule>
  </conditionalFormatting>
  <conditionalFormatting sqref="X25">
    <cfRule type="expression" dxfId="1892" priority="3182">
      <formula>X25*100&gt;C25</formula>
    </cfRule>
    <cfRule type="cellIs" dxfId="1891" priority="3183" operator="equal">
      <formula>0</formula>
    </cfRule>
  </conditionalFormatting>
  <conditionalFormatting sqref="X30">
    <cfRule type="expression" dxfId="1890" priority="3033">
      <formula>C30*100&gt;=X30</formula>
    </cfRule>
    <cfRule type="cellIs" dxfId="1889" priority="3034" operator="equal">
      <formula>0</formula>
    </cfRule>
  </conditionalFormatting>
  <conditionalFormatting sqref="X31">
    <cfRule type="expression" dxfId="1888" priority="3031">
      <formula>C31*100&gt;=X31</formula>
    </cfRule>
    <cfRule type="cellIs" dxfId="1887" priority="3032" operator="equal">
      <formula>0</formula>
    </cfRule>
  </conditionalFormatting>
  <conditionalFormatting sqref="X32">
    <cfRule type="expression" dxfId="1886" priority="3029">
      <formula>C32*100&gt;=X32</formula>
    </cfRule>
    <cfRule type="cellIs" dxfId="1885" priority="3030" operator="equal">
      <formula>0</formula>
    </cfRule>
  </conditionalFormatting>
  <conditionalFormatting sqref="X33">
    <cfRule type="expression" dxfId="1884" priority="3027">
      <formula>C33*100&gt;=X33</formula>
    </cfRule>
    <cfRule type="cellIs" dxfId="1883" priority="3028" operator="equal">
      <formula>0</formula>
    </cfRule>
  </conditionalFormatting>
  <conditionalFormatting sqref="X34">
    <cfRule type="expression" dxfId="1882" priority="3025">
      <formula>C34*100&gt;=X34</formula>
    </cfRule>
    <cfRule type="cellIs" dxfId="1881" priority="3026" operator="equal">
      <formula>0</formula>
    </cfRule>
  </conditionalFormatting>
  <conditionalFormatting sqref="X35">
    <cfRule type="expression" dxfId="1880" priority="3023">
      <formula>C35*100&gt;=X35</formula>
    </cfRule>
    <cfRule type="cellIs" dxfId="1879" priority="3024" operator="equal">
      <formula>0</formula>
    </cfRule>
  </conditionalFormatting>
  <conditionalFormatting sqref="X36">
    <cfRule type="expression" dxfId="1878" priority="3021">
      <formula>C36*100&gt;=X36</formula>
    </cfRule>
    <cfRule type="cellIs" dxfId="1877" priority="3022" operator="equal">
      <formula>0</formula>
    </cfRule>
  </conditionalFormatting>
  <conditionalFormatting sqref="X37">
    <cfRule type="expression" dxfId="1876" priority="3019">
      <formula>C37*100&gt;=X37</formula>
    </cfRule>
    <cfRule type="cellIs" dxfId="1875" priority="3020" operator="equal">
      <formula>0</formula>
    </cfRule>
  </conditionalFormatting>
  <conditionalFormatting sqref="X38">
    <cfRule type="expression" dxfId="1874" priority="3017">
      <formula>C38*100&gt;=X38</formula>
    </cfRule>
    <cfRule type="cellIs" dxfId="1873" priority="3018" operator="equal">
      <formula>0</formula>
    </cfRule>
  </conditionalFormatting>
  <conditionalFormatting sqref="X39">
    <cfRule type="expression" dxfId="1872" priority="3015">
      <formula>C39*100&gt;=X39</formula>
    </cfRule>
    <cfRule type="cellIs" dxfId="1871" priority="3016" operator="equal">
      <formula>0</formula>
    </cfRule>
  </conditionalFormatting>
  <conditionalFormatting sqref="X40">
    <cfRule type="expression" dxfId="1870" priority="3013">
      <formula>C40*100&gt;=X40</formula>
    </cfRule>
    <cfRule type="cellIs" dxfId="1869" priority="3014" operator="equal">
      <formula>0</formula>
    </cfRule>
  </conditionalFormatting>
  <conditionalFormatting sqref="X41">
    <cfRule type="expression" dxfId="1868" priority="3011">
      <formula>C41*100&gt;=X41</formula>
    </cfRule>
    <cfRule type="cellIs" dxfId="1867" priority="3012" operator="equal">
      <formula>0</formula>
    </cfRule>
  </conditionalFormatting>
  <conditionalFormatting sqref="X42">
    <cfRule type="expression" dxfId="1866" priority="3009">
      <formula>C42*100&gt;=X42</formula>
    </cfRule>
    <cfRule type="cellIs" dxfId="1865" priority="3010" operator="equal">
      <formula>0</formula>
    </cfRule>
  </conditionalFormatting>
  <conditionalFormatting sqref="X43">
    <cfRule type="expression" dxfId="1864" priority="3007">
      <formula>C43*100&gt;=X43</formula>
    </cfRule>
    <cfRule type="cellIs" dxfId="1863" priority="3008" operator="equal">
      <formula>0</formula>
    </cfRule>
  </conditionalFormatting>
  <conditionalFormatting sqref="X44">
    <cfRule type="expression" dxfId="1862" priority="3005">
      <formula>C44*100&gt;=X44</formula>
    </cfRule>
    <cfRule type="cellIs" dxfId="1861" priority="3006" operator="equal">
      <formula>0</formula>
    </cfRule>
  </conditionalFormatting>
  <conditionalFormatting sqref="X45">
    <cfRule type="expression" dxfId="1860" priority="3003">
      <formula>C45*100&gt;=X45</formula>
    </cfRule>
    <cfRule type="cellIs" dxfId="1859" priority="3004" operator="equal">
      <formula>0</formula>
    </cfRule>
  </conditionalFormatting>
  <conditionalFormatting sqref="X46">
    <cfRule type="expression" dxfId="1858" priority="3001">
      <formula>C46*100&gt;=X46</formula>
    </cfRule>
    <cfRule type="cellIs" dxfId="1857" priority="3002" operator="equal">
      <formula>0</formula>
    </cfRule>
  </conditionalFormatting>
  <conditionalFormatting sqref="X47">
    <cfRule type="expression" dxfId="1856" priority="2999">
      <formula>C47*100&gt;=X47</formula>
    </cfRule>
    <cfRule type="cellIs" dxfId="1855" priority="3000" operator="equal">
      <formula>0</formula>
    </cfRule>
  </conditionalFormatting>
  <conditionalFormatting sqref="X48">
    <cfRule type="expression" dxfId="1854" priority="2997">
      <formula>C48*100&gt;=X48</formula>
    </cfRule>
    <cfRule type="cellIs" dxfId="1853" priority="2998" operator="equal">
      <formula>0</formula>
    </cfRule>
  </conditionalFormatting>
  <conditionalFormatting sqref="X49">
    <cfRule type="expression" dxfId="1852" priority="2995">
      <formula>C49*100&gt;=X49</formula>
    </cfRule>
    <cfRule type="cellIs" dxfId="1851" priority="2996" operator="equal">
      <formula>0</formula>
    </cfRule>
  </conditionalFormatting>
  <conditionalFormatting sqref="X50">
    <cfRule type="expression" dxfId="1850" priority="2993">
      <formula>C50*100&gt;=X50</formula>
    </cfRule>
    <cfRule type="cellIs" dxfId="1849" priority="2994" operator="equal">
      <formula>0</formula>
    </cfRule>
  </conditionalFormatting>
  <conditionalFormatting sqref="X51">
    <cfRule type="expression" dxfId="1848" priority="2991">
      <formula>C51*100&gt;=X51</formula>
    </cfRule>
    <cfRule type="cellIs" dxfId="1847" priority="2992" operator="equal">
      <formula>0</formula>
    </cfRule>
  </conditionalFormatting>
  <conditionalFormatting sqref="X52">
    <cfRule type="expression" dxfId="1846" priority="2989">
      <formula>C52*100&gt;=X52</formula>
    </cfRule>
    <cfRule type="cellIs" dxfId="1845" priority="2990" operator="equal">
      <formula>0</formula>
    </cfRule>
  </conditionalFormatting>
  <conditionalFormatting sqref="X53">
    <cfRule type="expression" dxfId="1844" priority="2987">
      <formula>C53*100&gt;=X53</formula>
    </cfRule>
    <cfRule type="cellIs" dxfId="1843" priority="2988" operator="equal">
      <formula>0</formula>
    </cfRule>
  </conditionalFormatting>
  <conditionalFormatting sqref="X54">
    <cfRule type="expression" dxfId="1842" priority="2985">
      <formula>C54*100&gt;=X54</formula>
    </cfRule>
    <cfRule type="cellIs" dxfId="1841" priority="2986" operator="equal">
      <formula>0</formula>
    </cfRule>
  </conditionalFormatting>
  <conditionalFormatting sqref="X55">
    <cfRule type="expression" dxfId="1840" priority="2983">
      <formula>C55*100&gt;=X55</formula>
    </cfRule>
    <cfRule type="cellIs" dxfId="1839" priority="2984" operator="equal">
      <formula>0</formula>
    </cfRule>
  </conditionalFormatting>
  <conditionalFormatting sqref="X56">
    <cfRule type="expression" dxfId="1838" priority="2981">
      <formula>C56*100&gt;=X56</formula>
    </cfRule>
    <cfRule type="cellIs" dxfId="1837" priority="2982" operator="equal">
      <formula>0</formula>
    </cfRule>
  </conditionalFormatting>
  <conditionalFormatting sqref="X57">
    <cfRule type="expression" dxfId="1836" priority="2979">
      <formula>C57*100&gt;=X57</formula>
    </cfRule>
    <cfRule type="cellIs" dxfId="1835" priority="2980" operator="equal">
      <formula>0</formula>
    </cfRule>
  </conditionalFormatting>
  <conditionalFormatting sqref="X58">
    <cfRule type="expression" dxfId="1834" priority="2977">
      <formula>C58*100&gt;=X58</formula>
    </cfRule>
    <cfRule type="cellIs" dxfId="1833" priority="2978" operator="equal">
      <formula>0</formula>
    </cfRule>
  </conditionalFormatting>
  <conditionalFormatting sqref="X59">
    <cfRule type="expression" dxfId="1832" priority="2975">
      <formula>C59*100&gt;=X59</formula>
    </cfRule>
    <cfRule type="cellIs" dxfId="1831" priority="2976" operator="equal">
      <formula>0</formula>
    </cfRule>
  </conditionalFormatting>
  <conditionalFormatting sqref="A27 A29">
    <cfRule type="expression" dxfId="1830" priority="1881">
      <formula>D27&lt;F27</formula>
    </cfRule>
    <cfRule type="expression" dxfId="1829" priority="1882">
      <formula>C27&gt;F27</formula>
    </cfRule>
  </conditionalFormatting>
  <conditionalFormatting sqref="A26">
    <cfRule type="expression" dxfId="1828" priority="1879">
      <formula>D26&lt;F26</formula>
    </cfRule>
    <cfRule type="expression" dxfId="1827" priority="1880">
      <formula>C26&gt;F26</formula>
    </cfRule>
  </conditionalFormatting>
  <conditionalFormatting sqref="A169">
    <cfRule type="expression" dxfId="1826" priority="1685">
      <formula>D169&lt;F169</formula>
    </cfRule>
    <cfRule type="expression" dxfId="1825" priority="1686">
      <formula>C169&gt;F169</formula>
    </cfRule>
  </conditionalFormatting>
  <conditionalFormatting sqref="A168">
    <cfRule type="expression" dxfId="1824" priority="1683">
      <formula>D168&lt;F168</formula>
    </cfRule>
    <cfRule type="expression" dxfId="1823" priority="1684">
      <formula>C168&gt;F168</formula>
    </cfRule>
  </conditionalFormatting>
  <conditionalFormatting sqref="A167">
    <cfRule type="expression" dxfId="1822" priority="1681">
      <formula>D167&lt;F167</formula>
    </cfRule>
    <cfRule type="expression" dxfId="1821" priority="1682">
      <formula>C167&gt;F167</formula>
    </cfRule>
  </conditionalFormatting>
  <conditionalFormatting sqref="A166">
    <cfRule type="expression" dxfId="1820" priority="1679">
      <formula>D166&lt;F166</formula>
    </cfRule>
    <cfRule type="expression" dxfId="1819" priority="1680">
      <formula>C166&gt;F166</formula>
    </cfRule>
  </conditionalFormatting>
  <conditionalFormatting sqref="A165">
    <cfRule type="expression" dxfId="1818" priority="1677">
      <formula>D165&lt;F165</formula>
    </cfRule>
    <cfRule type="expression" dxfId="1817" priority="1678">
      <formula>C165&gt;F165</formula>
    </cfRule>
  </conditionalFormatting>
  <conditionalFormatting sqref="A164">
    <cfRule type="expression" dxfId="1816" priority="1675">
      <formula>D164&lt;F164</formula>
    </cfRule>
    <cfRule type="expression" dxfId="1815" priority="1676">
      <formula>C164&gt;F164</formula>
    </cfRule>
  </conditionalFormatting>
  <conditionalFormatting sqref="A175">
    <cfRule type="expression" dxfId="1814" priority="1673">
      <formula>D175&lt;F175</formula>
    </cfRule>
    <cfRule type="expression" dxfId="1813" priority="1674">
      <formula>C175&gt;F175</formula>
    </cfRule>
  </conditionalFormatting>
  <conditionalFormatting sqref="A174">
    <cfRule type="expression" dxfId="1812" priority="1671">
      <formula>D174&lt;F174</formula>
    </cfRule>
    <cfRule type="expression" dxfId="1811" priority="1672">
      <formula>C174&gt;F174</formula>
    </cfRule>
  </conditionalFormatting>
  <conditionalFormatting sqref="A173">
    <cfRule type="expression" dxfId="1810" priority="1669">
      <formula>D173&lt;F173</formula>
    </cfRule>
    <cfRule type="expression" dxfId="1809" priority="1670">
      <formula>C173&gt;F173</formula>
    </cfRule>
  </conditionalFormatting>
  <conditionalFormatting sqref="A172">
    <cfRule type="expression" dxfId="1808" priority="1667">
      <formula>D172&lt;F172</formula>
    </cfRule>
    <cfRule type="expression" dxfId="1807" priority="1668">
      <formula>C172&gt;F172</formula>
    </cfRule>
  </conditionalFormatting>
  <conditionalFormatting sqref="A171">
    <cfRule type="expression" dxfId="1806" priority="1665">
      <formula>D171&lt;F171</formula>
    </cfRule>
    <cfRule type="expression" dxfId="1805" priority="1666">
      <formula>C171&gt;F171</formula>
    </cfRule>
  </conditionalFormatting>
  <conditionalFormatting sqref="A170">
    <cfRule type="expression" dxfId="1804" priority="1663">
      <formula>D170&lt;F170</formula>
    </cfRule>
    <cfRule type="expression" dxfId="1803" priority="1664">
      <formula>C170&gt;F170</formula>
    </cfRule>
  </conditionalFormatting>
  <conditionalFormatting sqref="A181">
    <cfRule type="expression" dxfId="1802" priority="1661">
      <formula>D181&lt;F181</formula>
    </cfRule>
    <cfRule type="expression" dxfId="1801" priority="1662">
      <formula>C181&gt;F181</formula>
    </cfRule>
  </conditionalFormatting>
  <conditionalFormatting sqref="A180">
    <cfRule type="expression" dxfId="1800" priority="1659">
      <formula>D180&lt;F180</formula>
    </cfRule>
    <cfRule type="expression" dxfId="1799" priority="1660">
      <formula>C180&gt;F180</formula>
    </cfRule>
  </conditionalFormatting>
  <conditionalFormatting sqref="A179">
    <cfRule type="expression" dxfId="1798" priority="1657">
      <formula>D179&lt;F179</formula>
    </cfRule>
    <cfRule type="expression" dxfId="1797" priority="1658">
      <formula>C179&gt;F179</formula>
    </cfRule>
  </conditionalFormatting>
  <conditionalFormatting sqref="A178">
    <cfRule type="expression" dxfId="1796" priority="1655">
      <formula>D178&lt;F178</formula>
    </cfRule>
    <cfRule type="expression" dxfId="1795" priority="1656">
      <formula>C178&gt;F178</formula>
    </cfRule>
  </conditionalFormatting>
  <conditionalFormatting sqref="A177">
    <cfRule type="expression" dxfId="1794" priority="1653">
      <formula>D177&lt;F177</formula>
    </cfRule>
    <cfRule type="expression" dxfId="1793" priority="1654">
      <formula>C177&gt;F177</formula>
    </cfRule>
  </conditionalFormatting>
  <conditionalFormatting sqref="A176">
    <cfRule type="expression" dxfId="1792" priority="1651">
      <formula>D176&lt;F176</formula>
    </cfRule>
    <cfRule type="expression" dxfId="1791" priority="1652">
      <formula>C176&gt;F176</formula>
    </cfRule>
  </conditionalFormatting>
  <conditionalFormatting sqref="A187">
    <cfRule type="expression" dxfId="1790" priority="1649">
      <formula>D187&lt;F187</formula>
    </cfRule>
    <cfRule type="expression" dxfId="1789" priority="1650">
      <formula>C187&gt;F187</formula>
    </cfRule>
  </conditionalFormatting>
  <conditionalFormatting sqref="A186">
    <cfRule type="expression" dxfId="1788" priority="1647">
      <formula>D186&lt;F186</formula>
    </cfRule>
    <cfRule type="expression" dxfId="1787" priority="1648">
      <formula>C186&gt;F186</formula>
    </cfRule>
  </conditionalFormatting>
  <conditionalFormatting sqref="A185">
    <cfRule type="expression" dxfId="1786" priority="1645">
      <formula>D185&lt;F185</formula>
    </cfRule>
    <cfRule type="expression" dxfId="1785" priority="1646">
      <formula>C185&gt;F185</formula>
    </cfRule>
  </conditionalFormatting>
  <conditionalFormatting sqref="A184">
    <cfRule type="expression" dxfId="1784" priority="1643">
      <formula>D184&lt;F184</formula>
    </cfRule>
    <cfRule type="expression" dxfId="1783" priority="1644">
      <formula>C184&gt;F184</formula>
    </cfRule>
  </conditionalFormatting>
  <conditionalFormatting sqref="A183">
    <cfRule type="expression" dxfId="1782" priority="1641">
      <formula>D183&lt;F183</formula>
    </cfRule>
    <cfRule type="expression" dxfId="1781" priority="1642">
      <formula>C183&gt;F183</formula>
    </cfRule>
  </conditionalFormatting>
  <conditionalFormatting sqref="A182">
    <cfRule type="expression" dxfId="1780" priority="1639">
      <formula>D182&lt;F182</formula>
    </cfRule>
    <cfRule type="expression" dxfId="1779" priority="1640">
      <formula>C182&gt;F182</formula>
    </cfRule>
  </conditionalFormatting>
  <conditionalFormatting sqref="A193">
    <cfRule type="expression" dxfId="1778" priority="1637">
      <formula>D193&lt;F193</formula>
    </cfRule>
    <cfRule type="expression" dxfId="1777" priority="1638">
      <formula>C193&gt;F193</formula>
    </cfRule>
  </conditionalFormatting>
  <conditionalFormatting sqref="A192">
    <cfRule type="expression" dxfId="1776" priority="1635">
      <formula>D192&lt;F192</formula>
    </cfRule>
    <cfRule type="expression" dxfId="1775" priority="1636">
      <formula>C192&gt;F192</formula>
    </cfRule>
  </conditionalFormatting>
  <conditionalFormatting sqref="A191">
    <cfRule type="expression" dxfId="1774" priority="1633">
      <formula>D191&lt;F191</formula>
    </cfRule>
    <cfRule type="expression" dxfId="1773" priority="1634">
      <formula>C191&gt;F191</formula>
    </cfRule>
  </conditionalFormatting>
  <conditionalFormatting sqref="A190">
    <cfRule type="expression" dxfId="1772" priority="1631">
      <formula>D190&lt;F190</formula>
    </cfRule>
    <cfRule type="expression" dxfId="1771" priority="1632">
      <formula>C190&gt;F190</formula>
    </cfRule>
  </conditionalFormatting>
  <conditionalFormatting sqref="A189">
    <cfRule type="expression" dxfId="1770" priority="1629">
      <formula>D189&lt;F189</formula>
    </cfRule>
    <cfRule type="expression" dxfId="1769" priority="1630">
      <formula>C189&gt;F189</formula>
    </cfRule>
  </conditionalFormatting>
  <conditionalFormatting sqref="A188">
    <cfRule type="expression" dxfId="1768" priority="1627">
      <formula>D188&lt;F188</formula>
    </cfRule>
    <cfRule type="expression" dxfId="1767" priority="1628">
      <formula>C188&gt;F188</formula>
    </cfRule>
  </conditionalFormatting>
  <conditionalFormatting sqref="A199">
    <cfRule type="expression" dxfId="1766" priority="1625">
      <formula>D199&lt;F199</formula>
    </cfRule>
    <cfRule type="expression" dxfId="1765" priority="1626">
      <formula>C199&gt;F199</formula>
    </cfRule>
  </conditionalFormatting>
  <conditionalFormatting sqref="A198">
    <cfRule type="expression" dxfId="1764" priority="1623">
      <formula>D198&lt;F198</formula>
    </cfRule>
    <cfRule type="expression" dxfId="1763" priority="1624">
      <formula>C198&gt;F198</formula>
    </cfRule>
  </conditionalFormatting>
  <conditionalFormatting sqref="A197">
    <cfRule type="expression" dxfId="1762" priority="1621">
      <formula>D197&lt;F197</formula>
    </cfRule>
    <cfRule type="expression" dxfId="1761" priority="1622">
      <formula>C197&gt;F197</formula>
    </cfRule>
  </conditionalFormatting>
  <conditionalFormatting sqref="A196">
    <cfRule type="expression" dxfId="1760" priority="1619">
      <formula>D196&lt;F196</formula>
    </cfRule>
    <cfRule type="expression" dxfId="1759" priority="1620">
      <formula>C196&gt;F196</formula>
    </cfRule>
  </conditionalFormatting>
  <conditionalFormatting sqref="A195">
    <cfRule type="expression" dxfId="1758" priority="1617">
      <formula>D195&lt;F195</formula>
    </cfRule>
    <cfRule type="expression" dxfId="1757" priority="1618">
      <formula>C195&gt;F195</formula>
    </cfRule>
  </conditionalFormatting>
  <conditionalFormatting sqref="A194">
    <cfRule type="expression" dxfId="1756" priority="1615">
      <formula>D194&lt;F194</formula>
    </cfRule>
    <cfRule type="expression" dxfId="1755" priority="1616">
      <formula>C194&gt;F194</formula>
    </cfRule>
  </conditionalFormatting>
  <conditionalFormatting sqref="G30:G39">
    <cfRule type="cellIs" dxfId="1754" priority="1610" operator="lessThan">
      <formula>0</formula>
    </cfRule>
    <cfRule type="cellIs" dxfId="1753" priority="1611" operator="greaterThan">
      <formula>0</formula>
    </cfRule>
  </conditionalFormatting>
  <conditionalFormatting sqref="V2:V57">
    <cfRule type="cellIs" dxfId="1752" priority="1462" operator="lessThan">
      <formula>0</formula>
    </cfRule>
    <cfRule type="cellIs" dxfId="1751" priority="1463" operator="equal">
      <formula>0</formula>
    </cfRule>
  </conditionalFormatting>
  <conditionalFormatting sqref="W33">
    <cfRule type="cellIs" dxfId="1750" priority="1412" operator="equal">
      <formula>"STOP"</formula>
    </cfRule>
    <cfRule type="expression" dxfId="1749" priority="1413">
      <formula>X33&gt;F33*100</formula>
    </cfRule>
    <cfRule type="cellIs" dxfId="1748" priority="1415" operator="equal">
      <formula>0</formula>
    </cfRule>
  </conditionalFormatting>
  <conditionalFormatting sqref="W33">
    <cfRule type="cellIs" dxfId="1747" priority="1414" operator="equal">
      <formula>"TRAILING"</formula>
    </cfRule>
  </conditionalFormatting>
  <conditionalFormatting sqref="W32">
    <cfRule type="cellIs" dxfId="1746" priority="1408" operator="equal">
      <formula>"STOP"</formula>
    </cfRule>
    <cfRule type="expression" dxfId="1745" priority="1409">
      <formula>X32&gt;F32*100</formula>
    </cfRule>
    <cfRule type="cellIs" dxfId="1744" priority="1411" operator="equal">
      <formula>0</formula>
    </cfRule>
  </conditionalFormatting>
  <conditionalFormatting sqref="W32">
    <cfRule type="cellIs" dxfId="1743" priority="1410" operator="equal">
      <formula>"TRAILING"</formula>
    </cfRule>
  </conditionalFormatting>
  <conditionalFormatting sqref="W31">
    <cfRule type="cellIs" dxfId="1742" priority="1404" operator="equal">
      <formula>"STOP"</formula>
    </cfRule>
    <cfRule type="expression" dxfId="1741" priority="1405">
      <formula>X31&gt;F31*100</formula>
    </cfRule>
    <cfRule type="cellIs" dxfId="1740" priority="1407" operator="equal">
      <formula>0</formula>
    </cfRule>
  </conditionalFormatting>
  <conditionalFormatting sqref="W31">
    <cfRule type="cellIs" dxfId="1739" priority="1406" operator="equal">
      <formula>"TRAILING"</formula>
    </cfRule>
  </conditionalFormatting>
  <conditionalFormatting sqref="W30">
    <cfRule type="cellIs" dxfId="1738" priority="1400" operator="equal">
      <formula>"STOP"</formula>
    </cfRule>
    <cfRule type="expression" dxfId="1737" priority="1401">
      <formula>X30&gt;F30*100</formula>
    </cfRule>
    <cfRule type="cellIs" dxfId="1736" priority="1403" operator="equal">
      <formula>0</formula>
    </cfRule>
  </conditionalFormatting>
  <conditionalFormatting sqref="W30">
    <cfRule type="cellIs" dxfId="1735" priority="1402" operator="equal">
      <formula>"TRAILING"</formula>
    </cfRule>
  </conditionalFormatting>
  <conditionalFormatting sqref="W35">
    <cfRule type="cellIs" dxfId="1734" priority="1392" operator="equal">
      <formula>"STOP"</formula>
    </cfRule>
    <cfRule type="expression" dxfId="1733" priority="1393">
      <formula>X35&gt;F35*100</formula>
    </cfRule>
    <cfRule type="cellIs" dxfId="1732" priority="1395" operator="equal">
      <formula>0</formula>
    </cfRule>
  </conditionalFormatting>
  <conditionalFormatting sqref="W35">
    <cfRule type="cellIs" dxfId="1731" priority="1394" operator="equal">
      <formula>"TRAILING"</formula>
    </cfRule>
  </conditionalFormatting>
  <conditionalFormatting sqref="W34">
    <cfRule type="cellIs" dxfId="1730" priority="1388" operator="equal">
      <formula>"STOP"</formula>
    </cfRule>
    <cfRule type="expression" dxfId="1729" priority="1389">
      <formula>X34&gt;F34*100</formula>
    </cfRule>
    <cfRule type="cellIs" dxfId="1728" priority="1391" operator="equal">
      <formula>0</formula>
    </cfRule>
  </conditionalFormatting>
  <conditionalFormatting sqref="W34">
    <cfRule type="cellIs" dxfId="1727" priority="1390" operator="equal">
      <formula>"TRAILING"</formula>
    </cfRule>
  </conditionalFormatting>
  <conditionalFormatting sqref="W37">
    <cfRule type="cellIs" dxfId="1726" priority="1384" operator="equal">
      <formula>"STOP"</formula>
    </cfRule>
    <cfRule type="expression" dxfId="1725" priority="1385">
      <formula>X37&gt;F37*100</formula>
    </cfRule>
    <cfRule type="cellIs" dxfId="1724" priority="1387" operator="equal">
      <formula>0</formula>
    </cfRule>
  </conditionalFormatting>
  <conditionalFormatting sqref="W37">
    <cfRule type="cellIs" dxfId="1723" priority="1386" operator="equal">
      <formula>"TRAILING"</formula>
    </cfRule>
  </conditionalFormatting>
  <conditionalFormatting sqref="W36">
    <cfRule type="cellIs" dxfId="1722" priority="1380" operator="equal">
      <formula>"STOP"</formula>
    </cfRule>
    <cfRule type="expression" dxfId="1721" priority="1381">
      <formula>X36&gt;F36*100</formula>
    </cfRule>
    <cfRule type="cellIs" dxfId="1720" priority="1383" operator="equal">
      <formula>0</formula>
    </cfRule>
  </conditionalFormatting>
  <conditionalFormatting sqref="W36">
    <cfRule type="cellIs" dxfId="1719" priority="1382" operator="equal">
      <formula>"TRAILING"</formula>
    </cfRule>
  </conditionalFormatting>
  <conditionalFormatting sqref="W39">
    <cfRule type="cellIs" dxfId="1718" priority="1376" operator="equal">
      <formula>"STOP"</formula>
    </cfRule>
    <cfRule type="expression" dxfId="1717" priority="1377">
      <formula>X39&gt;F39*100</formula>
    </cfRule>
    <cfRule type="cellIs" dxfId="1716" priority="1379" operator="equal">
      <formula>0</formula>
    </cfRule>
  </conditionalFormatting>
  <conditionalFormatting sqref="W39">
    <cfRule type="cellIs" dxfId="1715" priority="1378" operator="equal">
      <formula>"TRAILING"</formula>
    </cfRule>
  </conditionalFormatting>
  <conditionalFormatting sqref="W38">
    <cfRule type="cellIs" dxfId="1714" priority="1372" operator="equal">
      <formula>"STOP"</formula>
    </cfRule>
    <cfRule type="expression" dxfId="1713" priority="1373">
      <formula>X38&gt;F38*100</formula>
    </cfRule>
    <cfRule type="cellIs" dxfId="1712" priority="1375" operator="equal">
      <formula>0</formula>
    </cfRule>
  </conditionalFormatting>
  <conditionalFormatting sqref="W38">
    <cfRule type="cellIs" dxfId="1711" priority="1374" operator="equal">
      <formula>"TRAILING"</formula>
    </cfRule>
  </conditionalFormatting>
  <conditionalFormatting sqref="W43">
    <cfRule type="cellIs" dxfId="1710" priority="1368" operator="equal">
      <formula>"STOP"</formula>
    </cfRule>
    <cfRule type="expression" dxfId="1709" priority="1369">
      <formula>X43&gt;F43*100</formula>
    </cfRule>
    <cfRule type="cellIs" dxfId="1708" priority="1371" operator="equal">
      <formula>0</formula>
    </cfRule>
  </conditionalFormatting>
  <conditionalFormatting sqref="W43">
    <cfRule type="cellIs" dxfId="1707" priority="1370" operator="equal">
      <formula>"TRAILING"</formula>
    </cfRule>
  </conditionalFormatting>
  <conditionalFormatting sqref="W42">
    <cfRule type="cellIs" dxfId="1706" priority="1364" operator="equal">
      <formula>"STOP"</formula>
    </cfRule>
    <cfRule type="expression" dxfId="1705" priority="1365">
      <formula>X42&gt;F42*100</formula>
    </cfRule>
    <cfRule type="cellIs" dxfId="1704" priority="1367" operator="equal">
      <formula>0</formula>
    </cfRule>
  </conditionalFormatting>
  <conditionalFormatting sqref="W42">
    <cfRule type="cellIs" dxfId="1703" priority="1366" operator="equal">
      <formula>"TRAILING"</formula>
    </cfRule>
  </conditionalFormatting>
  <conditionalFormatting sqref="W41">
    <cfRule type="cellIs" dxfId="1702" priority="1360" operator="equal">
      <formula>"STOP"</formula>
    </cfRule>
    <cfRule type="expression" dxfId="1701" priority="1361">
      <formula>X41&gt;F41*100</formula>
    </cfRule>
    <cfRule type="cellIs" dxfId="1700" priority="1363" operator="equal">
      <formula>0</formula>
    </cfRule>
  </conditionalFormatting>
  <conditionalFormatting sqref="W41">
    <cfRule type="cellIs" dxfId="1699" priority="1362" operator="equal">
      <formula>"TRAILING"</formula>
    </cfRule>
  </conditionalFormatting>
  <conditionalFormatting sqref="W40">
    <cfRule type="cellIs" dxfId="1698" priority="1356" operator="equal">
      <formula>"STOP"</formula>
    </cfRule>
    <cfRule type="expression" dxfId="1697" priority="1357">
      <formula>X40&gt;F40*100</formula>
    </cfRule>
    <cfRule type="cellIs" dxfId="1696" priority="1359" operator="equal">
      <formula>0</formula>
    </cfRule>
  </conditionalFormatting>
  <conditionalFormatting sqref="W40">
    <cfRule type="cellIs" dxfId="1695" priority="1358" operator="equal">
      <formula>"TRAILING"</formula>
    </cfRule>
  </conditionalFormatting>
  <conditionalFormatting sqref="W45">
    <cfRule type="cellIs" dxfId="1694" priority="1352" operator="equal">
      <formula>"STOP"</formula>
    </cfRule>
    <cfRule type="expression" dxfId="1693" priority="1353">
      <formula>X45&gt;F45*100</formula>
    </cfRule>
    <cfRule type="cellIs" dxfId="1692" priority="1355" operator="equal">
      <formula>0</formula>
    </cfRule>
  </conditionalFormatting>
  <conditionalFormatting sqref="W45">
    <cfRule type="cellIs" dxfId="1691" priority="1354" operator="equal">
      <formula>"TRAILING"</formula>
    </cfRule>
  </conditionalFormatting>
  <conditionalFormatting sqref="W44">
    <cfRule type="cellIs" dxfId="1690" priority="1348" operator="equal">
      <formula>"STOP"</formula>
    </cfRule>
    <cfRule type="expression" dxfId="1689" priority="1349">
      <formula>X44&gt;F44*100</formula>
    </cfRule>
    <cfRule type="cellIs" dxfId="1688" priority="1351" operator="equal">
      <formula>0</formula>
    </cfRule>
  </conditionalFormatting>
  <conditionalFormatting sqref="W44">
    <cfRule type="cellIs" dxfId="1687" priority="1350" operator="equal">
      <formula>"TRAILING"</formula>
    </cfRule>
  </conditionalFormatting>
  <conditionalFormatting sqref="W47">
    <cfRule type="cellIs" dxfId="1686" priority="1344" operator="equal">
      <formula>"STOP"</formula>
    </cfRule>
    <cfRule type="expression" dxfId="1685" priority="1345">
      <formula>X47&gt;F47*100</formula>
    </cfRule>
    <cfRule type="cellIs" dxfId="1684" priority="1347" operator="equal">
      <formula>0</formula>
    </cfRule>
  </conditionalFormatting>
  <conditionalFormatting sqref="W47">
    <cfRule type="cellIs" dxfId="1683" priority="1346" operator="equal">
      <formula>"TRAILING"</formula>
    </cfRule>
  </conditionalFormatting>
  <conditionalFormatting sqref="W46">
    <cfRule type="cellIs" dxfId="1682" priority="1340" operator="equal">
      <formula>"STOP"</formula>
    </cfRule>
    <cfRule type="expression" dxfId="1681" priority="1341">
      <formula>X46&gt;F46*100</formula>
    </cfRule>
    <cfRule type="cellIs" dxfId="1680" priority="1343" operator="equal">
      <formula>0</formula>
    </cfRule>
  </conditionalFormatting>
  <conditionalFormatting sqref="W46">
    <cfRule type="cellIs" dxfId="1679" priority="1342" operator="equal">
      <formula>"TRAILING"</formula>
    </cfRule>
  </conditionalFormatting>
  <conditionalFormatting sqref="W49">
    <cfRule type="cellIs" dxfId="1678" priority="1336" operator="equal">
      <formula>"STOP"</formula>
    </cfRule>
    <cfRule type="expression" dxfId="1677" priority="1337">
      <formula>X49&gt;F49*100</formula>
    </cfRule>
    <cfRule type="cellIs" dxfId="1676" priority="1339" operator="equal">
      <formula>0</formula>
    </cfRule>
  </conditionalFormatting>
  <conditionalFormatting sqref="W49">
    <cfRule type="cellIs" dxfId="1675" priority="1338" operator="equal">
      <formula>"TRAILING"</formula>
    </cfRule>
  </conditionalFormatting>
  <conditionalFormatting sqref="W48">
    <cfRule type="cellIs" dxfId="1674" priority="1332" operator="equal">
      <formula>"STOP"</formula>
    </cfRule>
    <cfRule type="expression" dxfId="1673" priority="1333">
      <formula>X48&gt;F48*100</formula>
    </cfRule>
    <cfRule type="cellIs" dxfId="1672" priority="1335" operator="equal">
      <formula>0</formula>
    </cfRule>
  </conditionalFormatting>
  <conditionalFormatting sqref="W48">
    <cfRule type="cellIs" dxfId="1671" priority="1334" operator="equal">
      <formula>"TRAILING"</formula>
    </cfRule>
  </conditionalFormatting>
  <conditionalFormatting sqref="W53">
    <cfRule type="cellIs" dxfId="1670" priority="1328" operator="equal">
      <formula>"STOP"</formula>
    </cfRule>
    <cfRule type="expression" dxfId="1669" priority="1329">
      <formula>X53&gt;F53*100</formula>
    </cfRule>
    <cfRule type="cellIs" dxfId="1668" priority="1331" operator="equal">
      <formula>0</formula>
    </cfRule>
  </conditionalFormatting>
  <conditionalFormatting sqref="W53">
    <cfRule type="cellIs" dxfId="1667" priority="1330" operator="equal">
      <formula>"TRAILING"</formula>
    </cfRule>
  </conditionalFormatting>
  <conditionalFormatting sqref="W52">
    <cfRule type="cellIs" dxfId="1666" priority="1324" operator="equal">
      <formula>"STOP"</formula>
    </cfRule>
    <cfRule type="expression" dxfId="1665" priority="1325">
      <formula>X52&gt;F52*100</formula>
    </cfRule>
    <cfRule type="cellIs" dxfId="1664" priority="1327" operator="equal">
      <formula>0</formula>
    </cfRule>
  </conditionalFormatting>
  <conditionalFormatting sqref="W52">
    <cfRule type="cellIs" dxfId="1663" priority="1326" operator="equal">
      <formula>"TRAILING"</formula>
    </cfRule>
  </conditionalFormatting>
  <conditionalFormatting sqref="W51">
    <cfRule type="cellIs" dxfId="1662" priority="1320" operator="equal">
      <formula>"STOP"</formula>
    </cfRule>
    <cfRule type="expression" dxfId="1661" priority="1321">
      <formula>X51&gt;F51*100</formula>
    </cfRule>
    <cfRule type="cellIs" dxfId="1660" priority="1323" operator="equal">
      <formula>0</formula>
    </cfRule>
  </conditionalFormatting>
  <conditionalFormatting sqref="W51">
    <cfRule type="cellIs" dxfId="1659" priority="1322" operator="equal">
      <formula>"TRAILING"</formula>
    </cfRule>
  </conditionalFormatting>
  <conditionalFormatting sqref="W50">
    <cfRule type="cellIs" dxfId="1658" priority="1316" operator="equal">
      <formula>"STOP"</formula>
    </cfRule>
    <cfRule type="expression" dxfId="1657" priority="1317">
      <formula>X50&gt;F50*100</formula>
    </cfRule>
    <cfRule type="cellIs" dxfId="1656" priority="1319" operator="equal">
      <formula>0</formula>
    </cfRule>
  </conditionalFormatting>
  <conditionalFormatting sqref="W50">
    <cfRule type="cellIs" dxfId="1655" priority="1318" operator="equal">
      <formula>"TRAILING"</formula>
    </cfRule>
  </conditionalFormatting>
  <conditionalFormatting sqref="W55">
    <cfRule type="cellIs" dxfId="1654" priority="1312" operator="equal">
      <formula>"STOP"</formula>
    </cfRule>
    <cfRule type="expression" dxfId="1653" priority="1313">
      <formula>X55&gt;F55*100</formula>
    </cfRule>
    <cfRule type="cellIs" dxfId="1652" priority="1315" operator="equal">
      <formula>0</formula>
    </cfRule>
  </conditionalFormatting>
  <conditionalFormatting sqref="W55">
    <cfRule type="cellIs" dxfId="1651" priority="1314" operator="equal">
      <formula>"TRAILING"</formula>
    </cfRule>
  </conditionalFormatting>
  <conditionalFormatting sqref="W54">
    <cfRule type="cellIs" dxfId="1650" priority="1308" operator="equal">
      <formula>"STOP"</formula>
    </cfRule>
    <cfRule type="expression" dxfId="1649" priority="1309">
      <formula>X54&gt;F54*100</formula>
    </cfRule>
    <cfRule type="cellIs" dxfId="1648" priority="1311" operator="equal">
      <formula>0</formula>
    </cfRule>
  </conditionalFormatting>
  <conditionalFormatting sqref="W54">
    <cfRule type="cellIs" dxfId="1647" priority="1310" operator="equal">
      <formula>"TRAILING"</formula>
    </cfRule>
  </conditionalFormatting>
  <conditionalFormatting sqref="W57">
    <cfRule type="cellIs" dxfId="1646" priority="1304" operator="equal">
      <formula>"STOP"</formula>
    </cfRule>
    <cfRule type="expression" dxfId="1645" priority="1305">
      <formula>X57&gt;F57*100</formula>
    </cfRule>
    <cfRule type="cellIs" dxfId="1644" priority="1307" operator="equal">
      <formula>0</formula>
    </cfRule>
  </conditionalFormatting>
  <conditionalFormatting sqref="W57">
    <cfRule type="cellIs" dxfId="1643" priority="1306" operator="equal">
      <formula>"TRAILING"</formula>
    </cfRule>
  </conditionalFormatting>
  <conditionalFormatting sqref="W56">
    <cfRule type="cellIs" dxfId="1642" priority="1300" operator="equal">
      <formula>"STOP"</formula>
    </cfRule>
    <cfRule type="expression" dxfId="1641" priority="1301">
      <formula>X56&gt;F56*100</formula>
    </cfRule>
    <cfRule type="cellIs" dxfId="1640" priority="1303" operator="equal">
      <formula>0</formula>
    </cfRule>
  </conditionalFormatting>
  <conditionalFormatting sqref="W56">
    <cfRule type="cellIs" dxfId="1639" priority="1302" operator="equal">
      <formula>"TRAILING"</formula>
    </cfRule>
  </conditionalFormatting>
  <conditionalFormatting sqref="W59">
    <cfRule type="cellIs" dxfId="1638" priority="1296" operator="equal">
      <formula>"STOP"</formula>
    </cfRule>
    <cfRule type="expression" dxfId="1637" priority="1297">
      <formula>X59&gt;F59*100</formula>
    </cfRule>
    <cfRule type="cellIs" dxfId="1636" priority="1299" operator="equal">
      <formula>0</formula>
    </cfRule>
  </conditionalFormatting>
  <conditionalFormatting sqref="W59">
    <cfRule type="cellIs" dxfId="1635" priority="1298" operator="equal">
      <formula>"TRAILING"</formula>
    </cfRule>
  </conditionalFormatting>
  <conditionalFormatting sqref="W58">
    <cfRule type="cellIs" dxfId="1634" priority="1292" operator="equal">
      <formula>"STOP"</formula>
    </cfRule>
    <cfRule type="expression" dxfId="1633" priority="1293">
      <formula>X58&gt;F58*100</formula>
    </cfRule>
    <cfRule type="cellIs" dxfId="1632" priority="1295" operator="equal">
      <formula>0</formula>
    </cfRule>
  </conditionalFormatting>
  <conditionalFormatting sqref="W58">
    <cfRule type="cellIs" dxfId="1631" priority="1294" operator="equal">
      <formula>"TRAILING"</formula>
    </cfRule>
  </conditionalFormatting>
  <conditionalFormatting sqref="W29">
    <cfRule type="cellIs" dxfId="1630" priority="1288" operator="equal">
      <formula>"STOP"</formula>
    </cfRule>
    <cfRule type="expression" dxfId="1629" priority="1289">
      <formula>X29&gt;F29*100</formula>
    </cfRule>
    <cfRule type="cellIs" dxfId="1628" priority="1291" operator="equal">
      <formula>0</formula>
    </cfRule>
  </conditionalFormatting>
  <conditionalFormatting sqref="W29">
    <cfRule type="cellIs" dxfId="1627" priority="1290" operator="equal">
      <formula>"TRAILING"</formula>
    </cfRule>
  </conditionalFormatting>
  <conditionalFormatting sqref="W28">
    <cfRule type="cellIs" dxfId="1626" priority="1284" operator="equal">
      <formula>"STOP"</formula>
    </cfRule>
    <cfRule type="expression" dxfId="1625" priority="1285">
      <formula>X28&gt;F28*100</formula>
    </cfRule>
    <cfRule type="cellIs" dxfId="1624" priority="1287" operator="equal">
      <formula>0</formula>
    </cfRule>
  </conditionalFormatting>
  <conditionalFormatting sqref="W28">
    <cfRule type="cellIs" dxfId="1623" priority="1286" operator="equal">
      <formula>"TRAILING"</formula>
    </cfRule>
  </conditionalFormatting>
  <conditionalFormatting sqref="W27">
    <cfRule type="cellIs" dxfId="1622" priority="1280" operator="equal">
      <formula>"STOP"</formula>
    </cfRule>
    <cfRule type="expression" dxfId="1621" priority="1281">
      <formula>X27&gt;F27*100</formula>
    </cfRule>
    <cfRule type="cellIs" dxfId="1620" priority="1283" operator="equal">
      <formula>0</formula>
    </cfRule>
  </conditionalFormatting>
  <conditionalFormatting sqref="W27">
    <cfRule type="cellIs" dxfId="1619" priority="1282" operator="equal">
      <formula>"TRAILING"</formula>
    </cfRule>
  </conditionalFormatting>
  <conditionalFormatting sqref="W26">
    <cfRule type="cellIs" dxfId="1618" priority="1276" operator="equal">
      <formula>"STOP"</formula>
    </cfRule>
    <cfRule type="expression" dxfId="1617" priority="1277">
      <formula>X26&gt;F26*100</formula>
    </cfRule>
    <cfRule type="cellIs" dxfId="1616" priority="1279" operator="equal">
      <formula>0</formula>
    </cfRule>
  </conditionalFormatting>
  <conditionalFormatting sqref="W26">
    <cfRule type="cellIs" dxfId="1615" priority="1278" operator="equal">
      <formula>"TRAILING"</formula>
    </cfRule>
  </conditionalFormatting>
  <conditionalFormatting sqref="W5">
    <cfRule type="cellIs" dxfId="1614" priority="1272" operator="equal">
      <formula>"STOP"</formula>
    </cfRule>
    <cfRule type="expression" dxfId="1613" priority="1273">
      <formula>X5&gt;F5*100</formula>
    </cfRule>
    <cfRule type="cellIs" dxfId="1612" priority="1275" operator="equal">
      <formula>0</formula>
    </cfRule>
  </conditionalFormatting>
  <conditionalFormatting sqref="W5">
    <cfRule type="cellIs" dxfId="1611" priority="1274" operator="equal">
      <formula>"TRAILING"</formula>
    </cfRule>
  </conditionalFormatting>
  <conditionalFormatting sqref="W4">
    <cfRule type="cellIs" dxfId="1610" priority="1268" operator="equal">
      <formula>"STOP"</formula>
    </cfRule>
    <cfRule type="expression" dxfId="1609" priority="1269">
      <formula>X4&gt;F4*100</formula>
    </cfRule>
    <cfRule type="cellIs" dxfId="1608" priority="1271" operator="equal">
      <formula>0</formula>
    </cfRule>
  </conditionalFormatting>
  <conditionalFormatting sqref="W4">
    <cfRule type="cellIs" dxfId="1607" priority="1270" operator="equal">
      <formula>"TRAILING"</formula>
    </cfRule>
  </conditionalFormatting>
  <conditionalFormatting sqref="W3">
    <cfRule type="cellIs" dxfId="1606" priority="1264" operator="equal">
      <formula>"STOP"</formula>
    </cfRule>
    <cfRule type="expression" dxfId="1605" priority="1265">
      <formula>X3&gt;F3*100</formula>
    </cfRule>
    <cfRule type="cellIs" dxfId="1604" priority="1267" operator="equal">
      <formula>0</formula>
    </cfRule>
  </conditionalFormatting>
  <conditionalFormatting sqref="W3">
    <cfRule type="cellIs" dxfId="1603" priority="1266" operator="equal">
      <formula>"TRAILING"</formula>
    </cfRule>
  </conditionalFormatting>
  <conditionalFormatting sqref="W2">
    <cfRule type="cellIs" dxfId="1602" priority="1260" operator="equal">
      <formula>"STOP"</formula>
    </cfRule>
    <cfRule type="expression" dxfId="1601" priority="1261">
      <formula>X2&gt;F2*100</formula>
    </cfRule>
    <cfRule type="cellIs" dxfId="1600" priority="1263" operator="equal">
      <formula>0</formula>
    </cfRule>
  </conditionalFormatting>
  <conditionalFormatting sqref="W2">
    <cfRule type="cellIs" dxfId="1599" priority="1262" operator="equal">
      <formula>"TRAILING"</formula>
    </cfRule>
  </conditionalFormatting>
  <conditionalFormatting sqref="W9">
    <cfRule type="cellIs" dxfId="1598" priority="1256" operator="equal">
      <formula>"STOP"</formula>
    </cfRule>
    <cfRule type="expression" dxfId="1597" priority="1257">
      <formula>X9&gt;F9*100</formula>
    </cfRule>
    <cfRule type="cellIs" dxfId="1596" priority="1259" operator="equal">
      <formula>0</formula>
    </cfRule>
  </conditionalFormatting>
  <conditionalFormatting sqref="W9">
    <cfRule type="cellIs" dxfId="1595" priority="1258" operator="equal">
      <formula>"TRAILING"</formula>
    </cfRule>
  </conditionalFormatting>
  <conditionalFormatting sqref="W8">
    <cfRule type="cellIs" dxfId="1594" priority="1252" operator="equal">
      <formula>"STOP"</formula>
    </cfRule>
    <cfRule type="expression" dxfId="1593" priority="1253">
      <formula>X8&gt;F8*100</formula>
    </cfRule>
    <cfRule type="cellIs" dxfId="1592" priority="1255" operator="equal">
      <formula>0</formula>
    </cfRule>
  </conditionalFormatting>
  <conditionalFormatting sqref="W8">
    <cfRule type="cellIs" dxfId="1591" priority="1254" operator="equal">
      <formula>"TRAILING"</formula>
    </cfRule>
  </conditionalFormatting>
  <conditionalFormatting sqref="W7">
    <cfRule type="cellIs" dxfId="1590" priority="1248" operator="equal">
      <formula>"STOP"</formula>
    </cfRule>
    <cfRule type="expression" dxfId="1589" priority="1249">
      <formula>X7&gt;F7*100</formula>
    </cfRule>
    <cfRule type="cellIs" dxfId="1588" priority="1251" operator="equal">
      <formula>0</formula>
    </cfRule>
  </conditionalFormatting>
  <conditionalFormatting sqref="W7">
    <cfRule type="cellIs" dxfId="1587" priority="1250" operator="equal">
      <formula>"TRAILING"</formula>
    </cfRule>
  </conditionalFormatting>
  <conditionalFormatting sqref="W6">
    <cfRule type="cellIs" dxfId="1586" priority="1244" operator="equal">
      <formula>"STOP"</formula>
    </cfRule>
    <cfRule type="expression" dxfId="1585" priority="1245">
      <formula>X6&gt;F6*100</formula>
    </cfRule>
    <cfRule type="cellIs" dxfId="1584" priority="1247" operator="equal">
      <formula>0</formula>
    </cfRule>
  </conditionalFormatting>
  <conditionalFormatting sqref="W6">
    <cfRule type="cellIs" dxfId="1583" priority="1246" operator="equal">
      <formula>"TRAILING"</formula>
    </cfRule>
  </conditionalFormatting>
  <conditionalFormatting sqref="W13">
    <cfRule type="cellIs" dxfId="1582" priority="1240" operator="equal">
      <formula>"STOP"</formula>
    </cfRule>
    <cfRule type="expression" dxfId="1581" priority="1241">
      <formula>X13&gt;F13*100</formula>
    </cfRule>
    <cfRule type="cellIs" dxfId="1580" priority="1243" operator="equal">
      <formula>0</formula>
    </cfRule>
  </conditionalFormatting>
  <conditionalFormatting sqref="W13">
    <cfRule type="cellIs" dxfId="1579" priority="1242" operator="equal">
      <formula>"TRAILING"</formula>
    </cfRule>
  </conditionalFormatting>
  <conditionalFormatting sqref="W12">
    <cfRule type="cellIs" dxfId="1578" priority="1236" operator="equal">
      <formula>"STOP"</formula>
    </cfRule>
    <cfRule type="expression" dxfId="1577" priority="1237">
      <formula>X12&gt;F12*100</formula>
    </cfRule>
    <cfRule type="cellIs" dxfId="1576" priority="1239" operator="equal">
      <formula>0</formula>
    </cfRule>
  </conditionalFormatting>
  <conditionalFormatting sqref="W12">
    <cfRule type="cellIs" dxfId="1575" priority="1238" operator="equal">
      <formula>"TRAILING"</formula>
    </cfRule>
  </conditionalFormatting>
  <conditionalFormatting sqref="W11">
    <cfRule type="cellIs" dxfId="1574" priority="1232" operator="equal">
      <formula>"STOP"</formula>
    </cfRule>
    <cfRule type="expression" dxfId="1573" priority="1233">
      <formula>X11&gt;F11*100</formula>
    </cfRule>
    <cfRule type="cellIs" dxfId="1572" priority="1235" operator="equal">
      <formula>0</formula>
    </cfRule>
  </conditionalFormatting>
  <conditionalFormatting sqref="W11">
    <cfRule type="cellIs" dxfId="1571" priority="1234" operator="equal">
      <formula>"TRAILING"</formula>
    </cfRule>
  </conditionalFormatting>
  <conditionalFormatting sqref="W10">
    <cfRule type="cellIs" dxfId="1570" priority="1228" operator="equal">
      <formula>"STOP"</formula>
    </cfRule>
    <cfRule type="expression" dxfId="1569" priority="1229">
      <formula>X10&gt;F10*100</formula>
    </cfRule>
    <cfRule type="cellIs" dxfId="1568" priority="1231" operator="equal">
      <formula>0</formula>
    </cfRule>
  </conditionalFormatting>
  <conditionalFormatting sqref="W10">
    <cfRule type="cellIs" dxfId="1567" priority="1230" operator="equal">
      <formula>"TRAILING"</formula>
    </cfRule>
  </conditionalFormatting>
  <conditionalFormatting sqref="W17">
    <cfRule type="cellIs" dxfId="1566" priority="1224" operator="equal">
      <formula>"STOP"</formula>
    </cfRule>
    <cfRule type="expression" dxfId="1565" priority="1225">
      <formula>X17&gt;F17*100</formula>
    </cfRule>
    <cfRule type="cellIs" dxfId="1564" priority="1227" operator="equal">
      <formula>0</formula>
    </cfRule>
  </conditionalFormatting>
  <conditionalFormatting sqref="W17">
    <cfRule type="cellIs" dxfId="1563" priority="1226" operator="equal">
      <formula>"TRAILING"</formula>
    </cfRule>
  </conditionalFormatting>
  <conditionalFormatting sqref="W16">
    <cfRule type="cellIs" dxfId="1562" priority="1220" operator="equal">
      <formula>"STOP"</formula>
    </cfRule>
    <cfRule type="expression" dxfId="1561" priority="1221">
      <formula>X16&gt;F16*100</formula>
    </cfRule>
    <cfRule type="cellIs" dxfId="1560" priority="1223" operator="equal">
      <formula>0</formula>
    </cfRule>
  </conditionalFormatting>
  <conditionalFormatting sqref="W16">
    <cfRule type="cellIs" dxfId="1559" priority="1222" operator="equal">
      <formula>"TRAILING"</formula>
    </cfRule>
  </conditionalFormatting>
  <conditionalFormatting sqref="W15">
    <cfRule type="cellIs" dxfId="1558" priority="1216" operator="equal">
      <formula>"STOP"</formula>
    </cfRule>
    <cfRule type="expression" dxfId="1557" priority="1217">
      <formula>X15&gt;F15*100</formula>
    </cfRule>
    <cfRule type="cellIs" dxfId="1556" priority="1219" operator="equal">
      <formula>0</formula>
    </cfRule>
  </conditionalFormatting>
  <conditionalFormatting sqref="W15">
    <cfRule type="cellIs" dxfId="1555" priority="1218" operator="equal">
      <formula>"TRAILING"</formula>
    </cfRule>
  </conditionalFormatting>
  <conditionalFormatting sqref="W14">
    <cfRule type="cellIs" dxfId="1554" priority="1212" operator="equal">
      <formula>"STOP"</formula>
    </cfRule>
    <cfRule type="expression" dxfId="1553" priority="1213">
      <formula>X14&gt;F14*100</formula>
    </cfRule>
    <cfRule type="cellIs" dxfId="1552" priority="1215" operator="equal">
      <formula>0</formula>
    </cfRule>
  </conditionalFormatting>
  <conditionalFormatting sqref="W14">
    <cfRule type="cellIs" dxfId="1551" priority="1214" operator="equal">
      <formula>"TRAILING"</formula>
    </cfRule>
  </conditionalFormatting>
  <conditionalFormatting sqref="W21">
    <cfRule type="cellIs" dxfId="1550" priority="1208" operator="equal">
      <formula>"STOP"</formula>
    </cfRule>
    <cfRule type="expression" dxfId="1549" priority="1209">
      <formula>X21&gt;F21*100</formula>
    </cfRule>
    <cfRule type="cellIs" dxfId="1548" priority="1211" operator="equal">
      <formula>0</formula>
    </cfRule>
  </conditionalFormatting>
  <conditionalFormatting sqref="W21">
    <cfRule type="cellIs" dxfId="1547" priority="1210" operator="equal">
      <formula>"TRAILING"</formula>
    </cfRule>
  </conditionalFormatting>
  <conditionalFormatting sqref="W20">
    <cfRule type="cellIs" dxfId="1546" priority="1204" operator="equal">
      <formula>"STOP"</formula>
    </cfRule>
    <cfRule type="expression" dxfId="1545" priority="1205">
      <formula>X20&gt;F20*100</formula>
    </cfRule>
    <cfRule type="cellIs" dxfId="1544" priority="1207" operator="equal">
      <formula>0</formula>
    </cfRule>
  </conditionalFormatting>
  <conditionalFormatting sqref="W20">
    <cfRule type="cellIs" dxfId="1543" priority="1206" operator="equal">
      <formula>"TRAILING"</formula>
    </cfRule>
  </conditionalFormatting>
  <conditionalFormatting sqref="W19">
    <cfRule type="cellIs" dxfId="1542" priority="1200" operator="equal">
      <formula>"STOP"</formula>
    </cfRule>
    <cfRule type="expression" dxfId="1541" priority="1201">
      <formula>X19&gt;F19*100</formula>
    </cfRule>
    <cfRule type="cellIs" dxfId="1540" priority="1203" operator="equal">
      <formula>0</formula>
    </cfRule>
  </conditionalFormatting>
  <conditionalFormatting sqref="W19">
    <cfRule type="cellIs" dxfId="1539" priority="1202" operator="equal">
      <formula>"TRAILING"</formula>
    </cfRule>
  </conditionalFormatting>
  <conditionalFormatting sqref="W18">
    <cfRule type="cellIs" dxfId="1538" priority="1196" operator="equal">
      <formula>"STOP"</formula>
    </cfRule>
    <cfRule type="expression" dxfId="1537" priority="1197">
      <formula>X18&gt;F18*100</formula>
    </cfRule>
    <cfRule type="cellIs" dxfId="1536" priority="1199" operator="equal">
      <formula>0</formula>
    </cfRule>
  </conditionalFormatting>
  <conditionalFormatting sqref="W18">
    <cfRule type="cellIs" dxfId="1535" priority="1198" operator="equal">
      <formula>"TRAILING"</formula>
    </cfRule>
  </conditionalFormatting>
  <conditionalFormatting sqref="W25">
    <cfRule type="cellIs" dxfId="1534" priority="1192" operator="equal">
      <formula>"STOP"</formula>
    </cfRule>
    <cfRule type="expression" dxfId="1533" priority="1193">
      <formula>X25&gt;F25*100</formula>
    </cfRule>
    <cfRule type="cellIs" dxfId="1532" priority="1195" operator="equal">
      <formula>0</formula>
    </cfRule>
  </conditionalFormatting>
  <conditionalFormatting sqref="W25">
    <cfRule type="cellIs" dxfId="1531" priority="1194" operator="equal">
      <formula>"TRAILING"</formula>
    </cfRule>
  </conditionalFormatting>
  <conditionalFormatting sqref="W24">
    <cfRule type="cellIs" dxfId="1530" priority="1188" operator="equal">
      <formula>"STOP"</formula>
    </cfRule>
    <cfRule type="expression" dxfId="1529" priority="1189">
      <formula>X24&gt;F24*100</formula>
    </cfRule>
    <cfRule type="cellIs" dxfId="1528" priority="1191" operator="equal">
      <formula>0</formula>
    </cfRule>
  </conditionalFormatting>
  <conditionalFormatting sqref="W24">
    <cfRule type="cellIs" dxfId="1527" priority="1190" operator="equal">
      <formula>"TRAILING"</formula>
    </cfRule>
  </conditionalFormatting>
  <conditionalFormatting sqref="W23">
    <cfRule type="cellIs" dxfId="1526" priority="1184" operator="equal">
      <formula>"STOP"</formula>
    </cfRule>
    <cfRule type="expression" dxfId="1525" priority="1185">
      <formula>X23&gt;F23*100</formula>
    </cfRule>
    <cfRule type="cellIs" dxfId="1524" priority="1187" operator="equal">
      <formula>0</formula>
    </cfRule>
  </conditionalFormatting>
  <conditionalFormatting sqref="W23">
    <cfRule type="cellIs" dxfId="1523" priority="1186" operator="equal">
      <formula>"TRAILING"</formula>
    </cfRule>
  </conditionalFormatting>
  <conditionalFormatting sqref="W22">
    <cfRule type="cellIs" dxfId="1522" priority="1180" operator="equal">
      <formula>"STOP"</formula>
    </cfRule>
    <cfRule type="expression" dxfId="1521" priority="1181">
      <formula>X22&gt;F22*100</formula>
    </cfRule>
    <cfRule type="cellIs" dxfId="1520" priority="1183" operator="equal">
      <formula>0</formula>
    </cfRule>
  </conditionalFormatting>
  <conditionalFormatting sqref="W22">
    <cfRule type="cellIs" dxfId="1519" priority="1182" operator="equal">
      <formula>"TRAILING"</formula>
    </cfRule>
  </conditionalFormatting>
  <conditionalFormatting sqref="AB30:AB49">
    <cfRule type="cellIs" dxfId="1518" priority="1178" operator="lessThan">
      <formula>0</formula>
    </cfRule>
    <cfRule type="cellIs" dxfId="1517" priority="1179" operator="greaterThan">
      <formula>0</formula>
    </cfRule>
  </conditionalFormatting>
  <conditionalFormatting sqref="AB50:AB54">
    <cfRule type="cellIs" dxfId="1516" priority="1174" operator="lessThan">
      <formula>0</formula>
    </cfRule>
    <cfRule type="cellIs" dxfId="1515" priority="1175" operator="greaterThan">
      <formula>0</formula>
    </cfRule>
  </conditionalFormatting>
  <conditionalFormatting sqref="AB55:AB59">
    <cfRule type="cellIs" dxfId="1514" priority="1172" operator="lessThan">
      <formula>0</formula>
    </cfRule>
    <cfRule type="cellIs" dxfId="1513" priority="1173" operator="greaterThan">
      <formula>0</formula>
    </cfRule>
  </conditionalFormatting>
  <conditionalFormatting sqref="AB60:AB199">
    <cfRule type="cellIs" dxfId="1512" priority="1170" operator="lessThan">
      <formula>0</formula>
    </cfRule>
    <cfRule type="cellIs" dxfId="1511" priority="1171" operator="greaterThan">
      <formula>0</formula>
    </cfRule>
  </conditionalFormatting>
  <conditionalFormatting sqref="AB28:AB29">
    <cfRule type="cellIs" dxfId="1510" priority="1168" operator="lessThan">
      <formula>0</formula>
    </cfRule>
    <cfRule type="cellIs" dxfId="1509" priority="1169" operator="greaterThan">
      <formula>0</formula>
    </cfRule>
  </conditionalFormatting>
  <conditionalFormatting sqref="AB2:AB25">
    <cfRule type="cellIs" dxfId="1508" priority="1164" operator="lessThan">
      <formula>0</formula>
    </cfRule>
    <cfRule type="cellIs" dxfId="1507" priority="1165" operator="greaterThan">
      <formula>0</formula>
    </cfRule>
  </conditionalFormatting>
  <conditionalFormatting sqref="W1">
    <cfRule type="cellIs" dxfId="1506" priority="1163" operator="equal">
      <formula>"TRAILING"</formula>
    </cfRule>
  </conditionalFormatting>
  <conditionalFormatting sqref="A30">
    <cfRule type="expression" dxfId="1505" priority="1128">
      <formula>V30&lt;&gt;""</formula>
    </cfRule>
    <cfRule type="expression" dxfId="1504" priority="1129">
      <formula>D30&lt;F30</formula>
    </cfRule>
    <cfRule type="expression" dxfId="1503" priority="1130">
      <formula>C30&gt;F30</formula>
    </cfRule>
  </conditionalFormatting>
  <conditionalFormatting sqref="U60:U157">
    <cfRule type="cellIs" dxfId="1502" priority="1070" operator="equal">
      <formula>0</formula>
    </cfRule>
  </conditionalFormatting>
  <conditionalFormatting sqref="U158:U199">
    <cfRule type="cellIs" dxfId="1501" priority="1069" operator="equal">
      <formula>0</formula>
    </cfRule>
  </conditionalFormatting>
  <conditionalFormatting sqref="A60">
    <cfRule type="expression" dxfId="1500" priority="1066">
      <formula>V60&lt;&gt;""</formula>
    </cfRule>
    <cfRule type="expression" dxfId="1499" priority="1067">
      <formula>D60&lt;F60</formula>
    </cfRule>
    <cfRule type="expression" dxfId="1498" priority="1068">
      <formula>C60&gt;=F60</formula>
    </cfRule>
  </conditionalFormatting>
  <conditionalFormatting sqref="A61">
    <cfRule type="expression" dxfId="1497" priority="1063">
      <formula>V61&lt;&gt;""</formula>
    </cfRule>
    <cfRule type="expression" dxfId="1496" priority="1064">
      <formula>D61&lt;F61</formula>
    </cfRule>
    <cfRule type="expression" dxfId="1495" priority="1065">
      <formula>C61&gt;=F61</formula>
    </cfRule>
  </conditionalFormatting>
  <conditionalFormatting sqref="D62">
    <cfRule type="expression" dxfId="1494" priority="1062">
      <formula>E62&gt;B62</formula>
    </cfRule>
  </conditionalFormatting>
  <conditionalFormatting sqref="C62">
    <cfRule type="expression" dxfId="1493" priority="1061">
      <formula>B62&gt;E62</formula>
    </cfRule>
  </conditionalFormatting>
  <conditionalFormatting sqref="B62">
    <cfRule type="cellIs" dxfId="1492" priority="1060" operator="greaterThan">
      <formula>E62</formula>
    </cfRule>
  </conditionalFormatting>
  <conditionalFormatting sqref="E62">
    <cfRule type="cellIs" dxfId="1491" priority="1059" operator="greaterThan">
      <formula>B62</formula>
    </cfRule>
  </conditionalFormatting>
  <conditionalFormatting sqref="D63">
    <cfRule type="expression" dxfId="1490" priority="1058">
      <formula>E63&gt;B63</formula>
    </cfRule>
  </conditionalFormatting>
  <conditionalFormatting sqref="C63">
    <cfRule type="expression" dxfId="1489" priority="1057">
      <formula>B63&gt;E63</formula>
    </cfRule>
  </conditionalFormatting>
  <conditionalFormatting sqref="B63">
    <cfRule type="cellIs" dxfId="1488" priority="1056" operator="greaterThan">
      <formula>E63</formula>
    </cfRule>
  </conditionalFormatting>
  <conditionalFormatting sqref="E63">
    <cfRule type="cellIs" dxfId="1487" priority="1055" operator="greaterThan">
      <formula>B63</formula>
    </cfRule>
  </conditionalFormatting>
  <conditionalFormatting sqref="D64">
    <cfRule type="expression" dxfId="1486" priority="1054">
      <formula>E64&gt;B64</formula>
    </cfRule>
  </conditionalFormatting>
  <conditionalFormatting sqref="C64">
    <cfRule type="expression" dxfId="1485" priority="1053">
      <formula>B64&gt;E64</formula>
    </cfRule>
  </conditionalFormatting>
  <conditionalFormatting sqref="B64">
    <cfRule type="cellIs" dxfId="1484" priority="1052" operator="greaterThan">
      <formula>E64</formula>
    </cfRule>
  </conditionalFormatting>
  <conditionalFormatting sqref="E64">
    <cfRule type="cellIs" dxfId="1483" priority="1051" operator="greaterThan">
      <formula>B64</formula>
    </cfRule>
  </conditionalFormatting>
  <conditionalFormatting sqref="D65">
    <cfRule type="expression" dxfId="1482" priority="1050">
      <formula>E65&gt;B65</formula>
    </cfRule>
  </conditionalFormatting>
  <conditionalFormatting sqref="C65">
    <cfRule type="expression" dxfId="1481" priority="1049">
      <formula>B65&gt;E65</formula>
    </cfRule>
  </conditionalFormatting>
  <conditionalFormatting sqref="B65">
    <cfRule type="cellIs" dxfId="1480" priority="1048" operator="greaterThan">
      <formula>E65</formula>
    </cfRule>
  </conditionalFormatting>
  <conditionalFormatting sqref="E65">
    <cfRule type="cellIs" dxfId="1479" priority="1047" operator="greaterThan">
      <formula>B65</formula>
    </cfRule>
  </conditionalFormatting>
  <conditionalFormatting sqref="D66">
    <cfRule type="expression" dxfId="1478" priority="1046">
      <formula>E66&gt;B66</formula>
    </cfRule>
  </conditionalFormatting>
  <conditionalFormatting sqref="C66">
    <cfRule type="expression" dxfId="1477" priority="1045">
      <formula>B66&gt;E66</formula>
    </cfRule>
  </conditionalFormatting>
  <conditionalFormatting sqref="B66">
    <cfRule type="cellIs" dxfId="1476" priority="1044" operator="greaterThan">
      <formula>E66</formula>
    </cfRule>
  </conditionalFormatting>
  <conditionalFormatting sqref="E66">
    <cfRule type="cellIs" dxfId="1475" priority="1043" operator="greaterThan">
      <formula>B66</formula>
    </cfRule>
  </conditionalFormatting>
  <conditionalFormatting sqref="D67">
    <cfRule type="expression" dxfId="1474" priority="1042">
      <formula>E67&gt;B67</formula>
    </cfRule>
  </conditionalFormatting>
  <conditionalFormatting sqref="C67">
    <cfRule type="expression" dxfId="1473" priority="1041">
      <formula>B67&gt;E67</formula>
    </cfRule>
  </conditionalFormatting>
  <conditionalFormatting sqref="B67">
    <cfRule type="cellIs" dxfId="1472" priority="1040" operator="greaterThan">
      <formula>E67</formula>
    </cfRule>
  </conditionalFormatting>
  <conditionalFormatting sqref="E67">
    <cfRule type="cellIs" dxfId="1471" priority="1039" operator="greaterThan">
      <formula>B67</formula>
    </cfRule>
  </conditionalFormatting>
  <conditionalFormatting sqref="D68">
    <cfRule type="expression" dxfId="1470" priority="1038">
      <formula>E68&gt;B68</formula>
    </cfRule>
  </conditionalFormatting>
  <conditionalFormatting sqref="C68">
    <cfRule type="expression" dxfId="1469" priority="1037">
      <formula>B68&gt;E68</formula>
    </cfRule>
  </conditionalFormatting>
  <conditionalFormatting sqref="B68">
    <cfRule type="cellIs" dxfId="1468" priority="1036" operator="greaterThan">
      <formula>E68</formula>
    </cfRule>
  </conditionalFormatting>
  <conditionalFormatting sqref="E68">
    <cfRule type="cellIs" dxfId="1467" priority="1035" operator="greaterThan">
      <formula>B68</formula>
    </cfRule>
  </conditionalFormatting>
  <conditionalFormatting sqref="D69">
    <cfRule type="expression" dxfId="1466" priority="1034">
      <formula>E69&gt;B69</formula>
    </cfRule>
  </conditionalFormatting>
  <conditionalFormatting sqref="C69">
    <cfRule type="expression" dxfId="1465" priority="1033">
      <formula>B69&gt;E69</formula>
    </cfRule>
  </conditionalFormatting>
  <conditionalFormatting sqref="B69">
    <cfRule type="cellIs" dxfId="1464" priority="1032" operator="greaterThan">
      <formula>E69</formula>
    </cfRule>
  </conditionalFormatting>
  <conditionalFormatting sqref="E69">
    <cfRule type="cellIs" dxfId="1463" priority="1031" operator="greaterThan">
      <formula>B69</formula>
    </cfRule>
  </conditionalFormatting>
  <conditionalFormatting sqref="D70">
    <cfRule type="expression" dxfId="1462" priority="1030">
      <formula>E70&gt;B70</formula>
    </cfRule>
  </conditionalFormatting>
  <conditionalFormatting sqref="C70">
    <cfRule type="expression" dxfId="1461" priority="1029">
      <formula>B70&gt;E70</formula>
    </cfRule>
  </conditionalFormatting>
  <conditionalFormatting sqref="B70">
    <cfRule type="cellIs" dxfId="1460" priority="1028" operator="greaterThan">
      <formula>E70</formula>
    </cfRule>
  </conditionalFormatting>
  <conditionalFormatting sqref="E70">
    <cfRule type="cellIs" dxfId="1459" priority="1027" operator="greaterThan">
      <formula>B70</formula>
    </cfRule>
  </conditionalFormatting>
  <conditionalFormatting sqref="D71">
    <cfRule type="expression" dxfId="1458" priority="1026">
      <formula>E71&gt;B71</formula>
    </cfRule>
  </conditionalFormatting>
  <conditionalFormatting sqref="C71">
    <cfRule type="expression" dxfId="1457" priority="1025">
      <formula>B71&gt;E71</formula>
    </cfRule>
  </conditionalFormatting>
  <conditionalFormatting sqref="B71">
    <cfRule type="cellIs" dxfId="1456" priority="1024" operator="greaterThan">
      <formula>E71</formula>
    </cfRule>
  </conditionalFormatting>
  <conditionalFormatting sqref="E71">
    <cfRule type="cellIs" dxfId="1455" priority="1023" operator="greaterThan">
      <formula>B71</formula>
    </cfRule>
  </conditionalFormatting>
  <conditionalFormatting sqref="D72">
    <cfRule type="expression" dxfId="1454" priority="1022">
      <formula>E72&gt;B72</formula>
    </cfRule>
  </conditionalFormatting>
  <conditionalFormatting sqref="C72">
    <cfRule type="expression" dxfId="1453" priority="1021">
      <formula>B72&gt;E72</formula>
    </cfRule>
  </conditionalFormatting>
  <conditionalFormatting sqref="B72">
    <cfRule type="cellIs" dxfId="1452" priority="1020" operator="greaterThan">
      <formula>E72</formula>
    </cfRule>
  </conditionalFormatting>
  <conditionalFormatting sqref="E72">
    <cfRule type="cellIs" dxfId="1451" priority="1019" operator="greaterThan">
      <formula>B72</formula>
    </cfRule>
  </conditionalFormatting>
  <conditionalFormatting sqref="D73">
    <cfRule type="expression" dxfId="1450" priority="1018">
      <formula>E73&gt;B73</formula>
    </cfRule>
  </conditionalFormatting>
  <conditionalFormatting sqref="C73">
    <cfRule type="expression" dxfId="1449" priority="1017">
      <formula>B73&gt;E73</formula>
    </cfRule>
  </conditionalFormatting>
  <conditionalFormatting sqref="B73">
    <cfRule type="cellIs" dxfId="1448" priority="1016" operator="greaterThan">
      <formula>E73</formula>
    </cfRule>
  </conditionalFormatting>
  <conditionalFormatting sqref="E73">
    <cfRule type="cellIs" dxfId="1447" priority="1015" operator="greaterThan">
      <formula>B73</formula>
    </cfRule>
  </conditionalFormatting>
  <conditionalFormatting sqref="D74">
    <cfRule type="expression" dxfId="1446" priority="1014">
      <formula>E74&gt;B74</formula>
    </cfRule>
  </conditionalFormatting>
  <conditionalFormatting sqref="C74">
    <cfRule type="expression" dxfId="1445" priority="1013">
      <formula>B74&gt;E74</formula>
    </cfRule>
  </conditionalFormatting>
  <conditionalFormatting sqref="B74">
    <cfRule type="cellIs" dxfId="1444" priority="1012" operator="greaterThan">
      <formula>E74</formula>
    </cfRule>
  </conditionalFormatting>
  <conditionalFormatting sqref="E74">
    <cfRule type="cellIs" dxfId="1443" priority="1011" operator="greaterThan">
      <formula>B74</formula>
    </cfRule>
  </conditionalFormatting>
  <conditionalFormatting sqref="D75">
    <cfRule type="expression" dxfId="1442" priority="1010">
      <formula>E75&gt;B75</formula>
    </cfRule>
  </conditionalFormatting>
  <conditionalFormatting sqref="C75">
    <cfRule type="expression" dxfId="1441" priority="1009">
      <formula>B75&gt;E75</formula>
    </cfRule>
  </conditionalFormatting>
  <conditionalFormatting sqref="B75">
    <cfRule type="cellIs" dxfId="1440" priority="1008" operator="greaterThan">
      <formula>E75</formula>
    </cfRule>
  </conditionalFormatting>
  <conditionalFormatting sqref="E75">
    <cfRule type="cellIs" dxfId="1439" priority="1007" operator="greaterThan">
      <formula>B75</formula>
    </cfRule>
  </conditionalFormatting>
  <conditionalFormatting sqref="D76">
    <cfRule type="expression" dxfId="1438" priority="1006">
      <formula>E76&gt;B76</formula>
    </cfRule>
  </conditionalFormatting>
  <conditionalFormatting sqref="C76">
    <cfRule type="expression" dxfId="1437" priority="1005">
      <formula>B76&gt;E76</formula>
    </cfRule>
  </conditionalFormatting>
  <conditionalFormatting sqref="B76">
    <cfRule type="cellIs" dxfId="1436" priority="1004" operator="greaterThan">
      <formula>E76</formula>
    </cfRule>
  </conditionalFormatting>
  <conditionalFormatting sqref="E76">
    <cfRule type="cellIs" dxfId="1435" priority="1003" operator="greaterThan">
      <formula>B76</formula>
    </cfRule>
  </conditionalFormatting>
  <conditionalFormatting sqref="D77">
    <cfRule type="expression" dxfId="1434" priority="1002">
      <formula>E77&gt;B77</formula>
    </cfRule>
  </conditionalFormatting>
  <conditionalFormatting sqref="C77">
    <cfRule type="expression" dxfId="1433" priority="1001">
      <formula>B77&gt;E77</formula>
    </cfRule>
  </conditionalFormatting>
  <conditionalFormatting sqref="B77">
    <cfRule type="cellIs" dxfId="1432" priority="1000" operator="greaterThan">
      <formula>E77</formula>
    </cfRule>
  </conditionalFormatting>
  <conditionalFormatting sqref="E77">
    <cfRule type="cellIs" dxfId="1431" priority="999" operator="greaterThan">
      <formula>B77</formula>
    </cfRule>
  </conditionalFormatting>
  <conditionalFormatting sqref="D78">
    <cfRule type="expression" dxfId="1430" priority="998">
      <formula>E78&gt;B78</formula>
    </cfRule>
  </conditionalFormatting>
  <conditionalFormatting sqref="C78">
    <cfRule type="expression" dxfId="1429" priority="997">
      <formula>B78&gt;E78</formula>
    </cfRule>
  </conditionalFormatting>
  <conditionalFormatting sqref="B78">
    <cfRule type="cellIs" dxfId="1428" priority="996" operator="greaterThan">
      <formula>E78</formula>
    </cfRule>
  </conditionalFormatting>
  <conditionalFormatting sqref="E78">
    <cfRule type="cellIs" dxfId="1427" priority="995" operator="greaterThan">
      <formula>B78</formula>
    </cfRule>
  </conditionalFormatting>
  <conditionalFormatting sqref="D79">
    <cfRule type="expression" dxfId="1426" priority="994">
      <formula>E79&gt;B79</formula>
    </cfRule>
  </conditionalFormatting>
  <conditionalFormatting sqref="C79">
    <cfRule type="expression" dxfId="1425" priority="993">
      <formula>B79&gt;E79</formula>
    </cfRule>
  </conditionalFormatting>
  <conditionalFormatting sqref="B79">
    <cfRule type="cellIs" dxfId="1424" priority="992" operator="greaterThan">
      <formula>E79</formula>
    </cfRule>
  </conditionalFormatting>
  <conditionalFormatting sqref="E79">
    <cfRule type="cellIs" dxfId="1423" priority="991" operator="greaterThan">
      <formula>B79</formula>
    </cfRule>
  </conditionalFormatting>
  <conditionalFormatting sqref="D80">
    <cfRule type="expression" dxfId="1422" priority="990">
      <formula>E80&gt;B80</formula>
    </cfRule>
  </conditionalFormatting>
  <conditionalFormatting sqref="C80">
    <cfRule type="expression" dxfId="1421" priority="989">
      <formula>B80&gt;E80</formula>
    </cfRule>
  </conditionalFormatting>
  <conditionalFormatting sqref="B80">
    <cfRule type="cellIs" dxfId="1420" priority="988" operator="greaterThan">
      <formula>E80</formula>
    </cfRule>
  </conditionalFormatting>
  <conditionalFormatting sqref="E80">
    <cfRule type="cellIs" dxfId="1419" priority="987" operator="greaterThan">
      <formula>B80</formula>
    </cfRule>
  </conditionalFormatting>
  <conditionalFormatting sqref="D81">
    <cfRule type="expression" dxfId="1418" priority="986">
      <formula>E81&gt;B81</formula>
    </cfRule>
  </conditionalFormatting>
  <conditionalFormatting sqref="C81">
    <cfRule type="expression" dxfId="1417" priority="985">
      <formula>B81&gt;E81</formula>
    </cfRule>
  </conditionalFormatting>
  <conditionalFormatting sqref="B81">
    <cfRule type="cellIs" dxfId="1416" priority="984" operator="greaterThan">
      <formula>E81</formula>
    </cfRule>
  </conditionalFormatting>
  <conditionalFormatting sqref="E81">
    <cfRule type="cellIs" dxfId="1415" priority="983" operator="greaterThan">
      <formula>B81</formula>
    </cfRule>
  </conditionalFormatting>
  <conditionalFormatting sqref="D82">
    <cfRule type="expression" dxfId="1414" priority="982">
      <formula>E82&gt;B82</formula>
    </cfRule>
  </conditionalFormatting>
  <conditionalFormatting sqref="C82">
    <cfRule type="expression" dxfId="1413" priority="981">
      <formula>B82&gt;E82</formula>
    </cfRule>
  </conditionalFormatting>
  <conditionalFormatting sqref="B82">
    <cfRule type="cellIs" dxfId="1412" priority="980" operator="greaterThan">
      <formula>E82</formula>
    </cfRule>
  </conditionalFormatting>
  <conditionalFormatting sqref="E82">
    <cfRule type="cellIs" dxfId="1411" priority="979" operator="greaterThan">
      <formula>B82</formula>
    </cfRule>
  </conditionalFormatting>
  <conditionalFormatting sqref="D83">
    <cfRule type="expression" dxfId="1410" priority="978">
      <formula>E83&gt;B83</formula>
    </cfRule>
  </conditionalFormatting>
  <conditionalFormatting sqref="C83">
    <cfRule type="expression" dxfId="1409" priority="977">
      <formula>B83&gt;E83</formula>
    </cfRule>
  </conditionalFormatting>
  <conditionalFormatting sqref="B83">
    <cfRule type="cellIs" dxfId="1408" priority="976" operator="greaterThan">
      <formula>E83</formula>
    </cfRule>
  </conditionalFormatting>
  <conditionalFormatting sqref="E83">
    <cfRule type="cellIs" dxfId="1407" priority="975" operator="greaterThan">
      <formula>B83</formula>
    </cfRule>
  </conditionalFormatting>
  <conditionalFormatting sqref="D84">
    <cfRule type="expression" dxfId="1406" priority="974">
      <formula>E84&gt;B84</formula>
    </cfRule>
  </conditionalFormatting>
  <conditionalFormatting sqref="C84">
    <cfRule type="expression" dxfId="1405" priority="973">
      <formula>B84&gt;E84</formula>
    </cfRule>
  </conditionalFormatting>
  <conditionalFormatting sqref="B84">
    <cfRule type="cellIs" dxfId="1404" priority="972" operator="greaterThan">
      <formula>E84</formula>
    </cfRule>
  </conditionalFormatting>
  <conditionalFormatting sqref="E84">
    <cfRule type="cellIs" dxfId="1403" priority="971" operator="greaterThan">
      <formula>B84</formula>
    </cfRule>
  </conditionalFormatting>
  <conditionalFormatting sqref="D85">
    <cfRule type="expression" dxfId="1402" priority="970">
      <formula>E85&gt;B85</formula>
    </cfRule>
  </conditionalFormatting>
  <conditionalFormatting sqref="C85">
    <cfRule type="expression" dxfId="1401" priority="969">
      <formula>B85&gt;E85</formula>
    </cfRule>
  </conditionalFormatting>
  <conditionalFormatting sqref="B85">
    <cfRule type="cellIs" dxfId="1400" priority="968" operator="greaterThan">
      <formula>E85</formula>
    </cfRule>
  </conditionalFormatting>
  <conditionalFormatting sqref="E85">
    <cfRule type="cellIs" dxfId="1399" priority="967" operator="greaterThan">
      <formula>B85</formula>
    </cfRule>
  </conditionalFormatting>
  <conditionalFormatting sqref="D86">
    <cfRule type="expression" dxfId="1398" priority="966">
      <formula>E86&gt;B86</formula>
    </cfRule>
  </conditionalFormatting>
  <conditionalFormatting sqref="C86">
    <cfRule type="expression" dxfId="1397" priority="965">
      <formula>B86&gt;E86</formula>
    </cfRule>
  </conditionalFormatting>
  <conditionalFormatting sqref="B86">
    <cfRule type="cellIs" dxfId="1396" priority="964" operator="greaterThan">
      <formula>E86</formula>
    </cfRule>
  </conditionalFormatting>
  <conditionalFormatting sqref="E86">
    <cfRule type="cellIs" dxfId="1395" priority="963" operator="greaterThan">
      <formula>B86</formula>
    </cfRule>
  </conditionalFormatting>
  <conditionalFormatting sqref="D87">
    <cfRule type="expression" dxfId="1394" priority="962">
      <formula>E87&gt;B87</formula>
    </cfRule>
  </conditionalFormatting>
  <conditionalFormatting sqref="C87">
    <cfRule type="expression" dxfId="1393" priority="961">
      <formula>B87&gt;E87</formula>
    </cfRule>
  </conditionalFormatting>
  <conditionalFormatting sqref="B87">
    <cfRule type="cellIs" dxfId="1392" priority="960" operator="greaterThan">
      <formula>E87</formula>
    </cfRule>
  </conditionalFormatting>
  <conditionalFormatting sqref="E87">
    <cfRule type="cellIs" dxfId="1391" priority="959" operator="greaterThan">
      <formula>B87</formula>
    </cfRule>
  </conditionalFormatting>
  <conditionalFormatting sqref="D88">
    <cfRule type="expression" dxfId="1390" priority="958">
      <formula>E88&gt;B88</formula>
    </cfRule>
  </conditionalFormatting>
  <conditionalFormatting sqref="C88">
    <cfRule type="expression" dxfId="1389" priority="957">
      <formula>B88&gt;E88</formula>
    </cfRule>
  </conditionalFormatting>
  <conditionalFormatting sqref="B88">
    <cfRule type="cellIs" dxfId="1388" priority="956" operator="greaterThan">
      <formula>E88</formula>
    </cfRule>
  </conditionalFormatting>
  <conditionalFormatting sqref="E88">
    <cfRule type="cellIs" dxfId="1387" priority="955" operator="greaterThan">
      <formula>B88</formula>
    </cfRule>
  </conditionalFormatting>
  <conditionalFormatting sqref="D89">
    <cfRule type="expression" dxfId="1386" priority="954">
      <formula>E89&gt;B89</formula>
    </cfRule>
  </conditionalFormatting>
  <conditionalFormatting sqref="C89">
    <cfRule type="expression" dxfId="1385" priority="953">
      <formula>B89&gt;E89</formula>
    </cfRule>
  </conditionalFormatting>
  <conditionalFormatting sqref="B89">
    <cfRule type="cellIs" dxfId="1384" priority="952" operator="greaterThan">
      <formula>E89</formula>
    </cfRule>
  </conditionalFormatting>
  <conditionalFormatting sqref="E89">
    <cfRule type="cellIs" dxfId="1383" priority="951" operator="greaterThan">
      <formula>B89</formula>
    </cfRule>
  </conditionalFormatting>
  <conditionalFormatting sqref="D90">
    <cfRule type="expression" dxfId="1382" priority="950">
      <formula>E90&gt;B90</formula>
    </cfRule>
  </conditionalFormatting>
  <conditionalFormatting sqref="C90">
    <cfRule type="expression" dxfId="1381" priority="949">
      <formula>B90&gt;E90</formula>
    </cfRule>
  </conditionalFormatting>
  <conditionalFormatting sqref="B90">
    <cfRule type="cellIs" dxfId="1380" priority="948" operator="greaterThan">
      <formula>E90</formula>
    </cfRule>
  </conditionalFormatting>
  <conditionalFormatting sqref="E90">
    <cfRule type="cellIs" dxfId="1379" priority="947" operator="greaterThan">
      <formula>B90</formula>
    </cfRule>
  </conditionalFormatting>
  <conditionalFormatting sqref="D91">
    <cfRule type="expression" dxfId="1378" priority="946">
      <formula>E91&gt;B91</formula>
    </cfRule>
  </conditionalFormatting>
  <conditionalFormatting sqref="C91">
    <cfRule type="expression" dxfId="1377" priority="945">
      <formula>B91&gt;E91</formula>
    </cfRule>
  </conditionalFormatting>
  <conditionalFormatting sqref="B91">
    <cfRule type="cellIs" dxfId="1376" priority="944" operator="greaterThan">
      <formula>E91</formula>
    </cfRule>
  </conditionalFormatting>
  <conditionalFormatting sqref="E91">
    <cfRule type="cellIs" dxfId="1375" priority="943" operator="greaterThan">
      <formula>B91</formula>
    </cfRule>
  </conditionalFormatting>
  <conditionalFormatting sqref="D92">
    <cfRule type="expression" dxfId="1374" priority="942">
      <formula>E92&gt;B92</formula>
    </cfRule>
  </conditionalFormatting>
  <conditionalFormatting sqref="C92">
    <cfRule type="expression" dxfId="1373" priority="941">
      <formula>B92&gt;E92</formula>
    </cfRule>
  </conditionalFormatting>
  <conditionalFormatting sqref="B92">
    <cfRule type="cellIs" dxfId="1372" priority="940" operator="greaterThan">
      <formula>E92</formula>
    </cfRule>
  </conditionalFormatting>
  <conditionalFormatting sqref="E92">
    <cfRule type="cellIs" dxfId="1371" priority="939" operator="greaterThan">
      <formula>B92</formula>
    </cfRule>
  </conditionalFormatting>
  <conditionalFormatting sqref="D93">
    <cfRule type="expression" dxfId="1370" priority="938">
      <formula>E93&gt;B93</formula>
    </cfRule>
  </conditionalFormatting>
  <conditionalFormatting sqref="C93">
    <cfRule type="expression" dxfId="1369" priority="937">
      <formula>B93&gt;E93</formula>
    </cfRule>
  </conditionalFormatting>
  <conditionalFormatting sqref="B93">
    <cfRule type="cellIs" dxfId="1368" priority="936" operator="greaterThan">
      <formula>E93</formula>
    </cfRule>
  </conditionalFormatting>
  <conditionalFormatting sqref="E93">
    <cfRule type="cellIs" dxfId="1367" priority="935" operator="greaterThan">
      <formula>B93</formula>
    </cfRule>
  </conditionalFormatting>
  <conditionalFormatting sqref="D94">
    <cfRule type="expression" dxfId="1366" priority="934">
      <formula>E94&gt;B94</formula>
    </cfRule>
  </conditionalFormatting>
  <conditionalFormatting sqref="C94">
    <cfRule type="expression" dxfId="1365" priority="933">
      <formula>B94&gt;E94</formula>
    </cfRule>
  </conditionalFormatting>
  <conditionalFormatting sqref="B94">
    <cfRule type="cellIs" dxfId="1364" priority="932" operator="greaterThan">
      <formula>E94</formula>
    </cfRule>
  </conditionalFormatting>
  <conditionalFormatting sqref="E94">
    <cfRule type="cellIs" dxfId="1363" priority="931" operator="greaterThan">
      <formula>B94</formula>
    </cfRule>
  </conditionalFormatting>
  <conditionalFormatting sqref="D95">
    <cfRule type="expression" dxfId="1362" priority="930">
      <formula>E95&gt;B95</formula>
    </cfRule>
  </conditionalFormatting>
  <conditionalFormatting sqref="C95">
    <cfRule type="expression" dxfId="1361" priority="929">
      <formula>B95&gt;E95</formula>
    </cfRule>
  </conditionalFormatting>
  <conditionalFormatting sqref="B95">
    <cfRule type="cellIs" dxfId="1360" priority="928" operator="greaterThan">
      <formula>E95</formula>
    </cfRule>
  </conditionalFormatting>
  <conditionalFormatting sqref="E95">
    <cfRule type="cellIs" dxfId="1359" priority="927" operator="greaterThan">
      <formula>B95</formula>
    </cfRule>
  </conditionalFormatting>
  <conditionalFormatting sqref="D96">
    <cfRule type="expression" dxfId="1358" priority="926">
      <formula>E96&gt;B96</formula>
    </cfRule>
  </conditionalFormatting>
  <conditionalFormatting sqref="C96">
    <cfRule type="expression" dxfId="1357" priority="925">
      <formula>B96&gt;E96</formula>
    </cfRule>
  </conditionalFormatting>
  <conditionalFormatting sqref="B96">
    <cfRule type="cellIs" dxfId="1356" priority="924" operator="greaterThan">
      <formula>E96</formula>
    </cfRule>
  </conditionalFormatting>
  <conditionalFormatting sqref="E96">
    <cfRule type="cellIs" dxfId="1355" priority="923" operator="greaterThan">
      <formula>B96</formula>
    </cfRule>
  </conditionalFormatting>
  <conditionalFormatting sqref="D97">
    <cfRule type="expression" dxfId="1354" priority="922">
      <formula>E97&gt;B97</formula>
    </cfRule>
  </conditionalFormatting>
  <conditionalFormatting sqref="C97">
    <cfRule type="expression" dxfId="1353" priority="921">
      <formula>B97&gt;E97</formula>
    </cfRule>
  </conditionalFormatting>
  <conditionalFormatting sqref="B97">
    <cfRule type="cellIs" dxfId="1352" priority="920" operator="greaterThan">
      <formula>E97</formula>
    </cfRule>
  </conditionalFormatting>
  <conditionalFormatting sqref="E97">
    <cfRule type="cellIs" dxfId="1351" priority="919" operator="greaterThan">
      <formula>B97</formula>
    </cfRule>
  </conditionalFormatting>
  <conditionalFormatting sqref="D98">
    <cfRule type="expression" dxfId="1350" priority="918">
      <formula>E98&gt;B98</formula>
    </cfRule>
  </conditionalFormatting>
  <conditionalFormatting sqref="C98">
    <cfRule type="expression" dxfId="1349" priority="917">
      <formula>B98&gt;E98</formula>
    </cfRule>
  </conditionalFormatting>
  <conditionalFormatting sqref="B98">
    <cfRule type="cellIs" dxfId="1348" priority="916" operator="greaterThan">
      <formula>E98</formula>
    </cfRule>
  </conditionalFormatting>
  <conditionalFormatting sqref="E98">
    <cfRule type="cellIs" dxfId="1347" priority="915" operator="greaterThan">
      <formula>B98</formula>
    </cfRule>
  </conditionalFormatting>
  <conditionalFormatting sqref="D99">
    <cfRule type="expression" dxfId="1346" priority="914">
      <formula>E99&gt;B99</formula>
    </cfRule>
  </conditionalFormatting>
  <conditionalFormatting sqref="C99">
    <cfRule type="expression" dxfId="1345" priority="913">
      <formula>B99&gt;E99</formula>
    </cfRule>
  </conditionalFormatting>
  <conditionalFormatting sqref="B99">
    <cfRule type="cellIs" dxfId="1344" priority="912" operator="greaterThan">
      <formula>E99</formula>
    </cfRule>
  </conditionalFormatting>
  <conditionalFormatting sqref="E99">
    <cfRule type="cellIs" dxfId="1343" priority="911" operator="greaterThan">
      <formula>B99</formula>
    </cfRule>
  </conditionalFormatting>
  <conditionalFormatting sqref="D100">
    <cfRule type="expression" dxfId="1342" priority="910">
      <formula>E100&gt;B100</formula>
    </cfRule>
  </conditionalFormatting>
  <conditionalFormatting sqref="C100">
    <cfRule type="expression" dxfId="1341" priority="909">
      <formula>B100&gt;E100</formula>
    </cfRule>
  </conditionalFormatting>
  <conditionalFormatting sqref="B100">
    <cfRule type="cellIs" dxfId="1340" priority="908" operator="greaterThan">
      <formula>E100</formula>
    </cfRule>
  </conditionalFormatting>
  <conditionalFormatting sqref="E100">
    <cfRule type="cellIs" dxfId="1339" priority="907" operator="greaterThan">
      <formula>B100</formula>
    </cfRule>
  </conditionalFormatting>
  <conditionalFormatting sqref="D101">
    <cfRule type="expression" dxfId="1338" priority="906">
      <formula>E101&gt;B101</formula>
    </cfRule>
  </conditionalFormatting>
  <conditionalFormatting sqref="C101">
    <cfRule type="expression" dxfId="1337" priority="905">
      <formula>B101&gt;E101</formula>
    </cfRule>
  </conditionalFormatting>
  <conditionalFormatting sqref="B101">
    <cfRule type="cellIs" dxfId="1336" priority="904" operator="greaterThan">
      <formula>E101</formula>
    </cfRule>
  </conditionalFormatting>
  <conditionalFormatting sqref="E101">
    <cfRule type="cellIs" dxfId="1335" priority="903" operator="greaterThan">
      <formula>B101</formula>
    </cfRule>
  </conditionalFormatting>
  <conditionalFormatting sqref="D102">
    <cfRule type="expression" dxfId="1334" priority="902">
      <formula>E102&gt;B102</formula>
    </cfRule>
  </conditionalFormatting>
  <conditionalFormatting sqref="C102">
    <cfRule type="expression" dxfId="1333" priority="901">
      <formula>B102&gt;E102</formula>
    </cfRule>
  </conditionalFormatting>
  <conditionalFormatting sqref="B102">
    <cfRule type="cellIs" dxfId="1332" priority="900" operator="greaterThan">
      <formula>E102</formula>
    </cfRule>
  </conditionalFormatting>
  <conditionalFormatting sqref="E102">
    <cfRule type="cellIs" dxfId="1331" priority="899" operator="greaterThan">
      <formula>B102</formula>
    </cfRule>
  </conditionalFormatting>
  <conditionalFormatting sqref="D103">
    <cfRule type="expression" dxfId="1330" priority="898">
      <formula>E103&gt;B103</formula>
    </cfRule>
  </conditionalFormatting>
  <conditionalFormatting sqref="C103">
    <cfRule type="expression" dxfId="1329" priority="897">
      <formula>B103&gt;E103</formula>
    </cfRule>
  </conditionalFormatting>
  <conditionalFormatting sqref="B103">
    <cfRule type="cellIs" dxfId="1328" priority="896" operator="greaterThan">
      <formula>E103</formula>
    </cfRule>
  </conditionalFormatting>
  <conditionalFormatting sqref="E103">
    <cfRule type="cellIs" dxfId="1327" priority="895" operator="greaterThan">
      <formula>B103</formula>
    </cfRule>
  </conditionalFormatting>
  <conditionalFormatting sqref="D104">
    <cfRule type="expression" dxfId="1326" priority="894">
      <formula>E104&gt;B104</formula>
    </cfRule>
  </conditionalFormatting>
  <conditionalFormatting sqref="C104">
    <cfRule type="expression" dxfId="1325" priority="893">
      <formula>B104&gt;E104</formula>
    </cfRule>
  </conditionalFormatting>
  <conditionalFormatting sqref="B104">
    <cfRule type="cellIs" dxfId="1324" priority="892" operator="greaterThan">
      <formula>E104</formula>
    </cfRule>
  </conditionalFormatting>
  <conditionalFormatting sqref="E104">
    <cfRule type="cellIs" dxfId="1323" priority="891" operator="greaterThan">
      <formula>B104</formula>
    </cfRule>
  </conditionalFormatting>
  <conditionalFormatting sqref="D105">
    <cfRule type="expression" dxfId="1322" priority="890">
      <formula>E105&gt;B105</formula>
    </cfRule>
  </conditionalFormatting>
  <conditionalFormatting sqref="C105">
    <cfRule type="expression" dxfId="1321" priority="889">
      <formula>B105&gt;E105</formula>
    </cfRule>
  </conditionalFormatting>
  <conditionalFormatting sqref="B105">
    <cfRule type="cellIs" dxfId="1320" priority="888" operator="greaterThan">
      <formula>E105</formula>
    </cfRule>
  </conditionalFormatting>
  <conditionalFormatting sqref="E105">
    <cfRule type="cellIs" dxfId="1319" priority="887" operator="greaterThan">
      <formula>B105</formula>
    </cfRule>
  </conditionalFormatting>
  <conditionalFormatting sqref="D106">
    <cfRule type="expression" dxfId="1318" priority="886">
      <formula>E106&gt;B106</formula>
    </cfRule>
  </conditionalFormatting>
  <conditionalFormatting sqref="C106">
    <cfRule type="expression" dxfId="1317" priority="885">
      <formula>B106&gt;E106</formula>
    </cfRule>
  </conditionalFormatting>
  <conditionalFormatting sqref="B106">
    <cfRule type="cellIs" dxfId="1316" priority="884" operator="greaterThan">
      <formula>E106</formula>
    </cfRule>
  </conditionalFormatting>
  <conditionalFormatting sqref="E106">
    <cfRule type="cellIs" dxfId="1315" priority="883" operator="greaterThan">
      <formula>B106</formula>
    </cfRule>
  </conditionalFormatting>
  <conditionalFormatting sqref="D107">
    <cfRule type="expression" dxfId="1314" priority="882">
      <formula>E107&gt;B107</formula>
    </cfRule>
  </conditionalFormatting>
  <conditionalFormatting sqref="C107">
    <cfRule type="expression" dxfId="1313" priority="881">
      <formula>B107&gt;E107</formula>
    </cfRule>
  </conditionalFormatting>
  <conditionalFormatting sqref="B107">
    <cfRule type="cellIs" dxfId="1312" priority="880" operator="greaterThan">
      <formula>E107</formula>
    </cfRule>
  </conditionalFormatting>
  <conditionalFormatting sqref="E107">
    <cfRule type="cellIs" dxfId="1311" priority="879" operator="greaterThan">
      <formula>B107</formula>
    </cfRule>
  </conditionalFormatting>
  <conditionalFormatting sqref="D108">
    <cfRule type="expression" dxfId="1310" priority="878">
      <formula>E108&gt;B108</formula>
    </cfRule>
  </conditionalFormatting>
  <conditionalFormatting sqref="C108">
    <cfRule type="expression" dxfId="1309" priority="877">
      <formula>B108&gt;E108</formula>
    </cfRule>
  </conditionalFormatting>
  <conditionalFormatting sqref="B108">
    <cfRule type="cellIs" dxfId="1308" priority="876" operator="greaterThan">
      <formula>E108</formula>
    </cfRule>
  </conditionalFormatting>
  <conditionalFormatting sqref="E108">
    <cfRule type="cellIs" dxfId="1307" priority="875" operator="greaterThan">
      <formula>B108</formula>
    </cfRule>
  </conditionalFormatting>
  <conditionalFormatting sqref="D109">
    <cfRule type="expression" dxfId="1306" priority="874">
      <formula>E109&gt;B109</formula>
    </cfRule>
  </conditionalFormatting>
  <conditionalFormatting sqref="C109">
    <cfRule type="expression" dxfId="1305" priority="873">
      <formula>B109&gt;E109</formula>
    </cfRule>
  </conditionalFormatting>
  <conditionalFormatting sqref="B109">
    <cfRule type="cellIs" dxfId="1304" priority="872" operator="greaterThan">
      <formula>E109</formula>
    </cfRule>
  </conditionalFormatting>
  <conditionalFormatting sqref="E109">
    <cfRule type="cellIs" dxfId="1303" priority="871" operator="greaterThan">
      <formula>B109</formula>
    </cfRule>
  </conditionalFormatting>
  <conditionalFormatting sqref="D110">
    <cfRule type="expression" dxfId="1302" priority="870">
      <formula>E110&gt;B110</formula>
    </cfRule>
  </conditionalFormatting>
  <conditionalFormatting sqref="C110">
    <cfRule type="expression" dxfId="1301" priority="869">
      <formula>B110&gt;E110</formula>
    </cfRule>
  </conditionalFormatting>
  <conditionalFormatting sqref="B110">
    <cfRule type="cellIs" dxfId="1300" priority="868" operator="greaterThan">
      <formula>E110</formula>
    </cfRule>
  </conditionalFormatting>
  <conditionalFormatting sqref="E110">
    <cfRule type="cellIs" dxfId="1299" priority="867" operator="greaterThan">
      <formula>B110</formula>
    </cfRule>
  </conditionalFormatting>
  <conditionalFormatting sqref="D111">
    <cfRule type="expression" dxfId="1298" priority="866">
      <formula>E111&gt;B111</formula>
    </cfRule>
  </conditionalFormatting>
  <conditionalFormatting sqref="C111">
    <cfRule type="expression" dxfId="1297" priority="865">
      <formula>B111&gt;E111</formula>
    </cfRule>
  </conditionalFormatting>
  <conditionalFormatting sqref="B111">
    <cfRule type="cellIs" dxfId="1296" priority="864" operator="greaterThan">
      <formula>E111</formula>
    </cfRule>
  </conditionalFormatting>
  <conditionalFormatting sqref="E111">
    <cfRule type="cellIs" dxfId="1295" priority="863" operator="greaterThan">
      <formula>B111</formula>
    </cfRule>
  </conditionalFormatting>
  <conditionalFormatting sqref="D112">
    <cfRule type="expression" dxfId="1294" priority="862">
      <formula>E112&gt;B112</formula>
    </cfRule>
  </conditionalFormatting>
  <conditionalFormatting sqref="C112">
    <cfRule type="expression" dxfId="1293" priority="861">
      <formula>B112&gt;E112</formula>
    </cfRule>
  </conditionalFormatting>
  <conditionalFormatting sqref="B112">
    <cfRule type="cellIs" dxfId="1292" priority="860" operator="greaterThan">
      <formula>E112</formula>
    </cfRule>
  </conditionalFormatting>
  <conditionalFormatting sqref="E112">
    <cfRule type="cellIs" dxfId="1291" priority="859" operator="greaterThan">
      <formula>B112</formula>
    </cfRule>
  </conditionalFormatting>
  <conditionalFormatting sqref="D113">
    <cfRule type="expression" dxfId="1290" priority="858">
      <formula>E113&gt;B113</formula>
    </cfRule>
  </conditionalFormatting>
  <conditionalFormatting sqref="C113">
    <cfRule type="expression" dxfId="1289" priority="857">
      <formula>B113&gt;E113</formula>
    </cfRule>
  </conditionalFormatting>
  <conditionalFormatting sqref="B113">
    <cfRule type="cellIs" dxfId="1288" priority="856" operator="greaterThan">
      <formula>E113</formula>
    </cfRule>
  </conditionalFormatting>
  <conditionalFormatting sqref="E113">
    <cfRule type="cellIs" dxfId="1287" priority="855" operator="greaterThan">
      <formula>B113</formula>
    </cfRule>
  </conditionalFormatting>
  <conditionalFormatting sqref="D114">
    <cfRule type="expression" dxfId="1286" priority="854">
      <formula>E114&gt;B114</formula>
    </cfRule>
  </conditionalFormatting>
  <conditionalFormatting sqref="C114">
    <cfRule type="expression" dxfId="1285" priority="853">
      <formula>B114&gt;E114</formula>
    </cfRule>
  </conditionalFormatting>
  <conditionalFormatting sqref="B114">
    <cfRule type="cellIs" dxfId="1284" priority="852" operator="greaterThan">
      <formula>E114</formula>
    </cfRule>
  </conditionalFormatting>
  <conditionalFormatting sqref="E114">
    <cfRule type="cellIs" dxfId="1283" priority="851" operator="greaterThan">
      <formula>B114</formula>
    </cfRule>
  </conditionalFormatting>
  <conditionalFormatting sqref="D115">
    <cfRule type="expression" dxfId="1282" priority="850">
      <formula>E115&gt;B115</formula>
    </cfRule>
  </conditionalFormatting>
  <conditionalFormatting sqref="C115">
    <cfRule type="expression" dxfId="1281" priority="849">
      <formula>B115&gt;E115</formula>
    </cfRule>
  </conditionalFormatting>
  <conditionalFormatting sqref="B115">
    <cfRule type="cellIs" dxfId="1280" priority="848" operator="greaterThan">
      <formula>E115</formula>
    </cfRule>
  </conditionalFormatting>
  <conditionalFormatting sqref="E115">
    <cfRule type="cellIs" dxfId="1279" priority="847" operator="greaterThan">
      <formula>B115</formula>
    </cfRule>
  </conditionalFormatting>
  <conditionalFormatting sqref="D116">
    <cfRule type="expression" dxfId="1278" priority="846">
      <formula>E116&gt;B116</formula>
    </cfRule>
  </conditionalFormatting>
  <conditionalFormatting sqref="C116">
    <cfRule type="expression" dxfId="1277" priority="845">
      <formula>B116&gt;E116</formula>
    </cfRule>
  </conditionalFormatting>
  <conditionalFormatting sqref="B116">
    <cfRule type="cellIs" dxfId="1276" priority="844" operator="greaterThan">
      <formula>E116</formula>
    </cfRule>
  </conditionalFormatting>
  <conditionalFormatting sqref="E116">
    <cfRule type="cellIs" dxfId="1275" priority="843" operator="greaterThan">
      <formula>B116</formula>
    </cfRule>
  </conditionalFormatting>
  <conditionalFormatting sqref="D117">
    <cfRule type="expression" dxfId="1274" priority="842">
      <formula>E117&gt;B117</formula>
    </cfRule>
  </conditionalFormatting>
  <conditionalFormatting sqref="C117">
    <cfRule type="expression" dxfId="1273" priority="841">
      <formula>B117&gt;E117</formula>
    </cfRule>
  </conditionalFormatting>
  <conditionalFormatting sqref="B117">
    <cfRule type="cellIs" dxfId="1272" priority="840" operator="greaterThan">
      <formula>E117</formula>
    </cfRule>
  </conditionalFormatting>
  <conditionalFormatting sqref="E117">
    <cfRule type="cellIs" dxfId="1271" priority="839" operator="greaterThan">
      <formula>B117</formula>
    </cfRule>
  </conditionalFormatting>
  <conditionalFormatting sqref="D118">
    <cfRule type="expression" dxfId="1270" priority="838">
      <formula>E118&gt;B118</formula>
    </cfRule>
  </conditionalFormatting>
  <conditionalFormatting sqref="C118">
    <cfRule type="expression" dxfId="1269" priority="837">
      <formula>B118&gt;E118</formula>
    </cfRule>
  </conditionalFormatting>
  <conditionalFormatting sqref="B118">
    <cfRule type="cellIs" dxfId="1268" priority="836" operator="greaterThan">
      <formula>E118</formula>
    </cfRule>
  </conditionalFormatting>
  <conditionalFormatting sqref="E118">
    <cfRule type="cellIs" dxfId="1267" priority="835" operator="greaterThan">
      <formula>B118</formula>
    </cfRule>
  </conditionalFormatting>
  <conditionalFormatting sqref="D119">
    <cfRule type="expression" dxfId="1266" priority="834">
      <formula>E119&gt;B119</formula>
    </cfRule>
  </conditionalFormatting>
  <conditionalFormatting sqref="C119">
    <cfRule type="expression" dxfId="1265" priority="833">
      <formula>B119&gt;E119</formula>
    </cfRule>
  </conditionalFormatting>
  <conditionalFormatting sqref="B119">
    <cfRule type="cellIs" dxfId="1264" priority="832" operator="greaterThan">
      <formula>E119</formula>
    </cfRule>
  </conditionalFormatting>
  <conditionalFormatting sqref="E119">
    <cfRule type="cellIs" dxfId="1263" priority="831" operator="greaterThan">
      <formula>B119</formula>
    </cfRule>
  </conditionalFormatting>
  <conditionalFormatting sqref="D120">
    <cfRule type="expression" dxfId="1262" priority="830">
      <formula>E120&gt;B120</formula>
    </cfRule>
  </conditionalFormatting>
  <conditionalFormatting sqref="C120">
    <cfRule type="expression" dxfId="1261" priority="829">
      <formula>B120&gt;E120</formula>
    </cfRule>
  </conditionalFormatting>
  <conditionalFormatting sqref="B120">
    <cfRule type="cellIs" dxfId="1260" priority="828" operator="greaterThan">
      <formula>E120</formula>
    </cfRule>
  </conditionalFormatting>
  <conditionalFormatting sqref="E120">
    <cfRule type="cellIs" dxfId="1259" priority="827" operator="greaterThan">
      <formula>B120</formula>
    </cfRule>
  </conditionalFormatting>
  <conditionalFormatting sqref="D121">
    <cfRule type="expression" dxfId="1258" priority="826">
      <formula>E121&gt;B121</formula>
    </cfRule>
  </conditionalFormatting>
  <conditionalFormatting sqref="C121">
    <cfRule type="expression" dxfId="1257" priority="825">
      <formula>B121&gt;E121</formula>
    </cfRule>
  </conditionalFormatting>
  <conditionalFormatting sqref="B121">
    <cfRule type="cellIs" dxfId="1256" priority="824" operator="greaterThan">
      <formula>E121</formula>
    </cfRule>
  </conditionalFormatting>
  <conditionalFormatting sqref="E121">
    <cfRule type="cellIs" dxfId="1255" priority="823" operator="greaterThan">
      <formula>B121</formula>
    </cfRule>
  </conditionalFormatting>
  <conditionalFormatting sqref="D122">
    <cfRule type="expression" dxfId="1254" priority="822">
      <formula>E122&gt;B122</formula>
    </cfRule>
  </conditionalFormatting>
  <conditionalFormatting sqref="C122">
    <cfRule type="expression" dxfId="1253" priority="821">
      <formula>B122&gt;E122</formula>
    </cfRule>
  </conditionalFormatting>
  <conditionalFormatting sqref="B122">
    <cfRule type="cellIs" dxfId="1252" priority="820" operator="greaterThan">
      <formula>E122</formula>
    </cfRule>
  </conditionalFormatting>
  <conditionalFormatting sqref="E122">
    <cfRule type="cellIs" dxfId="1251" priority="819" operator="greaterThan">
      <formula>B122</formula>
    </cfRule>
  </conditionalFormatting>
  <conditionalFormatting sqref="D123">
    <cfRule type="expression" dxfId="1250" priority="818">
      <formula>E123&gt;B123</formula>
    </cfRule>
  </conditionalFormatting>
  <conditionalFormatting sqref="C123">
    <cfRule type="expression" dxfId="1249" priority="817">
      <formula>B123&gt;E123</formula>
    </cfRule>
  </conditionalFormatting>
  <conditionalFormatting sqref="B123">
    <cfRule type="cellIs" dxfId="1248" priority="816" operator="greaterThan">
      <formula>E123</formula>
    </cfRule>
  </conditionalFormatting>
  <conditionalFormatting sqref="E123">
    <cfRule type="cellIs" dxfId="1247" priority="815" operator="greaterThan">
      <formula>B123</formula>
    </cfRule>
  </conditionalFormatting>
  <conditionalFormatting sqref="D124">
    <cfRule type="expression" dxfId="1246" priority="814">
      <formula>E124&gt;B124</formula>
    </cfRule>
  </conditionalFormatting>
  <conditionalFormatting sqref="C124">
    <cfRule type="expression" dxfId="1245" priority="813">
      <formula>B124&gt;E124</formula>
    </cfRule>
  </conditionalFormatting>
  <conditionalFormatting sqref="B124">
    <cfRule type="cellIs" dxfId="1244" priority="812" operator="greaterThan">
      <formula>E124</formula>
    </cfRule>
  </conditionalFormatting>
  <conditionalFormatting sqref="E124">
    <cfRule type="cellIs" dxfId="1243" priority="811" operator="greaterThan">
      <formula>B124</formula>
    </cfRule>
  </conditionalFormatting>
  <conditionalFormatting sqref="D125">
    <cfRule type="expression" dxfId="1242" priority="810">
      <formula>E125&gt;B125</formula>
    </cfRule>
  </conditionalFormatting>
  <conditionalFormatting sqref="C125">
    <cfRule type="expression" dxfId="1241" priority="809">
      <formula>B125&gt;E125</formula>
    </cfRule>
  </conditionalFormatting>
  <conditionalFormatting sqref="B125">
    <cfRule type="cellIs" dxfId="1240" priority="808" operator="greaterThan">
      <formula>E125</formula>
    </cfRule>
  </conditionalFormatting>
  <conditionalFormatting sqref="E125">
    <cfRule type="cellIs" dxfId="1239" priority="807" operator="greaterThan">
      <formula>B125</formula>
    </cfRule>
  </conditionalFormatting>
  <conditionalFormatting sqref="D126">
    <cfRule type="expression" dxfId="1238" priority="806">
      <formula>E126&gt;B126</formula>
    </cfRule>
  </conditionalFormatting>
  <conditionalFormatting sqref="C126">
    <cfRule type="expression" dxfId="1237" priority="805">
      <formula>B126&gt;E126</formula>
    </cfRule>
  </conditionalFormatting>
  <conditionalFormatting sqref="B126">
    <cfRule type="cellIs" dxfId="1236" priority="804" operator="greaterThan">
      <formula>E126</formula>
    </cfRule>
  </conditionalFormatting>
  <conditionalFormatting sqref="E126">
    <cfRule type="cellIs" dxfId="1235" priority="803" operator="greaterThan">
      <formula>B126</formula>
    </cfRule>
  </conditionalFormatting>
  <conditionalFormatting sqref="D127">
    <cfRule type="expression" dxfId="1234" priority="802">
      <formula>E127&gt;B127</formula>
    </cfRule>
  </conditionalFormatting>
  <conditionalFormatting sqref="C127">
    <cfRule type="expression" dxfId="1233" priority="801">
      <formula>B127&gt;E127</formula>
    </cfRule>
  </conditionalFormatting>
  <conditionalFormatting sqref="B127">
    <cfRule type="cellIs" dxfId="1232" priority="800" operator="greaterThan">
      <formula>E127</formula>
    </cfRule>
  </conditionalFormatting>
  <conditionalFormatting sqref="E127">
    <cfRule type="cellIs" dxfId="1231" priority="799" operator="greaterThan">
      <formula>B127</formula>
    </cfRule>
  </conditionalFormatting>
  <conditionalFormatting sqref="D128">
    <cfRule type="expression" dxfId="1230" priority="798">
      <formula>E128&gt;B128</formula>
    </cfRule>
  </conditionalFormatting>
  <conditionalFormatting sqref="C128">
    <cfRule type="expression" dxfId="1229" priority="797">
      <formula>B128&gt;E128</formula>
    </cfRule>
  </conditionalFormatting>
  <conditionalFormatting sqref="B128">
    <cfRule type="cellIs" dxfId="1228" priority="796" operator="greaterThan">
      <formula>E128</formula>
    </cfRule>
  </conditionalFormatting>
  <conditionalFormatting sqref="E128">
    <cfRule type="cellIs" dxfId="1227" priority="795" operator="greaterThan">
      <formula>B128</formula>
    </cfRule>
  </conditionalFormatting>
  <conditionalFormatting sqref="D129">
    <cfRule type="expression" dxfId="1226" priority="794">
      <formula>E129&gt;B129</formula>
    </cfRule>
  </conditionalFormatting>
  <conditionalFormatting sqref="C129">
    <cfRule type="expression" dxfId="1225" priority="793">
      <formula>B129&gt;E129</formula>
    </cfRule>
  </conditionalFormatting>
  <conditionalFormatting sqref="B129">
    <cfRule type="cellIs" dxfId="1224" priority="792" operator="greaterThan">
      <formula>E129</formula>
    </cfRule>
  </conditionalFormatting>
  <conditionalFormatting sqref="E129">
    <cfRule type="cellIs" dxfId="1223" priority="791" operator="greaterThan">
      <formula>B129</formula>
    </cfRule>
  </conditionalFormatting>
  <conditionalFormatting sqref="D130">
    <cfRule type="expression" dxfId="1222" priority="790">
      <formula>E130&gt;B130</formula>
    </cfRule>
  </conditionalFormatting>
  <conditionalFormatting sqref="C130">
    <cfRule type="expression" dxfId="1221" priority="789">
      <formula>B130&gt;E130</formula>
    </cfRule>
  </conditionalFormatting>
  <conditionalFormatting sqref="B130">
    <cfRule type="cellIs" dxfId="1220" priority="788" operator="greaterThan">
      <formula>E130</formula>
    </cfRule>
  </conditionalFormatting>
  <conditionalFormatting sqref="E130">
    <cfRule type="cellIs" dxfId="1219" priority="787" operator="greaterThan">
      <formula>B130</formula>
    </cfRule>
  </conditionalFormatting>
  <conditionalFormatting sqref="D131">
    <cfRule type="expression" dxfId="1218" priority="786">
      <formula>E131&gt;B131</formula>
    </cfRule>
  </conditionalFormatting>
  <conditionalFormatting sqref="C131">
    <cfRule type="expression" dxfId="1217" priority="785">
      <formula>B131&gt;E131</formula>
    </cfRule>
  </conditionalFormatting>
  <conditionalFormatting sqref="B131">
    <cfRule type="cellIs" dxfId="1216" priority="784" operator="greaterThan">
      <formula>E131</formula>
    </cfRule>
  </conditionalFormatting>
  <conditionalFormatting sqref="E131">
    <cfRule type="cellIs" dxfId="1215" priority="783" operator="greaterThan">
      <formula>B131</formula>
    </cfRule>
  </conditionalFormatting>
  <conditionalFormatting sqref="D132">
    <cfRule type="expression" dxfId="1214" priority="782">
      <formula>E132&gt;B132</formula>
    </cfRule>
  </conditionalFormatting>
  <conditionalFormatting sqref="C132">
    <cfRule type="expression" dxfId="1213" priority="781">
      <formula>B132&gt;E132</formula>
    </cfRule>
  </conditionalFormatting>
  <conditionalFormatting sqref="B132">
    <cfRule type="cellIs" dxfId="1212" priority="780" operator="greaterThan">
      <formula>E132</formula>
    </cfRule>
  </conditionalFormatting>
  <conditionalFormatting sqref="E132">
    <cfRule type="cellIs" dxfId="1211" priority="779" operator="greaterThan">
      <formula>B132</formula>
    </cfRule>
  </conditionalFormatting>
  <conditionalFormatting sqref="D133">
    <cfRule type="expression" dxfId="1210" priority="778">
      <formula>E133&gt;B133</formula>
    </cfRule>
  </conditionalFormatting>
  <conditionalFormatting sqref="C133">
    <cfRule type="expression" dxfId="1209" priority="777">
      <formula>B133&gt;E133</formula>
    </cfRule>
  </conditionalFormatting>
  <conditionalFormatting sqref="B133">
    <cfRule type="cellIs" dxfId="1208" priority="776" operator="greaterThan">
      <formula>E133</formula>
    </cfRule>
  </conditionalFormatting>
  <conditionalFormatting sqref="E133">
    <cfRule type="cellIs" dxfId="1207" priority="775" operator="greaterThan">
      <formula>B133</formula>
    </cfRule>
  </conditionalFormatting>
  <conditionalFormatting sqref="D134">
    <cfRule type="expression" dxfId="1206" priority="774">
      <formula>E134&gt;B134</formula>
    </cfRule>
  </conditionalFormatting>
  <conditionalFormatting sqref="C134">
    <cfRule type="expression" dxfId="1205" priority="773">
      <formula>B134&gt;E134</formula>
    </cfRule>
  </conditionalFormatting>
  <conditionalFormatting sqref="B134">
    <cfRule type="cellIs" dxfId="1204" priority="772" operator="greaterThan">
      <formula>E134</formula>
    </cfRule>
  </conditionalFormatting>
  <conditionalFormatting sqref="E134">
    <cfRule type="cellIs" dxfId="1203" priority="771" operator="greaterThan">
      <formula>B134</formula>
    </cfRule>
  </conditionalFormatting>
  <conditionalFormatting sqref="D135">
    <cfRule type="expression" dxfId="1202" priority="770">
      <formula>E135&gt;B135</formula>
    </cfRule>
  </conditionalFormatting>
  <conditionalFormatting sqref="C135">
    <cfRule type="expression" dxfId="1201" priority="769">
      <formula>B135&gt;E135</formula>
    </cfRule>
  </conditionalFormatting>
  <conditionalFormatting sqref="B135">
    <cfRule type="cellIs" dxfId="1200" priority="768" operator="greaterThan">
      <formula>E135</formula>
    </cfRule>
  </conditionalFormatting>
  <conditionalFormatting sqref="E135">
    <cfRule type="cellIs" dxfId="1199" priority="767" operator="greaterThan">
      <formula>B135</formula>
    </cfRule>
  </conditionalFormatting>
  <conditionalFormatting sqref="D136">
    <cfRule type="expression" dxfId="1198" priority="766">
      <formula>E136&gt;B136</formula>
    </cfRule>
  </conditionalFormatting>
  <conditionalFormatting sqref="C136">
    <cfRule type="expression" dxfId="1197" priority="765">
      <formula>B136&gt;E136</formula>
    </cfRule>
  </conditionalFormatting>
  <conditionalFormatting sqref="B136">
    <cfRule type="cellIs" dxfId="1196" priority="764" operator="greaterThan">
      <formula>E136</formula>
    </cfRule>
  </conditionalFormatting>
  <conditionalFormatting sqref="E136">
    <cfRule type="cellIs" dxfId="1195" priority="763" operator="greaterThan">
      <formula>B136</formula>
    </cfRule>
  </conditionalFormatting>
  <conditionalFormatting sqref="D137">
    <cfRule type="expression" dxfId="1194" priority="762">
      <formula>E137&gt;B137</formula>
    </cfRule>
  </conditionalFormatting>
  <conditionalFormatting sqref="C137">
    <cfRule type="expression" dxfId="1193" priority="761">
      <formula>B137&gt;E137</formula>
    </cfRule>
  </conditionalFormatting>
  <conditionalFormatting sqref="B137">
    <cfRule type="cellIs" dxfId="1192" priority="760" operator="greaterThan">
      <formula>E137</formula>
    </cfRule>
  </conditionalFormatting>
  <conditionalFormatting sqref="E137">
    <cfRule type="cellIs" dxfId="1191" priority="759" operator="greaterThan">
      <formula>B137</formula>
    </cfRule>
  </conditionalFormatting>
  <conditionalFormatting sqref="D138">
    <cfRule type="expression" dxfId="1190" priority="758">
      <formula>E138&gt;B138</formula>
    </cfRule>
  </conditionalFormatting>
  <conditionalFormatting sqref="C138">
    <cfRule type="expression" dxfId="1189" priority="757">
      <formula>B138&gt;E138</formula>
    </cfRule>
  </conditionalFormatting>
  <conditionalFormatting sqref="B138">
    <cfRule type="cellIs" dxfId="1188" priority="756" operator="greaterThan">
      <formula>E138</formula>
    </cfRule>
  </conditionalFormatting>
  <conditionalFormatting sqref="E138">
    <cfRule type="cellIs" dxfId="1187" priority="755" operator="greaterThan">
      <formula>B138</formula>
    </cfRule>
  </conditionalFormatting>
  <conditionalFormatting sqref="D139">
    <cfRule type="expression" dxfId="1186" priority="754">
      <formula>E139&gt;B139</formula>
    </cfRule>
  </conditionalFormatting>
  <conditionalFormatting sqref="C139">
    <cfRule type="expression" dxfId="1185" priority="753">
      <formula>B139&gt;E139</formula>
    </cfRule>
  </conditionalFormatting>
  <conditionalFormatting sqref="B139">
    <cfRule type="cellIs" dxfId="1184" priority="752" operator="greaterThan">
      <formula>E139</formula>
    </cfRule>
  </conditionalFormatting>
  <conditionalFormatting sqref="E139">
    <cfRule type="cellIs" dxfId="1183" priority="751" operator="greaterThan">
      <formula>B139</formula>
    </cfRule>
  </conditionalFormatting>
  <conditionalFormatting sqref="D140">
    <cfRule type="expression" dxfId="1182" priority="750">
      <formula>E140&gt;B140</formula>
    </cfRule>
  </conditionalFormatting>
  <conditionalFormatting sqref="C140">
    <cfRule type="expression" dxfId="1181" priority="749">
      <formula>B140&gt;E140</formula>
    </cfRule>
  </conditionalFormatting>
  <conditionalFormatting sqref="B140">
    <cfRule type="cellIs" dxfId="1180" priority="748" operator="greaterThan">
      <formula>E140</formula>
    </cfRule>
  </conditionalFormatting>
  <conditionalFormatting sqref="E140">
    <cfRule type="cellIs" dxfId="1179" priority="747" operator="greaterThan">
      <formula>B140</formula>
    </cfRule>
  </conditionalFormatting>
  <conditionalFormatting sqref="D141">
    <cfRule type="expression" dxfId="1178" priority="746">
      <formula>E141&gt;B141</formula>
    </cfRule>
  </conditionalFormatting>
  <conditionalFormatting sqref="C141">
    <cfRule type="expression" dxfId="1177" priority="745">
      <formula>B141&gt;E141</formula>
    </cfRule>
  </conditionalFormatting>
  <conditionalFormatting sqref="B141">
    <cfRule type="cellIs" dxfId="1176" priority="744" operator="greaterThan">
      <formula>E141</formula>
    </cfRule>
  </conditionalFormatting>
  <conditionalFormatting sqref="E141">
    <cfRule type="cellIs" dxfId="1175" priority="743" operator="greaterThan">
      <formula>B141</formula>
    </cfRule>
  </conditionalFormatting>
  <conditionalFormatting sqref="D142">
    <cfRule type="expression" dxfId="1174" priority="742">
      <formula>E142&gt;B142</formula>
    </cfRule>
  </conditionalFormatting>
  <conditionalFormatting sqref="C142">
    <cfRule type="expression" dxfId="1173" priority="741">
      <formula>B142&gt;E142</formula>
    </cfRule>
  </conditionalFormatting>
  <conditionalFormatting sqref="B142">
    <cfRule type="cellIs" dxfId="1172" priority="740" operator="greaterThan">
      <formula>E142</formula>
    </cfRule>
  </conditionalFormatting>
  <conditionalFormatting sqref="E142">
    <cfRule type="cellIs" dxfId="1171" priority="739" operator="greaterThan">
      <formula>B142</formula>
    </cfRule>
  </conditionalFormatting>
  <conditionalFormatting sqref="D143">
    <cfRule type="expression" dxfId="1170" priority="738">
      <formula>E143&gt;B143</formula>
    </cfRule>
  </conditionalFormatting>
  <conditionalFormatting sqref="C143">
    <cfRule type="expression" dxfId="1169" priority="737">
      <formula>B143&gt;E143</formula>
    </cfRule>
  </conditionalFormatting>
  <conditionalFormatting sqref="B143">
    <cfRule type="cellIs" dxfId="1168" priority="736" operator="greaterThan">
      <formula>E143</formula>
    </cfRule>
  </conditionalFormatting>
  <conditionalFormatting sqref="E143">
    <cfRule type="cellIs" dxfId="1167" priority="735" operator="greaterThan">
      <formula>B143</formula>
    </cfRule>
  </conditionalFormatting>
  <conditionalFormatting sqref="D144">
    <cfRule type="expression" dxfId="1166" priority="734">
      <formula>E144&gt;B144</formula>
    </cfRule>
  </conditionalFormatting>
  <conditionalFormatting sqref="C144">
    <cfRule type="expression" dxfId="1165" priority="733">
      <formula>B144&gt;E144</formula>
    </cfRule>
  </conditionalFormatting>
  <conditionalFormatting sqref="B144">
    <cfRule type="cellIs" dxfId="1164" priority="732" operator="greaterThan">
      <formula>E144</formula>
    </cfRule>
  </conditionalFormatting>
  <conditionalFormatting sqref="E144">
    <cfRule type="cellIs" dxfId="1163" priority="731" operator="greaterThan">
      <formula>B144</formula>
    </cfRule>
  </conditionalFormatting>
  <conditionalFormatting sqref="D145">
    <cfRule type="expression" dxfId="1162" priority="730">
      <formula>E145&gt;B145</formula>
    </cfRule>
  </conditionalFormatting>
  <conditionalFormatting sqref="C145">
    <cfRule type="expression" dxfId="1161" priority="729">
      <formula>B145&gt;E145</formula>
    </cfRule>
  </conditionalFormatting>
  <conditionalFormatting sqref="B145">
    <cfRule type="cellIs" dxfId="1160" priority="728" operator="greaterThan">
      <formula>E145</formula>
    </cfRule>
  </conditionalFormatting>
  <conditionalFormatting sqref="E145">
    <cfRule type="cellIs" dxfId="1159" priority="727" operator="greaterThan">
      <formula>B145</formula>
    </cfRule>
  </conditionalFormatting>
  <conditionalFormatting sqref="D146">
    <cfRule type="expression" dxfId="1158" priority="726">
      <formula>E146&gt;B146</formula>
    </cfRule>
  </conditionalFormatting>
  <conditionalFormatting sqref="C146">
    <cfRule type="expression" dxfId="1157" priority="725">
      <formula>B146&gt;E146</formula>
    </cfRule>
  </conditionalFormatting>
  <conditionalFormatting sqref="B146">
    <cfRule type="cellIs" dxfId="1156" priority="724" operator="greaterThan">
      <formula>E146</formula>
    </cfRule>
  </conditionalFormatting>
  <conditionalFormatting sqref="E146">
    <cfRule type="cellIs" dxfId="1155" priority="723" operator="greaterThan">
      <formula>B146</formula>
    </cfRule>
  </conditionalFormatting>
  <conditionalFormatting sqref="D147">
    <cfRule type="expression" dxfId="1154" priority="722">
      <formula>E147&gt;B147</formula>
    </cfRule>
  </conditionalFormatting>
  <conditionalFormatting sqref="C147">
    <cfRule type="expression" dxfId="1153" priority="721">
      <formula>B147&gt;E147</formula>
    </cfRule>
  </conditionalFormatting>
  <conditionalFormatting sqref="B147">
    <cfRule type="cellIs" dxfId="1152" priority="720" operator="greaterThan">
      <formula>E147</formula>
    </cfRule>
  </conditionalFormatting>
  <conditionalFormatting sqref="E147">
    <cfRule type="cellIs" dxfId="1151" priority="719" operator="greaterThan">
      <formula>B147</formula>
    </cfRule>
  </conditionalFormatting>
  <conditionalFormatting sqref="D148">
    <cfRule type="expression" dxfId="1150" priority="718">
      <formula>E148&gt;B148</formula>
    </cfRule>
  </conditionalFormatting>
  <conditionalFormatting sqref="C148">
    <cfRule type="expression" dxfId="1149" priority="717">
      <formula>B148&gt;E148</formula>
    </cfRule>
  </conditionalFormatting>
  <conditionalFormatting sqref="B148">
    <cfRule type="cellIs" dxfId="1148" priority="716" operator="greaterThan">
      <formula>E148</formula>
    </cfRule>
  </conditionalFormatting>
  <conditionalFormatting sqref="E148">
    <cfRule type="cellIs" dxfId="1147" priority="715" operator="greaterThan">
      <formula>B148</formula>
    </cfRule>
  </conditionalFormatting>
  <conditionalFormatting sqref="D149">
    <cfRule type="expression" dxfId="1146" priority="714">
      <formula>E149&gt;B149</formula>
    </cfRule>
  </conditionalFormatting>
  <conditionalFormatting sqref="C149">
    <cfRule type="expression" dxfId="1145" priority="713">
      <formula>B149&gt;E149</formula>
    </cfRule>
  </conditionalFormatting>
  <conditionalFormatting sqref="B149">
    <cfRule type="cellIs" dxfId="1144" priority="712" operator="greaterThan">
      <formula>E149</formula>
    </cfRule>
  </conditionalFormatting>
  <conditionalFormatting sqref="E149">
    <cfRule type="cellIs" dxfId="1143" priority="711" operator="greaterThan">
      <formula>B149</formula>
    </cfRule>
  </conditionalFormatting>
  <conditionalFormatting sqref="D150">
    <cfRule type="expression" dxfId="1142" priority="710">
      <formula>E150&gt;B150</formula>
    </cfRule>
  </conditionalFormatting>
  <conditionalFormatting sqref="C150">
    <cfRule type="expression" dxfId="1141" priority="709">
      <formula>B150&gt;E150</formula>
    </cfRule>
  </conditionalFormatting>
  <conditionalFormatting sqref="B150">
    <cfRule type="cellIs" dxfId="1140" priority="708" operator="greaterThan">
      <formula>E150</formula>
    </cfRule>
  </conditionalFormatting>
  <conditionalFormatting sqref="E150">
    <cfRule type="cellIs" dxfId="1139" priority="707" operator="greaterThan">
      <formula>B150</formula>
    </cfRule>
  </conditionalFormatting>
  <conditionalFormatting sqref="D151">
    <cfRule type="expression" dxfId="1138" priority="706">
      <formula>E151&gt;B151</formula>
    </cfRule>
  </conditionalFormatting>
  <conditionalFormatting sqref="C151">
    <cfRule type="expression" dxfId="1137" priority="705">
      <formula>B151&gt;E151</formula>
    </cfRule>
  </conditionalFormatting>
  <conditionalFormatting sqref="B151">
    <cfRule type="cellIs" dxfId="1136" priority="704" operator="greaterThan">
      <formula>E151</formula>
    </cfRule>
  </conditionalFormatting>
  <conditionalFormatting sqref="E151">
    <cfRule type="cellIs" dxfId="1135" priority="703" operator="greaterThan">
      <formula>B151</formula>
    </cfRule>
  </conditionalFormatting>
  <conditionalFormatting sqref="D152">
    <cfRule type="expression" dxfId="1134" priority="702">
      <formula>E152&gt;B152</formula>
    </cfRule>
  </conditionalFormatting>
  <conditionalFormatting sqref="C152">
    <cfRule type="expression" dxfId="1133" priority="701">
      <formula>B152&gt;E152</formula>
    </cfRule>
  </conditionalFormatting>
  <conditionalFormatting sqref="B152">
    <cfRule type="cellIs" dxfId="1132" priority="700" operator="greaterThan">
      <formula>E152</formula>
    </cfRule>
  </conditionalFormatting>
  <conditionalFormatting sqref="E152">
    <cfRule type="cellIs" dxfId="1131" priority="699" operator="greaterThan">
      <formula>B152</formula>
    </cfRule>
  </conditionalFormatting>
  <conditionalFormatting sqref="D153">
    <cfRule type="expression" dxfId="1130" priority="698">
      <formula>E153&gt;B153</formula>
    </cfRule>
  </conditionalFormatting>
  <conditionalFormatting sqref="C153">
    <cfRule type="expression" dxfId="1129" priority="697">
      <formula>B153&gt;E153</formula>
    </cfRule>
  </conditionalFormatting>
  <conditionalFormatting sqref="B153">
    <cfRule type="cellIs" dxfId="1128" priority="696" operator="greaterThan">
      <formula>E153</formula>
    </cfRule>
  </conditionalFormatting>
  <conditionalFormatting sqref="E153">
    <cfRule type="cellIs" dxfId="1127" priority="695" operator="greaterThan">
      <formula>B153</formula>
    </cfRule>
  </conditionalFormatting>
  <conditionalFormatting sqref="D154">
    <cfRule type="expression" dxfId="1126" priority="694">
      <formula>E154&gt;B154</formula>
    </cfRule>
  </conditionalFormatting>
  <conditionalFormatting sqref="C154">
    <cfRule type="expression" dxfId="1125" priority="693">
      <formula>B154&gt;E154</formula>
    </cfRule>
  </conditionalFormatting>
  <conditionalFormatting sqref="B154">
    <cfRule type="cellIs" dxfId="1124" priority="692" operator="greaterThan">
      <formula>E154</formula>
    </cfRule>
  </conditionalFormatting>
  <conditionalFormatting sqref="E154">
    <cfRule type="cellIs" dxfId="1123" priority="691" operator="greaterThan">
      <formula>B154</formula>
    </cfRule>
  </conditionalFormatting>
  <conditionalFormatting sqref="D155">
    <cfRule type="expression" dxfId="1122" priority="690">
      <formula>E155&gt;B155</formula>
    </cfRule>
  </conditionalFormatting>
  <conditionalFormatting sqref="C155">
    <cfRule type="expression" dxfId="1121" priority="689">
      <formula>B155&gt;E155</formula>
    </cfRule>
  </conditionalFormatting>
  <conditionalFormatting sqref="B155">
    <cfRule type="cellIs" dxfId="1120" priority="688" operator="greaterThan">
      <formula>E155</formula>
    </cfRule>
  </conditionalFormatting>
  <conditionalFormatting sqref="E155">
    <cfRule type="cellIs" dxfId="1119" priority="687" operator="greaterThan">
      <formula>B155</formula>
    </cfRule>
  </conditionalFormatting>
  <conditionalFormatting sqref="D156">
    <cfRule type="expression" dxfId="1118" priority="686">
      <formula>E156&gt;B156</formula>
    </cfRule>
  </conditionalFormatting>
  <conditionalFormatting sqref="C156">
    <cfRule type="expression" dxfId="1117" priority="685">
      <formula>B156&gt;E156</formula>
    </cfRule>
  </conditionalFormatting>
  <conditionalFormatting sqref="B156">
    <cfRule type="cellIs" dxfId="1116" priority="684" operator="greaterThan">
      <formula>E156</formula>
    </cfRule>
  </conditionalFormatting>
  <conditionalFormatting sqref="E156">
    <cfRule type="cellIs" dxfId="1115" priority="683" operator="greaterThan">
      <formula>B156</formula>
    </cfRule>
  </conditionalFormatting>
  <conditionalFormatting sqref="D157">
    <cfRule type="expression" dxfId="1114" priority="682">
      <formula>E157&gt;B157</formula>
    </cfRule>
  </conditionalFormatting>
  <conditionalFormatting sqref="C157">
    <cfRule type="expression" dxfId="1113" priority="681">
      <formula>B157&gt;E157</formula>
    </cfRule>
  </conditionalFormatting>
  <conditionalFormatting sqref="B157">
    <cfRule type="cellIs" dxfId="1112" priority="680" operator="greaterThan">
      <formula>E157</formula>
    </cfRule>
  </conditionalFormatting>
  <conditionalFormatting sqref="E157">
    <cfRule type="cellIs" dxfId="1111" priority="679" operator="greaterThan">
      <formula>B157</formula>
    </cfRule>
  </conditionalFormatting>
  <conditionalFormatting sqref="D158">
    <cfRule type="expression" dxfId="1110" priority="678">
      <formula>E158&gt;B158</formula>
    </cfRule>
  </conditionalFormatting>
  <conditionalFormatting sqref="C158">
    <cfRule type="expression" dxfId="1109" priority="677">
      <formula>B158&gt;E158</formula>
    </cfRule>
  </conditionalFormatting>
  <conditionalFormatting sqref="B158">
    <cfRule type="cellIs" dxfId="1108" priority="676" operator="greaterThan">
      <formula>E158</formula>
    </cfRule>
  </conditionalFormatting>
  <conditionalFormatting sqref="E158">
    <cfRule type="cellIs" dxfId="1107" priority="675" operator="greaterThan">
      <formula>B158</formula>
    </cfRule>
  </conditionalFormatting>
  <conditionalFormatting sqref="D159">
    <cfRule type="expression" dxfId="1106" priority="674">
      <formula>E159&gt;B159</formula>
    </cfRule>
  </conditionalFormatting>
  <conditionalFormatting sqref="C159">
    <cfRule type="expression" dxfId="1105" priority="673">
      <formula>B159&gt;E159</formula>
    </cfRule>
  </conditionalFormatting>
  <conditionalFormatting sqref="B159">
    <cfRule type="cellIs" dxfId="1104" priority="672" operator="greaterThan">
      <formula>E159</formula>
    </cfRule>
  </conditionalFormatting>
  <conditionalFormatting sqref="E159">
    <cfRule type="cellIs" dxfId="1103" priority="671" operator="greaterThan">
      <formula>B159</formula>
    </cfRule>
  </conditionalFormatting>
  <conditionalFormatting sqref="D160">
    <cfRule type="expression" dxfId="1102" priority="670">
      <formula>E160&gt;B160</formula>
    </cfRule>
  </conditionalFormatting>
  <conditionalFormatting sqref="C160">
    <cfRule type="expression" dxfId="1101" priority="669">
      <formula>B160&gt;E160</formula>
    </cfRule>
  </conditionalFormatting>
  <conditionalFormatting sqref="B160">
    <cfRule type="cellIs" dxfId="1100" priority="668" operator="greaterThan">
      <formula>E160</formula>
    </cfRule>
  </conditionalFormatting>
  <conditionalFormatting sqref="E160">
    <cfRule type="cellIs" dxfId="1099" priority="667" operator="greaterThan">
      <formula>B160</formula>
    </cfRule>
  </conditionalFormatting>
  <conditionalFormatting sqref="D161">
    <cfRule type="expression" dxfId="1098" priority="666">
      <formula>E161&gt;B161</formula>
    </cfRule>
  </conditionalFormatting>
  <conditionalFormatting sqref="C161">
    <cfRule type="expression" dxfId="1097" priority="665">
      <formula>B161&gt;E161</formula>
    </cfRule>
  </conditionalFormatting>
  <conditionalFormatting sqref="B161">
    <cfRule type="cellIs" dxfId="1096" priority="664" operator="greaterThan">
      <formula>E161</formula>
    </cfRule>
  </conditionalFormatting>
  <conditionalFormatting sqref="E161">
    <cfRule type="cellIs" dxfId="1095" priority="663" operator="greaterThan">
      <formula>B161</formula>
    </cfRule>
  </conditionalFormatting>
  <conditionalFormatting sqref="D162">
    <cfRule type="expression" dxfId="1094" priority="662">
      <formula>E162&gt;B162</formula>
    </cfRule>
  </conditionalFormatting>
  <conditionalFormatting sqref="C162">
    <cfRule type="expression" dxfId="1093" priority="661">
      <formula>B162&gt;E162</formula>
    </cfRule>
  </conditionalFormatting>
  <conditionalFormatting sqref="B162">
    <cfRule type="cellIs" dxfId="1092" priority="660" operator="greaterThan">
      <formula>E162</formula>
    </cfRule>
  </conditionalFormatting>
  <conditionalFormatting sqref="E162">
    <cfRule type="cellIs" dxfId="1091" priority="659" operator="greaterThan">
      <formula>B162</formula>
    </cfRule>
  </conditionalFormatting>
  <conditionalFormatting sqref="D163">
    <cfRule type="expression" dxfId="1090" priority="658">
      <formula>E163&gt;B163</formula>
    </cfRule>
  </conditionalFormatting>
  <conditionalFormatting sqref="C163">
    <cfRule type="expression" dxfId="1089" priority="657">
      <formula>B163&gt;E163</formula>
    </cfRule>
  </conditionalFormatting>
  <conditionalFormatting sqref="B163">
    <cfRule type="cellIs" dxfId="1088" priority="656" operator="greaterThan">
      <formula>E163</formula>
    </cfRule>
  </conditionalFormatting>
  <conditionalFormatting sqref="E163">
    <cfRule type="cellIs" dxfId="1087" priority="655" operator="greaterThan">
      <formula>B163</formula>
    </cfRule>
  </conditionalFormatting>
  <conditionalFormatting sqref="D164 D170 D176 D182 D188 D194">
    <cfRule type="expression" dxfId="1086" priority="654">
      <formula>E164&gt;B164</formula>
    </cfRule>
  </conditionalFormatting>
  <conditionalFormatting sqref="C164 C170 C176 C182 C188 C194">
    <cfRule type="expression" dxfId="1085" priority="653">
      <formula>B164&gt;E164</formula>
    </cfRule>
  </conditionalFormatting>
  <conditionalFormatting sqref="B164 B170 B176 B182 B188 B194">
    <cfRule type="cellIs" dxfId="1084" priority="652" operator="greaterThan">
      <formula>E164</formula>
    </cfRule>
  </conditionalFormatting>
  <conditionalFormatting sqref="E164 E170 E176 E182 E188 E194">
    <cfRule type="cellIs" dxfId="1083" priority="651" operator="greaterThan">
      <formula>B164</formula>
    </cfRule>
  </conditionalFormatting>
  <conditionalFormatting sqref="D165 D171 D177 D183 D189 D195">
    <cfRule type="expression" dxfId="1082" priority="650">
      <formula>E165&gt;B165</formula>
    </cfRule>
  </conditionalFormatting>
  <conditionalFormatting sqref="C165 C171 C177 C183 C189 C195">
    <cfRule type="expression" dxfId="1081" priority="649">
      <formula>B165&gt;E165</formula>
    </cfRule>
  </conditionalFormatting>
  <conditionalFormatting sqref="B165 B171 B177 B183 B189 B195">
    <cfRule type="cellIs" dxfId="1080" priority="648" operator="greaterThan">
      <formula>E165</formula>
    </cfRule>
  </conditionalFormatting>
  <conditionalFormatting sqref="E165 E171 E177 E183 E189 E195">
    <cfRule type="cellIs" dxfId="1079" priority="647" operator="greaterThan">
      <formula>B165</formula>
    </cfRule>
  </conditionalFormatting>
  <conditionalFormatting sqref="D166 D172 D178 D184 D190 D196">
    <cfRule type="expression" dxfId="1078" priority="646">
      <formula>E166&gt;B166</formula>
    </cfRule>
  </conditionalFormatting>
  <conditionalFormatting sqref="C166 C172 C178 C184 C190 C196">
    <cfRule type="expression" dxfId="1077" priority="645">
      <formula>B166&gt;E166</formula>
    </cfRule>
  </conditionalFormatting>
  <conditionalFormatting sqref="B166 B172 B178 B184 B190 B196">
    <cfRule type="cellIs" dxfId="1076" priority="644" operator="greaterThan">
      <formula>E166</formula>
    </cfRule>
  </conditionalFormatting>
  <conditionalFormatting sqref="E166 E172 E178 E184 E190 E196">
    <cfRule type="cellIs" dxfId="1075" priority="643" operator="greaterThan">
      <formula>B166</formula>
    </cfRule>
  </conditionalFormatting>
  <conditionalFormatting sqref="D167 D173 D179 D185 D191 D197">
    <cfRule type="expression" dxfId="1074" priority="642">
      <formula>E167&gt;B167</formula>
    </cfRule>
  </conditionalFormatting>
  <conditionalFormatting sqref="C167 C173 C179 C185 C191 C197">
    <cfRule type="expression" dxfId="1073" priority="641">
      <formula>B167&gt;E167</formula>
    </cfRule>
  </conditionalFormatting>
  <conditionalFormatting sqref="B167 B173 B179 B185 B191 B197">
    <cfRule type="cellIs" dxfId="1072" priority="640" operator="greaterThan">
      <formula>E167</formula>
    </cfRule>
  </conditionalFormatting>
  <conditionalFormatting sqref="E167 E173 E179 E185 E191 E197">
    <cfRule type="cellIs" dxfId="1071" priority="639" operator="greaterThan">
      <formula>B167</formula>
    </cfRule>
  </conditionalFormatting>
  <conditionalFormatting sqref="D168 D174 D180 D186 D192 D198">
    <cfRule type="expression" dxfId="1070" priority="638">
      <formula>E168&gt;B168</formula>
    </cfRule>
  </conditionalFormatting>
  <conditionalFormatting sqref="C168 C174 C180 C186 C192 C198">
    <cfRule type="expression" dxfId="1069" priority="637">
      <formula>B168&gt;E168</formula>
    </cfRule>
  </conditionalFormatting>
  <conditionalFormatting sqref="B168 B174 B180 B186 B192 B198">
    <cfRule type="cellIs" dxfId="1068" priority="636" operator="greaterThan">
      <formula>E168</formula>
    </cfRule>
  </conditionalFormatting>
  <conditionalFormatting sqref="E168 E174 E180 E186 E192 E198">
    <cfRule type="cellIs" dxfId="1067" priority="635" operator="greaterThan">
      <formula>B168</formula>
    </cfRule>
  </conditionalFormatting>
  <conditionalFormatting sqref="D169 D175 D181 D187 D193 D199">
    <cfRule type="expression" dxfId="1066" priority="634">
      <formula>E169&gt;B169</formula>
    </cfRule>
  </conditionalFormatting>
  <conditionalFormatting sqref="C169 C175 C181 C187 C193 C199">
    <cfRule type="expression" dxfId="1065" priority="633">
      <formula>B169&gt;E169</formula>
    </cfRule>
  </conditionalFormatting>
  <conditionalFormatting sqref="B169 B175 B181 B187 B193 B199">
    <cfRule type="cellIs" dxfId="1064" priority="632" operator="greaterThan">
      <formula>E169</formula>
    </cfRule>
  </conditionalFormatting>
  <conditionalFormatting sqref="E169 E175 E181 E187 E193 E199">
    <cfRule type="cellIs" dxfId="1063" priority="631" operator="greaterThan">
      <formula>B169</formula>
    </cfRule>
  </conditionalFormatting>
  <conditionalFormatting sqref="V60:V157">
    <cfRule type="cellIs" dxfId="1062" priority="629" operator="equal">
      <formula>0</formula>
    </cfRule>
  </conditionalFormatting>
  <conditionalFormatting sqref="V158:V199">
    <cfRule type="cellIs" dxfId="1061" priority="628" operator="equal">
      <formula>0</formula>
    </cfRule>
  </conditionalFormatting>
  <conditionalFormatting sqref="S1">
    <cfRule type="cellIs" dxfId="1060" priority="627" operator="equal">
      <formula>"OPCIONES"</formula>
    </cfRule>
  </conditionalFormatting>
  <conditionalFormatting sqref="X1">
    <cfRule type="cellIs" dxfId="1059" priority="624" operator="equal">
      <formula>"STOP"</formula>
    </cfRule>
  </conditionalFormatting>
  <conditionalFormatting sqref="U1">
    <cfRule type="cellIs" dxfId="1058" priority="623" operator="equal">
      <formula>"STOP"</formula>
    </cfRule>
  </conditionalFormatting>
  <conditionalFormatting sqref="U1">
    <cfRule type="cellIs" dxfId="1057" priority="617" operator="greaterThan">
      <formula>0</formula>
    </cfRule>
  </conditionalFormatting>
  <conditionalFormatting sqref="F30">
    <cfRule type="expression" dxfId="1056" priority="604">
      <formula>$G30&gt;0</formula>
    </cfRule>
    <cfRule type="expression" dxfId="1055" priority="614">
      <formula>$G30&lt;0</formula>
    </cfRule>
  </conditionalFormatting>
  <conditionalFormatting sqref="F31">
    <cfRule type="expression" dxfId="1054" priority="602">
      <formula>$G31&gt;0</formula>
    </cfRule>
    <cfRule type="expression" dxfId="1053" priority="603">
      <formula>$G31&lt;0</formula>
    </cfRule>
  </conditionalFormatting>
  <conditionalFormatting sqref="F32">
    <cfRule type="expression" dxfId="1052" priority="600">
      <formula>$G32&gt;0</formula>
    </cfRule>
    <cfRule type="expression" dxfId="1051" priority="601">
      <formula>$G32&lt;0</formula>
    </cfRule>
  </conditionalFormatting>
  <conditionalFormatting sqref="F33">
    <cfRule type="expression" dxfId="1050" priority="598">
      <formula>$G33&gt;0</formula>
    </cfRule>
    <cfRule type="expression" dxfId="1049" priority="599">
      <formula>$G33&lt;0</formula>
    </cfRule>
  </conditionalFormatting>
  <conditionalFormatting sqref="F34">
    <cfRule type="expression" dxfId="1048" priority="596">
      <formula>$G34&gt;0</formula>
    </cfRule>
    <cfRule type="expression" dxfId="1047" priority="597">
      <formula>$G34&lt;0</formula>
    </cfRule>
  </conditionalFormatting>
  <conditionalFormatting sqref="F35">
    <cfRule type="expression" dxfId="1046" priority="594">
      <formula>$G35&gt;0</formula>
    </cfRule>
    <cfRule type="expression" dxfId="1045" priority="595">
      <formula>$G35&lt;0</formula>
    </cfRule>
  </conditionalFormatting>
  <conditionalFormatting sqref="F36">
    <cfRule type="expression" dxfId="1044" priority="592">
      <formula>$G36&gt;0</formula>
    </cfRule>
    <cfRule type="expression" dxfId="1043" priority="593">
      <formula>$G36&lt;0</formula>
    </cfRule>
  </conditionalFormatting>
  <conditionalFormatting sqref="F37">
    <cfRule type="expression" dxfId="1042" priority="590">
      <formula>$G37&gt;0</formula>
    </cfRule>
    <cfRule type="expression" dxfId="1041" priority="591">
      <formula>$G37&lt;0</formula>
    </cfRule>
  </conditionalFormatting>
  <conditionalFormatting sqref="F38">
    <cfRule type="expression" dxfId="1040" priority="588">
      <formula>$G38&gt;0</formula>
    </cfRule>
    <cfRule type="expression" dxfId="1039" priority="589">
      <formula>$G38&lt;0</formula>
    </cfRule>
  </conditionalFormatting>
  <conditionalFormatting sqref="F39">
    <cfRule type="expression" dxfId="1038" priority="586">
      <formula>$G39&gt;0</formula>
    </cfRule>
    <cfRule type="expression" dxfId="1037" priority="587">
      <formula>$G39&lt;0</formula>
    </cfRule>
  </conditionalFormatting>
  <conditionalFormatting sqref="G40:G49">
    <cfRule type="cellIs" dxfId="1036" priority="584" operator="lessThan">
      <formula>0</formula>
    </cfRule>
    <cfRule type="cellIs" dxfId="1035" priority="585" operator="greaterThan">
      <formula>0</formula>
    </cfRule>
  </conditionalFormatting>
  <conditionalFormatting sqref="F40">
    <cfRule type="expression" dxfId="1034" priority="582">
      <formula>$G40&gt;0</formula>
    </cfRule>
    <cfRule type="expression" dxfId="1033" priority="583">
      <formula>$G40&lt;0</formula>
    </cfRule>
  </conditionalFormatting>
  <conditionalFormatting sqref="F41">
    <cfRule type="expression" dxfId="1032" priority="580">
      <formula>$G41&gt;0</formula>
    </cfRule>
    <cfRule type="expression" dxfId="1031" priority="581">
      <formula>$G41&lt;0</formula>
    </cfRule>
  </conditionalFormatting>
  <conditionalFormatting sqref="F42">
    <cfRule type="expression" dxfId="1030" priority="578">
      <formula>$G42&gt;0</formula>
    </cfRule>
    <cfRule type="expression" dxfId="1029" priority="579">
      <formula>$G42&lt;0</formula>
    </cfRule>
  </conditionalFormatting>
  <conditionalFormatting sqref="F43">
    <cfRule type="expression" dxfId="1028" priority="576">
      <formula>$G43&gt;0</formula>
    </cfRule>
    <cfRule type="expression" dxfId="1027" priority="577">
      <formula>$G43&lt;0</formula>
    </cfRule>
  </conditionalFormatting>
  <conditionalFormatting sqref="F44">
    <cfRule type="expression" dxfId="1026" priority="574">
      <formula>$G44&gt;0</formula>
    </cfRule>
    <cfRule type="expression" dxfId="1025" priority="575">
      <formula>$G44&lt;0</formula>
    </cfRule>
  </conditionalFormatting>
  <conditionalFormatting sqref="F45">
    <cfRule type="expression" dxfId="1024" priority="572">
      <formula>$G45&gt;0</formula>
    </cfRule>
    <cfRule type="expression" dxfId="1023" priority="573">
      <formula>$G45&lt;0</formula>
    </cfRule>
  </conditionalFormatting>
  <conditionalFormatting sqref="F46">
    <cfRule type="expression" dxfId="1022" priority="570">
      <formula>$G46&gt;0</formula>
    </cfRule>
    <cfRule type="expression" dxfId="1021" priority="571">
      <formula>$G46&lt;0</formula>
    </cfRule>
  </conditionalFormatting>
  <conditionalFormatting sqref="F47">
    <cfRule type="expression" dxfId="1020" priority="568">
      <formula>$G47&gt;0</formula>
    </cfRule>
    <cfRule type="expression" dxfId="1019" priority="569">
      <formula>$G47&lt;0</formula>
    </cfRule>
  </conditionalFormatting>
  <conditionalFormatting sqref="F48">
    <cfRule type="expression" dxfId="1018" priority="566">
      <formula>$G48&gt;0</formula>
    </cfRule>
    <cfRule type="expression" dxfId="1017" priority="567">
      <formula>$G48&lt;0</formula>
    </cfRule>
  </conditionalFormatting>
  <conditionalFormatting sqref="F49">
    <cfRule type="expression" dxfId="1016" priority="564">
      <formula>$G49&gt;0</formula>
    </cfRule>
    <cfRule type="expression" dxfId="1015" priority="565">
      <formula>$G49&lt;0</formula>
    </cfRule>
  </conditionalFormatting>
  <conditionalFormatting sqref="G50:G59">
    <cfRule type="cellIs" dxfId="1014" priority="562" operator="lessThan">
      <formula>0</formula>
    </cfRule>
    <cfRule type="cellIs" dxfId="1013" priority="563" operator="greaterThan">
      <formula>0</formula>
    </cfRule>
  </conditionalFormatting>
  <conditionalFormatting sqref="F50">
    <cfRule type="expression" dxfId="1012" priority="560">
      <formula>$G50&gt;0</formula>
    </cfRule>
    <cfRule type="expression" dxfId="1011" priority="561">
      <formula>$G50&lt;0</formula>
    </cfRule>
  </conditionalFormatting>
  <conditionalFormatting sqref="F51">
    <cfRule type="expression" dxfId="1010" priority="558">
      <formula>$G51&gt;0</formula>
    </cfRule>
    <cfRule type="expression" dxfId="1009" priority="559">
      <formula>$G51&lt;0</formula>
    </cfRule>
  </conditionalFormatting>
  <conditionalFormatting sqref="F52">
    <cfRule type="expression" dxfId="1008" priority="556">
      <formula>$G52&gt;0</formula>
    </cfRule>
    <cfRule type="expression" dxfId="1007" priority="557">
      <formula>$G52&lt;0</formula>
    </cfRule>
  </conditionalFormatting>
  <conditionalFormatting sqref="F53">
    <cfRule type="expression" dxfId="1006" priority="554">
      <formula>$G53&gt;0</formula>
    </cfRule>
    <cfRule type="expression" dxfId="1005" priority="555">
      <formula>$G53&lt;0</formula>
    </cfRule>
  </conditionalFormatting>
  <conditionalFormatting sqref="F54">
    <cfRule type="expression" dxfId="1004" priority="552">
      <formula>$G54&gt;0</formula>
    </cfRule>
    <cfRule type="expression" dxfId="1003" priority="553">
      <formula>$G54&lt;0</formula>
    </cfRule>
  </conditionalFormatting>
  <conditionalFormatting sqref="F55">
    <cfRule type="expression" dxfId="1002" priority="550">
      <formula>$G55&gt;0</formula>
    </cfRule>
    <cfRule type="expression" dxfId="1001" priority="551">
      <formula>$G55&lt;0</formula>
    </cfRule>
  </conditionalFormatting>
  <conditionalFormatting sqref="F56">
    <cfRule type="expression" dxfId="1000" priority="548">
      <formula>$G56&gt;0</formula>
    </cfRule>
    <cfRule type="expression" dxfId="999" priority="549">
      <formula>$G56&lt;0</formula>
    </cfRule>
  </conditionalFormatting>
  <conditionalFormatting sqref="F57">
    <cfRule type="expression" dxfId="998" priority="546">
      <formula>$G57&gt;0</formula>
    </cfRule>
    <cfRule type="expression" dxfId="997" priority="547">
      <formula>$G57&lt;0</formula>
    </cfRule>
  </conditionalFormatting>
  <conditionalFormatting sqref="F58">
    <cfRule type="expression" dxfId="996" priority="544">
      <formula>$G58&gt;0</formula>
    </cfRule>
    <cfRule type="expression" dxfId="995" priority="545">
      <formula>$G58&lt;0</formula>
    </cfRule>
  </conditionalFormatting>
  <conditionalFormatting sqref="F59">
    <cfRule type="expression" dxfId="994" priority="542">
      <formula>$G59&gt;0</formula>
    </cfRule>
    <cfRule type="expression" dxfId="993" priority="543">
      <formula>$G59&lt;0</formula>
    </cfRule>
  </conditionalFormatting>
  <conditionalFormatting sqref="G2:G5">
    <cfRule type="cellIs" dxfId="992" priority="540" operator="lessThan">
      <formula>0</formula>
    </cfRule>
    <cfRule type="cellIs" dxfId="991" priority="541" operator="greaterThan">
      <formula>0</formula>
    </cfRule>
  </conditionalFormatting>
  <conditionalFormatting sqref="F2">
    <cfRule type="expression" dxfId="990" priority="538">
      <formula>$G2&gt;0</formula>
    </cfRule>
    <cfRule type="expression" dxfId="989" priority="539">
      <formula>$G2&lt;0</formula>
    </cfRule>
  </conditionalFormatting>
  <conditionalFormatting sqref="F3">
    <cfRule type="expression" dxfId="988" priority="536">
      <formula>$G3&gt;0</formula>
    </cfRule>
    <cfRule type="expression" dxfId="987" priority="537">
      <formula>$G3&lt;0</formula>
    </cfRule>
  </conditionalFormatting>
  <conditionalFormatting sqref="F4">
    <cfRule type="expression" dxfId="986" priority="534">
      <formula>$G4&gt;0</formula>
    </cfRule>
    <cfRule type="expression" dxfId="985" priority="535">
      <formula>$G4&lt;0</formula>
    </cfRule>
  </conditionalFormatting>
  <conditionalFormatting sqref="F5">
    <cfRule type="expression" dxfId="984" priority="532">
      <formula>$G5&gt;0</formula>
    </cfRule>
    <cfRule type="expression" dxfId="983" priority="533">
      <formula>$G5&lt;0</formula>
    </cfRule>
  </conditionalFormatting>
  <conditionalFormatting sqref="G6:G9">
    <cfRule type="cellIs" dxfId="982" priority="530" operator="lessThan">
      <formula>0</formula>
    </cfRule>
    <cfRule type="cellIs" dxfId="981" priority="531" operator="greaterThan">
      <formula>0</formula>
    </cfRule>
  </conditionalFormatting>
  <conditionalFormatting sqref="F6">
    <cfRule type="expression" dxfId="980" priority="528">
      <formula>$G6&gt;0</formula>
    </cfRule>
    <cfRule type="expression" dxfId="979" priority="529">
      <formula>$G6&lt;0</formula>
    </cfRule>
  </conditionalFormatting>
  <conditionalFormatting sqref="F7">
    <cfRule type="expression" dxfId="978" priority="526">
      <formula>$G7&gt;0</formula>
    </cfRule>
    <cfRule type="expression" dxfId="977" priority="527">
      <formula>$G7&lt;0</formula>
    </cfRule>
  </conditionalFormatting>
  <conditionalFormatting sqref="F8">
    <cfRule type="expression" dxfId="976" priority="524">
      <formula>$G8&gt;0</formula>
    </cfRule>
    <cfRule type="expression" dxfId="975" priority="525">
      <formula>$G8&lt;0</formula>
    </cfRule>
  </conditionalFormatting>
  <conditionalFormatting sqref="F9">
    <cfRule type="expression" dxfId="974" priority="522">
      <formula>$G9&gt;0</formula>
    </cfRule>
    <cfRule type="expression" dxfId="973" priority="523">
      <formula>$G9&lt;0</formula>
    </cfRule>
  </conditionalFormatting>
  <conditionalFormatting sqref="G10:G13">
    <cfRule type="cellIs" dxfId="972" priority="520" operator="lessThan">
      <formula>0</formula>
    </cfRule>
    <cfRule type="cellIs" dxfId="971" priority="521" operator="greaterThan">
      <formula>0</formula>
    </cfRule>
  </conditionalFormatting>
  <conditionalFormatting sqref="F10">
    <cfRule type="expression" dxfId="970" priority="518">
      <formula>$G10&gt;0</formula>
    </cfRule>
    <cfRule type="expression" dxfId="969" priority="519">
      <formula>$G10&lt;0</formula>
    </cfRule>
  </conditionalFormatting>
  <conditionalFormatting sqref="F11">
    <cfRule type="expression" dxfId="968" priority="516">
      <formula>$G11&gt;0</formula>
    </cfRule>
    <cfRule type="expression" dxfId="967" priority="517">
      <formula>$G11&lt;0</formula>
    </cfRule>
  </conditionalFormatting>
  <conditionalFormatting sqref="F12">
    <cfRule type="expression" dxfId="966" priority="514">
      <formula>$G12&gt;0</formula>
    </cfRule>
    <cfRule type="expression" dxfId="965" priority="515">
      <formula>$G12&lt;0</formula>
    </cfRule>
  </conditionalFormatting>
  <conditionalFormatting sqref="F13">
    <cfRule type="expression" dxfId="964" priority="512">
      <formula>$G13&gt;0</formula>
    </cfRule>
    <cfRule type="expression" dxfId="963" priority="513">
      <formula>$G13&lt;0</formula>
    </cfRule>
  </conditionalFormatting>
  <conditionalFormatting sqref="G14:G17">
    <cfRule type="cellIs" dxfId="962" priority="510" operator="lessThan">
      <formula>0</formula>
    </cfRule>
    <cfRule type="cellIs" dxfId="961" priority="511" operator="greaterThan">
      <formula>0</formula>
    </cfRule>
  </conditionalFormatting>
  <conditionalFormatting sqref="F14">
    <cfRule type="expression" dxfId="960" priority="508">
      <formula>$G14&gt;0</formula>
    </cfRule>
    <cfRule type="expression" dxfId="959" priority="509">
      <formula>$G14&lt;0</formula>
    </cfRule>
  </conditionalFormatting>
  <conditionalFormatting sqref="F15">
    <cfRule type="expression" dxfId="958" priority="506">
      <formula>$G15&gt;0</formula>
    </cfRule>
    <cfRule type="expression" dxfId="957" priority="507">
      <formula>$G15&lt;0</formula>
    </cfRule>
  </conditionalFormatting>
  <conditionalFormatting sqref="F16">
    <cfRule type="expression" dxfId="956" priority="504">
      <formula>$G16&gt;0</formula>
    </cfRule>
    <cfRule type="expression" dxfId="955" priority="505">
      <formula>$G16&lt;0</formula>
    </cfRule>
  </conditionalFormatting>
  <conditionalFormatting sqref="F17">
    <cfRule type="expression" dxfId="954" priority="502">
      <formula>$G17&gt;0</formula>
    </cfRule>
    <cfRule type="expression" dxfId="953" priority="503">
      <formula>$G17&lt;0</formula>
    </cfRule>
  </conditionalFormatting>
  <conditionalFormatting sqref="G18:G21">
    <cfRule type="cellIs" dxfId="952" priority="500" operator="lessThan">
      <formula>0</formula>
    </cfRule>
    <cfRule type="cellIs" dxfId="951" priority="501" operator="greaterThan">
      <formula>0</formula>
    </cfRule>
  </conditionalFormatting>
  <conditionalFormatting sqref="F18">
    <cfRule type="expression" dxfId="950" priority="498">
      <formula>$G18&gt;0</formula>
    </cfRule>
    <cfRule type="expression" dxfId="949" priority="499">
      <formula>$G18&lt;0</formula>
    </cfRule>
  </conditionalFormatting>
  <conditionalFormatting sqref="F19">
    <cfRule type="expression" dxfId="948" priority="496">
      <formula>$G19&gt;0</formula>
    </cfRule>
    <cfRule type="expression" dxfId="947" priority="497">
      <formula>$G19&lt;0</formula>
    </cfRule>
  </conditionalFormatting>
  <conditionalFormatting sqref="F20">
    <cfRule type="expression" dxfId="946" priority="494">
      <formula>$G20&gt;0</formula>
    </cfRule>
    <cfRule type="expression" dxfId="945" priority="495">
      <formula>$G20&lt;0</formula>
    </cfRule>
  </conditionalFormatting>
  <conditionalFormatting sqref="F21">
    <cfRule type="expression" dxfId="944" priority="492">
      <formula>$G21&gt;0</formula>
    </cfRule>
    <cfRule type="expression" dxfId="943" priority="493">
      <formula>$G21&lt;0</formula>
    </cfRule>
  </conditionalFormatting>
  <conditionalFormatting sqref="G22:G25">
    <cfRule type="cellIs" dxfId="942" priority="490" operator="lessThan">
      <formula>0</formula>
    </cfRule>
    <cfRule type="cellIs" dxfId="941" priority="491" operator="greaterThan">
      <formula>0</formula>
    </cfRule>
  </conditionalFormatting>
  <conditionalFormatting sqref="F22">
    <cfRule type="expression" dxfId="940" priority="488">
      <formula>$G22&gt;0</formula>
    </cfRule>
    <cfRule type="expression" dxfId="939" priority="489">
      <formula>$G22&lt;0</formula>
    </cfRule>
  </conditionalFormatting>
  <conditionalFormatting sqref="F23">
    <cfRule type="expression" dxfId="938" priority="486">
      <formula>$G23&gt;0</formula>
    </cfRule>
    <cfRule type="expression" dxfId="937" priority="487">
      <formula>$G23&lt;0</formula>
    </cfRule>
  </conditionalFormatting>
  <conditionalFormatting sqref="F24">
    <cfRule type="expression" dxfId="936" priority="484">
      <formula>$G24&gt;0</formula>
    </cfRule>
    <cfRule type="expression" dxfId="935" priority="485">
      <formula>$G24&lt;0</formula>
    </cfRule>
  </conditionalFormatting>
  <conditionalFormatting sqref="F25">
    <cfRule type="expression" dxfId="934" priority="482">
      <formula>$G25&gt;0</formula>
    </cfRule>
    <cfRule type="expression" dxfId="933" priority="483">
      <formula>$G25&lt;0</formula>
    </cfRule>
  </conditionalFormatting>
  <conditionalFormatting sqref="G26:G29">
    <cfRule type="cellIs" dxfId="932" priority="480" operator="lessThan">
      <formula>0</formula>
    </cfRule>
    <cfRule type="cellIs" dxfId="931" priority="481" operator="greaterThan">
      <formula>0</formula>
    </cfRule>
  </conditionalFormatting>
  <conditionalFormatting sqref="F26">
    <cfRule type="expression" dxfId="930" priority="478">
      <formula>$G26&gt;0</formula>
    </cfRule>
    <cfRule type="expression" dxfId="929" priority="479">
      <formula>$G26&lt;0</formula>
    </cfRule>
  </conditionalFormatting>
  <conditionalFormatting sqref="F27">
    <cfRule type="expression" dxfId="928" priority="476">
      <formula>$G27&gt;0</formula>
    </cfRule>
    <cfRule type="expression" dxfId="927" priority="477">
      <formula>$G27&lt;0</formula>
    </cfRule>
  </conditionalFormatting>
  <conditionalFormatting sqref="F28">
    <cfRule type="expression" dxfId="926" priority="474">
      <formula>$G28&gt;0</formula>
    </cfRule>
    <cfRule type="expression" dxfId="925" priority="475">
      <formula>$G28&lt;0</formula>
    </cfRule>
  </conditionalFormatting>
  <conditionalFormatting sqref="F29">
    <cfRule type="expression" dxfId="924" priority="472">
      <formula>$G29&gt;0</formula>
    </cfRule>
    <cfRule type="expression" dxfId="923" priority="473">
      <formula>$G29&lt;0</formula>
    </cfRule>
  </conditionalFormatting>
  <conditionalFormatting sqref="G60:G61">
    <cfRule type="cellIs" dxfId="922" priority="470" operator="lessThan">
      <formula>0</formula>
    </cfRule>
    <cfRule type="cellIs" dxfId="921" priority="471" operator="greaterThan">
      <formula>0</formula>
    </cfRule>
  </conditionalFormatting>
  <conditionalFormatting sqref="F60">
    <cfRule type="expression" dxfId="920" priority="468">
      <formula>$G60&gt;0</formula>
    </cfRule>
    <cfRule type="expression" dxfId="919" priority="469">
      <formula>$G60&lt;0</formula>
    </cfRule>
  </conditionalFormatting>
  <conditionalFormatting sqref="F61">
    <cfRule type="expression" dxfId="918" priority="466">
      <formula>$G61&gt;0</formula>
    </cfRule>
    <cfRule type="expression" dxfId="917" priority="467">
      <formula>$G61&lt;0</formula>
    </cfRule>
  </conditionalFormatting>
  <conditionalFormatting sqref="G62:G65">
    <cfRule type="cellIs" dxfId="916" priority="464" operator="lessThan">
      <formula>0</formula>
    </cfRule>
    <cfRule type="cellIs" dxfId="915" priority="465" operator="greaterThan">
      <formula>0</formula>
    </cfRule>
  </conditionalFormatting>
  <conditionalFormatting sqref="F62">
    <cfRule type="expression" dxfId="914" priority="462">
      <formula>$G62&gt;0</formula>
    </cfRule>
    <cfRule type="expression" dxfId="913" priority="463">
      <formula>$G62&lt;0</formula>
    </cfRule>
  </conditionalFormatting>
  <conditionalFormatting sqref="F63">
    <cfRule type="expression" dxfId="912" priority="460">
      <formula>$G63&gt;0</formula>
    </cfRule>
    <cfRule type="expression" dxfId="911" priority="461">
      <formula>$G63&lt;0</formula>
    </cfRule>
  </conditionalFormatting>
  <conditionalFormatting sqref="F64">
    <cfRule type="expression" dxfId="910" priority="458">
      <formula>$G64&gt;0</formula>
    </cfRule>
    <cfRule type="expression" dxfId="909" priority="459">
      <formula>$G64&lt;0</formula>
    </cfRule>
  </conditionalFormatting>
  <conditionalFormatting sqref="F65">
    <cfRule type="expression" dxfId="908" priority="456">
      <formula>$G65&gt;0</formula>
    </cfRule>
    <cfRule type="expression" dxfId="907" priority="457">
      <formula>$G65&lt;0</formula>
    </cfRule>
  </conditionalFormatting>
  <conditionalFormatting sqref="G66:G67">
    <cfRule type="cellIs" dxfId="906" priority="454" operator="lessThan">
      <formula>0</formula>
    </cfRule>
    <cfRule type="cellIs" dxfId="905" priority="455" operator="greaterThan">
      <formula>0</formula>
    </cfRule>
  </conditionalFormatting>
  <conditionalFormatting sqref="F66">
    <cfRule type="expression" dxfId="904" priority="452">
      <formula>$G66&gt;0</formula>
    </cfRule>
    <cfRule type="expression" dxfId="903" priority="453">
      <formula>$G66&lt;0</formula>
    </cfRule>
  </conditionalFormatting>
  <conditionalFormatting sqref="F67">
    <cfRule type="expression" dxfId="902" priority="450">
      <formula>$G67&gt;0</formula>
    </cfRule>
    <cfRule type="expression" dxfId="901" priority="451">
      <formula>$G67&lt;0</formula>
    </cfRule>
  </conditionalFormatting>
  <conditionalFormatting sqref="G68:G71">
    <cfRule type="cellIs" dxfId="900" priority="448" operator="lessThan">
      <formula>0</formula>
    </cfRule>
    <cfRule type="cellIs" dxfId="899" priority="449" operator="greaterThan">
      <formula>0</formula>
    </cfRule>
  </conditionalFormatting>
  <conditionalFormatting sqref="F68">
    <cfRule type="expression" dxfId="898" priority="446">
      <formula>$G68&gt;0</formula>
    </cfRule>
    <cfRule type="expression" dxfId="897" priority="447">
      <formula>$G68&lt;0</formula>
    </cfRule>
  </conditionalFormatting>
  <conditionalFormatting sqref="F69">
    <cfRule type="expression" dxfId="896" priority="444">
      <formula>$G69&gt;0</formula>
    </cfRule>
    <cfRule type="expression" dxfId="895" priority="445">
      <formula>$G69&lt;0</formula>
    </cfRule>
  </conditionalFormatting>
  <conditionalFormatting sqref="F70">
    <cfRule type="expression" dxfId="894" priority="442">
      <formula>$G70&gt;0</formula>
    </cfRule>
    <cfRule type="expression" dxfId="893" priority="443">
      <formula>$G70&lt;0</formula>
    </cfRule>
  </conditionalFormatting>
  <conditionalFormatting sqref="F71">
    <cfRule type="expression" dxfId="892" priority="440">
      <formula>$G71&gt;0</formula>
    </cfRule>
    <cfRule type="expression" dxfId="891" priority="441">
      <formula>$G71&lt;0</formula>
    </cfRule>
  </conditionalFormatting>
  <conditionalFormatting sqref="G72:G73">
    <cfRule type="cellIs" dxfId="890" priority="438" operator="lessThan">
      <formula>0</formula>
    </cfRule>
    <cfRule type="cellIs" dxfId="889" priority="439" operator="greaterThan">
      <formula>0</formula>
    </cfRule>
  </conditionalFormatting>
  <conditionalFormatting sqref="F72">
    <cfRule type="expression" dxfId="888" priority="436">
      <formula>$G72&gt;0</formula>
    </cfRule>
    <cfRule type="expression" dxfId="887" priority="437">
      <formula>$G72&lt;0</formula>
    </cfRule>
  </conditionalFormatting>
  <conditionalFormatting sqref="F73">
    <cfRule type="expression" dxfId="886" priority="434">
      <formula>$G73&gt;0</formula>
    </cfRule>
    <cfRule type="expression" dxfId="885" priority="435">
      <formula>$G73&lt;0</formula>
    </cfRule>
  </conditionalFormatting>
  <conditionalFormatting sqref="G74:G77">
    <cfRule type="cellIs" dxfId="884" priority="432" operator="lessThan">
      <formula>0</formula>
    </cfRule>
    <cfRule type="cellIs" dxfId="883" priority="433" operator="greaterThan">
      <formula>0</formula>
    </cfRule>
  </conditionalFormatting>
  <conditionalFormatting sqref="F74">
    <cfRule type="expression" dxfId="882" priority="430">
      <formula>$G74&gt;0</formula>
    </cfRule>
    <cfRule type="expression" dxfId="881" priority="431">
      <formula>$G74&lt;0</formula>
    </cfRule>
  </conditionalFormatting>
  <conditionalFormatting sqref="F75">
    <cfRule type="expression" dxfId="880" priority="428">
      <formula>$G75&gt;0</formula>
    </cfRule>
    <cfRule type="expression" dxfId="879" priority="429">
      <formula>$G75&lt;0</formula>
    </cfRule>
  </conditionalFormatting>
  <conditionalFormatting sqref="F76">
    <cfRule type="expression" dxfId="878" priority="426">
      <formula>$G76&gt;0</formula>
    </cfRule>
    <cfRule type="expression" dxfId="877" priority="427">
      <formula>$G76&lt;0</formula>
    </cfRule>
  </conditionalFormatting>
  <conditionalFormatting sqref="F77">
    <cfRule type="expression" dxfId="876" priority="424">
      <formula>$G77&gt;0</formula>
    </cfRule>
    <cfRule type="expression" dxfId="875" priority="425">
      <formula>$G77&lt;0</formula>
    </cfRule>
  </conditionalFormatting>
  <conditionalFormatting sqref="G78:G79">
    <cfRule type="cellIs" dxfId="874" priority="422" operator="lessThan">
      <formula>0</formula>
    </cfRule>
    <cfRule type="cellIs" dxfId="873" priority="423" operator="greaterThan">
      <formula>0</formula>
    </cfRule>
  </conditionalFormatting>
  <conditionalFormatting sqref="F78">
    <cfRule type="expression" dxfId="872" priority="420">
      <formula>$G78&gt;0</formula>
    </cfRule>
    <cfRule type="expression" dxfId="871" priority="421">
      <formula>$G78&lt;0</formula>
    </cfRule>
  </conditionalFormatting>
  <conditionalFormatting sqref="F79">
    <cfRule type="expression" dxfId="870" priority="418">
      <formula>$G79&gt;0</formula>
    </cfRule>
    <cfRule type="expression" dxfId="869" priority="419">
      <formula>$G79&lt;0</formula>
    </cfRule>
  </conditionalFormatting>
  <conditionalFormatting sqref="G80:G83">
    <cfRule type="cellIs" dxfId="868" priority="416" operator="lessThan">
      <formula>0</formula>
    </cfRule>
    <cfRule type="cellIs" dxfId="867" priority="417" operator="greaterThan">
      <formula>0</formula>
    </cfRule>
  </conditionalFormatting>
  <conditionalFormatting sqref="F80">
    <cfRule type="expression" dxfId="866" priority="414">
      <formula>$G80&gt;0</formula>
    </cfRule>
    <cfRule type="expression" dxfId="865" priority="415">
      <formula>$G80&lt;0</formula>
    </cfRule>
  </conditionalFormatting>
  <conditionalFormatting sqref="F81">
    <cfRule type="expression" dxfId="864" priority="412">
      <formula>$G81&gt;0</formula>
    </cfRule>
    <cfRule type="expression" dxfId="863" priority="413">
      <formula>$G81&lt;0</formula>
    </cfRule>
  </conditionalFormatting>
  <conditionalFormatting sqref="F82">
    <cfRule type="expression" dxfId="862" priority="410">
      <formula>$G82&gt;0</formula>
    </cfRule>
    <cfRule type="expression" dxfId="861" priority="411">
      <formula>$G82&lt;0</formula>
    </cfRule>
  </conditionalFormatting>
  <conditionalFormatting sqref="F83">
    <cfRule type="expression" dxfId="860" priority="408">
      <formula>$G83&gt;0</formula>
    </cfRule>
    <cfRule type="expression" dxfId="859" priority="409">
      <formula>$G83&lt;0</formula>
    </cfRule>
  </conditionalFormatting>
  <conditionalFormatting sqref="G84:G85">
    <cfRule type="cellIs" dxfId="858" priority="406" operator="lessThan">
      <formula>0</formula>
    </cfRule>
    <cfRule type="cellIs" dxfId="857" priority="407" operator="greaterThan">
      <formula>0</formula>
    </cfRule>
  </conditionalFormatting>
  <conditionalFormatting sqref="F84">
    <cfRule type="expression" dxfId="856" priority="404">
      <formula>$G84&gt;0</formula>
    </cfRule>
    <cfRule type="expression" dxfId="855" priority="405">
      <formula>$G84&lt;0</formula>
    </cfRule>
  </conditionalFormatting>
  <conditionalFormatting sqref="F85">
    <cfRule type="expression" dxfId="854" priority="402">
      <formula>$G85&gt;0</formula>
    </cfRule>
    <cfRule type="expression" dxfId="853" priority="403">
      <formula>$G85&lt;0</formula>
    </cfRule>
  </conditionalFormatting>
  <conditionalFormatting sqref="G86:G89">
    <cfRule type="cellIs" dxfId="852" priority="400" operator="lessThan">
      <formula>0</formula>
    </cfRule>
    <cfRule type="cellIs" dxfId="851" priority="401" operator="greaterThan">
      <formula>0</formula>
    </cfRule>
  </conditionalFormatting>
  <conditionalFormatting sqref="F86">
    <cfRule type="expression" dxfId="850" priority="398">
      <formula>$G86&gt;0</formula>
    </cfRule>
    <cfRule type="expression" dxfId="849" priority="399">
      <formula>$G86&lt;0</formula>
    </cfRule>
  </conditionalFormatting>
  <conditionalFormatting sqref="F87">
    <cfRule type="expression" dxfId="848" priority="396">
      <formula>$G87&gt;0</formula>
    </cfRule>
    <cfRule type="expression" dxfId="847" priority="397">
      <formula>$G87&lt;0</formula>
    </cfRule>
  </conditionalFormatting>
  <conditionalFormatting sqref="F88">
    <cfRule type="expression" dxfId="846" priority="394">
      <formula>$G88&gt;0</formula>
    </cfRule>
    <cfRule type="expression" dxfId="845" priority="395">
      <formula>$G88&lt;0</formula>
    </cfRule>
  </conditionalFormatting>
  <conditionalFormatting sqref="F89">
    <cfRule type="expression" dxfId="844" priority="392">
      <formula>$G89&gt;0</formula>
    </cfRule>
    <cfRule type="expression" dxfId="843" priority="393">
      <formula>$G89&lt;0</formula>
    </cfRule>
  </conditionalFormatting>
  <conditionalFormatting sqref="G90:G91">
    <cfRule type="cellIs" dxfId="842" priority="390" operator="lessThan">
      <formula>0</formula>
    </cfRule>
    <cfRule type="cellIs" dxfId="841" priority="391" operator="greaterThan">
      <formula>0</formula>
    </cfRule>
  </conditionalFormatting>
  <conditionalFormatting sqref="F90">
    <cfRule type="expression" dxfId="840" priority="388">
      <formula>$G90&gt;0</formula>
    </cfRule>
    <cfRule type="expression" dxfId="839" priority="389">
      <formula>$G90&lt;0</formula>
    </cfRule>
  </conditionalFormatting>
  <conditionalFormatting sqref="F91">
    <cfRule type="expression" dxfId="838" priority="386">
      <formula>$G91&gt;0</formula>
    </cfRule>
    <cfRule type="expression" dxfId="837" priority="387">
      <formula>$G91&lt;0</formula>
    </cfRule>
  </conditionalFormatting>
  <conditionalFormatting sqref="G92:G95">
    <cfRule type="cellIs" dxfId="836" priority="384" operator="lessThan">
      <formula>0</formula>
    </cfRule>
    <cfRule type="cellIs" dxfId="835" priority="385" operator="greaterThan">
      <formula>0</formula>
    </cfRule>
  </conditionalFormatting>
  <conditionalFormatting sqref="F92">
    <cfRule type="expression" dxfId="834" priority="382">
      <formula>$G92&gt;0</formula>
    </cfRule>
    <cfRule type="expression" dxfId="833" priority="383">
      <formula>$G92&lt;0</formula>
    </cfRule>
  </conditionalFormatting>
  <conditionalFormatting sqref="F93">
    <cfRule type="expression" dxfId="832" priority="380">
      <formula>$G93&gt;0</formula>
    </cfRule>
    <cfRule type="expression" dxfId="831" priority="381">
      <formula>$G93&lt;0</formula>
    </cfRule>
  </conditionalFormatting>
  <conditionalFormatting sqref="F94">
    <cfRule type="expression" dxfId="830" priority="378">
      <formula>$G94&gt;0</formula>
    </cfRule>
    <cfRule type="expression" dxfId="829" priority="379">
      <formula>$G94&lt;0</formula>
    </cfRule>
  </conditionalFormatting>
  <conditionalFormatting sqref="F95">
    <cfRule type="expression" dxfId="828" priority="376">
      <formula>$G95&gt;0</formula>
    </cfRule>
    <cfRule type="expression" dxfId="827" priority="377">
      <formula>$G95&lt;0</formula>
    </cfRule>
  </conditionalFormatting>
  <conditionalFormatting sqref="G96:G97">
    <cfRule type="cellIs" dxfId="826" priority="374" operator="lessThan">
      <formula>0</formula>
    </cfRule>
    <cfRule type="cellIs" dxfId="825" priority="375" operator="greaterThan">
      <formula>0</formula>
    </cfRule>
  </conditionalFormatting>
  <conditionalFormatting sqref="F96">
    <cfRule type="expression" dxfId="824" priority="372">
      <formula>$G96&gt;0</formula>
    </cfRule>
    <cfRule type="expression" dxfId="823" priority="373">
      <formula>$G96&lt;0</formula>
    </cfRule>
  </conditionalFormatting>
  <conditionalFormatting sqref="F97">
    <cfRule type="expression" dxfId="822" priority="370">
      <formula>$G97&gt;0</formula>
    </cfRule>
    <cfRule type="expression" dxfId="821" priority="371">
      <formula>$G97&lt;0</formula>
    </cfRule>
  </conditionalFormatting>
  <conditionalFormatting sqref="G98:G101">
    <cfRule type="cellIs" dxfId="820" priority="368" operator="lessThan">
      <formula>0</formula>
    </cfRule>
    <cfRule type="cellIs" dxfId="819" priority="369" operator="greaterThan">
      <formula>0</formula>
    </cfRule>
  </conditionalFormatting>
  <conditionalFormatting sqref="F98">
    <cfRule type="expression" dxfId="818" priority="366">
      <formula>$G98&gt;0</formula>
    </cfRule>
    <cfRule type="expression" dxfId="817" priority="367">
      <formula>$G98&lt;0</formula>
    </cfRule>
  </conditionalFormatting>
  <conditionalFormatting sqref="F99">
    <cfRule type="expression" dxfId="816" priority="364">
      <formula>$G99&gt;0</formula>
    </cfRule>
    <cfRule type="expression" dxfId="815" priority="365">
      <formula>$G99&lt;0</formula>
    </cfRule>
  </conditionalFormatting>
  <conditionalFormatting sqref="F100">
    <cfRule type="expression" dxfId="814" priority="362">
      <formula>$G100&gt;0</formula>
    </cfRule>
    <cfRule type="expression" dxfId="813" priority="363">
      <formula>$G100&lt;0</formula>
    </cfRule>
  </conditionalFormatting>
  <conditionalFormatting sqref="F101">
    <cfRule type="expression" dxfId="812" priority="360">
      <formula>$G101&gt;0</formula>
    </cfRule>
    <cfRule type="expression" dxfId="811" priority="361">
      <formula>$G101&lt;0</formula>
    </cfRule>
  </conditionalFormatting>
  <conditionalFormatting sqref="G102:G103">
    <cfRule type="cellIs" dxfId="810" priority="358" operator="lessThan">
      <formula>0</formula>
    </cfRule>
    <cfRule type="cellIs" dxfId="809" priority="359" operator="greaterThan">
      <formula>0</formula>
    </cfRule>
  </conditionalFormatting>
  <conditionalFormatting sqref="F102">
    <cfRule type="expression" dxfId="808" priority="356">
      <formula>$G102&gt;0</formula>
    </cfRule>
    <cfRule type="expression" dxfId="807" priority="357">
      <formula>$G102&lt;0</formula>
    </cfRule>
  </conditionalFormatting>
  <conditionalFormatting sqref="F103">
    <cfRule type="expression" dxfId="806" priority="354">
      <formula>$G103&gt;0</formula>
    </cfRule>
    <cfRule type="expression" dxfId="805" priority="355">
      <formula>$G103&lt;0</formula>
    </cfRule>
  </conditionalFormatting>
  <conditionalFormatting sqref="G104:G107">
    <cfRule type="cellIs" dxfId="804" priority="352" operator="lessThan">
      <formula>0</formula>
    </cfRule>
    <cfRule type="cellIs" dxfId="803" priority="353" operator="greaterThan">
      <formula>0</formula>
    </cfRule>
  </conditionalFormatting>
  <conditionalFormatting sqref="F104">
    <cfRule type="expression" dxfId="802" priority="350">
      <formula>$G104&gt;0</formula>
    </cfRule>
    <cfRule type="expression" dxfId="801" priority="351">
      <formula>$G104&lt;0</formula>
    </cfRule>
  </conditionalFormatting>
  <conditionalFormatting sqref="F105">
    <cfRule type="expression" dxfId="800" priority="348">
      <formula>$G105&gt;0</formula>
    </cfRule>
    <cfRule type="expression" dxfId="799" priority="349">
      <formula>$G105&lt;0</formula>
    </cfRule>
  </conditionalFormatting>
  <conditionalFormatting sqref="F106">
    <cfRule type="expression" dxfId="798" priority="346">
      <formula>$G106&gt;0</formula>
    </cfRule>
    <cfRule type="expression" dxfId="797" priority="347">
      <formula>$G106&lt;0</formula>
    </cfRule>
  </conditionalFormatting>
  <conditionalFormatting sqref="F107">
    <cfRule type="expression" dxfId="796" priority="344">
      <formula>$G107&gt;0</formula>
    </cfRule>
    <cfRule type="expression" dxfId="795" priority="345">
      <formula>$G107&lt;0</formula>
    </cfRule>
  </conditionalFormatting>
  <conditionalFormatting sqref="G108:G109">
    <cfRule type="cellIs" dxfId="794" priority="342" operator="lessThan">
      <formula>0</formula>
    </cfRule>
    <cfRule type="cellIs" dxfId="793" priority="343" operator="greaterThan">
      <formula>0</formula>
    </cfRule>
  </conditionalFormatting>
  <conditionalFormatting sqref="F108">
    <cfRule type="expression" dxfId="792" priority="340">
      <formula>$G108&gt;0</formula>
    </cfRule>
    <cfRule type="expression" dxfId="791" priority="341">
      <formula>$G108&lt;0</formula>
    </cfRule>
  </conditionalFormatting>
  <conditionalFormatting sqref="F109">
    <cfRule type="expression" dxfId="790" priority="338">
      <formula>$G109&gt;0</formula>
    </cfRule>
    <cfRule type="expression" dxfId="789" priority="339">
      <formula>$G109&lt;0</formula>
    </cfRule>
  </conditionalFormatting>
  <conditionalFormatting sqref="G110:G113">
    <cfRule type="cellIs" dxfId="788" priority="336" operator="lessThan">
      <formula>0</formula>
    </cfRule>
    <cfRule type="cellIs" dxfId="787" priority="337" operator="greaterThan">
      <formula>0</formula>
    </cfRule>
  </conditionalFormatting>
  <conditionalFormatting sqref="F110">
    <cfRule type="expression" dxfId="786" priority="334">
      <formula>$G110&gt;0</formula>
    </cfRule>
    <cfRule type="expression" dxfId="785" priority="335">
      <formula>$G110&lt;0</formula>
    </cfRule>
  </conditionalFormatting>
  <conditionalFormatting sqref="F111">
    <cfRule type="expression" dxfId="784" priority="332">
      <formula>$G111&gt;0</formula>
    </cfRule>
    <cfRule type="expression" dxfId="783" priority="333">
      <formula>$G111&lt;0</formula>
    </cfRule>
  </conditionalFormatting>
  <conditionalFormatting sqref="F112">
    <cfRule type="expression" dxfId="782" priority="330">
      <formula>$G112&gt;0</formula>
    </cfRule>
    <cfRule type="expression" dxfId="781" priority="331">
      <formula>$G112&lt;0</formula>
    </cfRule>
  </conditionalFormatting>
  <conditionalFormatting sqref="F113">
    <cfRule type="expression" dxfId="780" priority="328">
      <formula>$G113&gt;0</formula>
    </cfRule>
    <cfRule type="expression" dxfId="779" priority="329">
      <formula>$G113&lt;0</formula>
    </cfRule>
  </conditionalFormatting>
  <conditionalFormatting sqref="G114:G115">
    <cfRule type="cellIs" dxfId="778" priority="326" operator="lessThan">
      <formula>0</formula>
    </cfRule>
    <cfRule type="cellIs" dxfId="777" priority="327" operator="greaterThan">
      <formula>0</formula>
    </cfRule>
  </conditionalFormatting>
  <conditionalFormatting sqref="F114">
    <cfRule type="expression" dxfId="776" priority="324">
      <formula>$G114&gt;0</formula>
    </cfRule>
    <cfRule type="expression" dxfId="775" priority="325">
      <formula>$G114&lt;0</formula>
    </cfRule>
  </conditionalFormatting>
  <conditionalFormatting sqref="F115">
    <cfRule type="expression" dxfId="774" priority="322">
      <formula>$G115&gt;0</formula>
    </cfRule>
    <cfRule type="expression" dxfId="773" priority="323">
      <formula>$G115&lt;0</formula>
    </cfRule>
  </conditionalFormatting>
  <conditionalFormatting sqref="G116:G119">
    <cfRule type="cellIs" dxfId="772" priority="320" operator="lessThan">
      <formula>0</formula>
    </cfRule>
    <cfRule type="cellIs" dxfId="771" priority="321" operator="greaterThan">
      <formula>0</formula>
    </cfRule>
  </conditionalFormatting>
  <conditionalFormatting sqref="F116">
    <cfRule type="expression" dxfId="770" priority="318">
      <formula>$G116&gt;0</formula>
    </cfRule>
    <cfRule type="expression" dxfId="769" priority="319">
      <formula>$G116&lt;0</formula>
    </cfRule>
  </conditionalFormatting>
  <conditionalFormatting sqref="F117">
    <cfRule type="expression" dxfId="768" priority="316">
      <formula>$G117&gt;0</formula>
    </cfRule>
    <cfRule type="expression" dxfId="767" priority="317">
      <formula>$G117&lt;0</formula>
    </cfRule>
  </conditionalFormatting>
  <conditionalFormatting sqref="F118">
    <cfRule type="expression" dxfId="766" priority="314">
      <formula>$G118&gt;0</formula>
    </cfRule>
    <cfRule type="expression" dxfId="765" priority="315">
      <formula>$G118&lt;0</formula>
    </cfRule>
  </conditionalFormatting>
  <conditionalFormatting sqref="F119">
    <cfRule type="expression" dxfId="764" priority="312">
      <formula>$G119&gt;0</formula>
    </cfRule>
    <cfRule type="expression" dxfId="763" priority="313">
      <formula>$G119&lt;0</formula>
    </cfRule>
  </conditionalFormatting>
  <conditionalFormatting sqref="G120:G121">
    <cfRule type="cellIs" dxfId="762" priority="310" operator="lessThan">
      <formula>0</formula>
    </cfRule>
    <cfRule type="cellIs" dxfId="761" priority="311" operator="greaterThan">
      <formula>0</formula>
    </cfRule>
  </conditionalFormatting>
  <conditionalFormatting sqref="F120">
    <cfRule type="expression" dxfId="760" priority="308">
      <formula>$G120&gt;0</formula>
    </cfRule>
    <cfRule type="expression" dxfId="759" priority="309">
      <formula>$G120&lt;0</formula>
    </cfRule>
  </conditionalFormatting>
  <conditionalFormatting sqref="F121">
    <cfRule type="expression" dxfId="758" priority="306">
      <formula>$G121&gt;0</formula>
    </cfRule>
    <cfRule type="expression" dxfId="757" priority="307">
      <formula>$G121&lt;0</formula>
    </cfRule>
  </conditionalFormatting>
  <conditionalFormatting sqref="G122:G125">
    <cfRule type="cellIs" dxfId="756" priority="304" operator="lessThan">
      <formula>0</formula>
    </cfRule>
    <cfRule type="cellIs" dxfId="755" priority="305" operator="greaterThan">
      <formula>0</formula>
    </cfRule>
  </conditionalFormatting>
  <conditionalFormatting sqref="F122">
    <cfRule type="expression" dxfId="754" priority="302">
      <formula>$G122&gt;0</formula>
    </cfRule>
    <cfRule type="expression" dxfId="753" priority="303">
      <formula>$G122&lt;0</formula>
    </cfRule>
  </conditionalFormatting>
  <conditionalFormatting sqref="F123">
    <cfRule type="expression" dxfId="752" priority="300">
      <formula>$G123&gt;0</formula>
    </cfRule>
    <cfRule type="expression" dxfId="751" priority="301">
      <formula>$G123&lt;0</formula>
    </cfRule>
  </conditionalFormatting>
  <conditionalFormatting sqref="F124">
    <cfRule type="expression" dxfId="750" priority="298">
      <formula>$G124&gt;0</formula>
    </cfRule>
    <cfRule type="expression" dxfId="749" priority="299">
      <formula>$G124&lt;0</formula>
    </cfRule>
  </conditionalFormatting>
  <conditionalFormatting sqref="F125">
    <cfRule type="expression" dxfId="748" priority="296">
      <formula>$G125&gt;0</formula>
    </cfRule>
    <cfRule type="expression" dxfId="747" priority="297">
      <formula>$G125&lt;0</formula>
    </cfRule>
  </conditionalFormatting>
  <conditionalFormatting sqref="G126:G127">
    <cfRule type="cellIs" dxfId="746" priority="294" operator="lessThan">
      <formula>0</formula>
    </cfRule>
    <cfRule type="cellIs" dxfId="745" priority="295" operator="greaterThan">
      <formula>0</formula>
    </cfRule>
  </conditionalFormatting>
  <conditionalFormatting sqref="F126">
    <cfRule type="expression" dxfId="744" priority="292">
      <formula>$G126&gt;0</formula>
    </cfRule>
    <cfRule type="expression" dxfId="743" priority="293">
      <formula>$G126&lt;0</formula>
    </cfRule>
  </conditionalFormatting>
  <conditionalFormatting sqref="F127">
    <cfRule type="expression" dxfId="742" priority="290">
      <formula>$G127&gt;0</formula>
    </cfRule>
    <cfRule type="expression" dxfId="741" priority="291">
      <formula>$G127&lt;0</formula>
    </cfRule>
  </conditionalFormatting>
  <conditionalFormatting sqref="G128:G131">
    <cfRule type="cellIs" dxfId="740" priority="288" operator="lessThan">
      <formula>0</formula>
    </cfRule>
    <cfRule type="cellIs" dxfId="739" priority="289" operator="greaterThan">
      <formula>0</formula>
    </cfRule>
  </conditionalFormatting>
  <conditionalFormatting sqref="F128">
    <cfRule type="expression" dxfId="738" priority="286">
      <formula>$G128&gt;0</formula>
    </cfRule>
    <cfRule type="expression" dxfId="737" priority="287">
      <formula>$G128&lt;0</formula>
    </cfRule>
  </conditionalFormatting>
  <conditionalFormatting sqref="F129">
    <cfRule type="expression" dxfId="736" priority="284">
      <formula>$G129&gt;0</formula>
    </cfRule>
    <cfRule type="expression" dxfId="735" priority="285">
      <formula>$G129&lt;0</formula>
    </cfRule>
  </conditionalFormatting>
  <conditionalFormatting sqref="F130">
    <cfRule type="expression" dxfId="734" priority="282">
      <formula>$G130&gt;0</formula>
    </cfRule>
    <cfRule type="expression" dxfId="733" priority="283">
      <formula>$G130&lt;0</formula>
    </cfRule>
  </conditionalFormatting>
  <conditionalFormatting sqref="F131">
    <cfRule type="expression" dxfId="732" priority="280">
      <formula>$G131&gt;0</formula>
    </cfRule>
    <cfRule type="expression" dxfId="731" priority="281">
      <formula>$G131&lt;0</formula>
    </cfRule>
  </conditionalFormatting>
  <conditionalFormatting sqref="G132:G133">
    <cfRule type="cellIs" dxfId="730" priority="278" operator="lessThan">
      <formula>0</formula>
    </cfRule>
    <cfRule type="cellIs" dxfId="729" priority="279" operator="greaterThan">
      <formula>0</formula>
    </cfRule>
  </conditionalFormatting>
  <conditionalFormatting sqref="F132">
    <cfRule type="expression" dxfId="728" priority="276">
      <formula>$G132&gt;0</formula>
    </cfRule>
    <cfRule type="expression" dxfId="727" priority="277">
      <formula>$G132&lt;0</formula>
    </cfRule>
  </conditionalFormatting>
  <conditionalFormatting sqref="F133">
    <cfRule type="expression" dxfId="726" priority="274">
      <formula>$G133&gt;0</formula>
    </cfRule>
    <cfRule type="expression" dxfId="725" priority="275">
      <formula>$G133&lt;0</formula>
    </cfRule>
  </conditionalFormatting>
  <conditionalFormatting sqref="G134:G137">
    <cfRule type="cellIs" dxfId="724" priority="272" operator="lessThan">
      <formula>0</formula>
    </cfRule>
    <cfRule type="cellIs" dxfId="723" priority="273" operator="greaterThan">
      <formula>0</formula>
    </cfRule>
  </conditionalFormatting>
  <conditionalFormatting sqref="F134">
    <cfRule type="expression" dxfId="722" priority="270">
      <formula>$G134&gt;0</formula>
    </cfRule>
    <cfRule type="expression" dxfId="721" priority="271">
      <formula>$G134&lt;0</formula>
    </cfRule>
  </conditionalFormatting>
  <conditionalFormatting sqref="F135">
    <cfRule type="expression" dxfId="720" priority="268">
      <formula>$G135&gt;0</formula>
    </cfRule>
    <cfRule type="expression" dxfId="719" priority="269">
      <formula>$G135&lt;0</formula>
    </cfRule>
  </conditionalFormatting>
  <conditionalFormatting sqref="F136">
    <cfRule type="expression" dxfId="718" priority="266">
      <formula>$G136&gt;0</formula>
    </cfRule>
    <cfRule type="expression" dxfId="717" priority="267">
      <formula>$G136&lt;0</formula>
    </cfRule>
  </conditionalFormatting>
  <conditionalFormatting sqref="F137">
    <cfRule type="expression" dxfId="716" priority="264">
      <formula>$G137&gt;0</formula>
    </cfRule>
    <cfRule type="expression" dxfId="715" priority="265">
      <formula>$G137&lt;0</formula>
    </cfRule>
  </conditionalFormatting>
  <conditionalFormatting sqref="G138:G139">
    <cfRule type="cellIs" dxfId="714" priority="262" operator="lessThan">
      <formula>0</formula>
    </cfRule>
    <cfRule type="cellIs" dxfId="713" priority="263" operator="greaterThan">
      <formula>0</formula>
    </cfRule>
  </conditionalFormatting>
  <conditionalFormatting sqref="F138">
    <cfRule type="expression" dxfId="712" priority="260">
      <formula>$G138&gt;0</formula>
    </cfRule>
    <cfRule type="expression" dxfId="711" priority="261">
      <formula>$G138&lt;0</formula>
    </cfRule>
  </conditionalFormatting>
  <conditionalFormatting sqref="F139">
    <cfRule type="expression" dxfId="710" priority="258">
      <formula>$G139&gt;0</formula>
    </cfRule>
    <cfRule type="expression" dxfId="709" priority="259">
      <formula>$G139&lt;0</formula>
    </cfRule>
  </conditionalFormatting>
  <conditionalFormatting sqref="G140:G143">
    <cfRule type="cellIs" dxfId="708" priority="256" operator="lessThan">
      <formula>0</formula>
    </cfRule>
    <cfRule type="cellIs" dxfId="707" priority="257" operator="greaterThan">
      <formula>0</formula>
    </cfRule>
  </conditionalFormatting>
  <conditionalFormatting sqref="F140">
    <cfRule type="expression" dxfId="706" priority="254">
      <formula>$G140&gt;0</formula>
    </cfRule>
    <cfRule type="expression" dxfId="705" priority="255">
      <formula>$G140&lt;0</formula>
    </cfRule>
  </conditionalFormatting>
  <conditionalFormatting sqref="F141">
    <cfRule type="expression" dxfId="704" priority="252">
      <formula>$G141&gt;0</formula>
    </cfRule>
    <cfRule type="expression" dxfId="703" priority="253">
      <formula>$G141&lt;0</formula>
    </cfRule>
  </conditionalFormatting>
  <conditionalFormatting sqref="F142">
    <cfRule type="expression" dxfId="702" priority="250">
      <formula>$G142&gt;0</formula>
    </cfRule>
    <cfRule type="expression" dxfId="701" priority="251">
      <formula>$G142&lt;0</formula>
    </cfRule>
  </conditionalFormatting>
  <conditionalFormatting sqref="F143">
    <cfRule type="expression" dxfId="700" priority="248">
      <formula>$G143&gt;0</formula>
    </cfRule>
    <cfRule type="expression" dxfId="699" priority="249">
      <formula>$G143&lt;0</formula>
    </cfRule>
  </conditionalFormatting>
  <conditionalFormatting sqref="G144:G145">
    <cfRule type="cellIs" dxfId="698" priority="246" operator="lessThan">
      <formula>0</formula>
    </cfRule>
    <cfRule type="cellIs" dxfId="697" priority="247" operator="greaterThan">
      <formula>0</formula>
    </cfRule>
  </conditionalFormatting>
  <conditionalFormatting sqref="F144">
    <cfRule type="expression" dxfId="696" priority="244">
      <formula>$G144&gt;0</formula>
    </cfRule>
    <cfRule type="expression" dxfId="695" priority="245">
      <formula>$G144&lt;0</formula>
    </cfRule>
  </conditionalFormatting>
  <conditionalFormatting sqref="F145">
    <cfRule type="expression" dxfId="694" priority="242">
      <formula>$G145&gt;0</formula>
    </cfRule>
    <cfRule type="expression" dxfId="693" priority="243">
      <formula>$G145&lt;0</formula>
    </cfRule>
  </conditionalFormatting>
  <conditionalFormatting sqref="G146:G149">
    <cfRule type="cellIs" dxfId="692" priority="240" operator="lessThan">
      <formula>0</formula>
    </cfRule>
    <cfRule type="cellIs" dxfId="691" priority="241" operator="greaterThan">
      <formula>0</formula>
    </cfRule>
  </conditionalFormatting>
  <conditionalFormatting sqref="F146">
    <cfRule type="expression" dxfId="690" priority="238">
      <formula>$G146&gt;0</formula>
    </cfRule>
    <cfRule type="expression" dxfId="689" priority="239">
      <formula>$G146&lt;0</formula>
    </cfRule>
  </conditionalFormatting>
  <conditionalFormatting sqref="F147">
    <cfRule type="expression" dxfId="688" priority="236">
      <formula>$G147&gt;0</formula>
    </cfRule>
    <cfRule type="expression" dxfId="687" priority="237">
      <formula>$G147&lt;0</formula>
    </cfRule>
  </conditionalFormatting>
  <conditionalFormatting sqref="F148">
    <cfRule type="expression" dxfId="686" priority="234">
      <formula>$G148&gt;0</formula>
    </cfRule>
    <cfRule type="expression" dxfId="685" priority="235">
      <formula>$G148&lt;0</formula>
    </cfRule>
  </conditionalFormatting>
  <conditionalFormatting sqref="F149">
    <cfRule type="expression" dxfId="684" priority="232">
      <formula>$G149&gt;0</formula>
    </cfRule>
    <cfRule type="expression" dxfId="683" priority="233">
      <formula>$G149&lt;0</formula>
    </cfRule>
  </conditionalFormatting>
  <conditionalFormatting sqref="G150:G151">
    <cfRule type="cellIs" dxfId="682" priority="230" operator="lessThan">
      <formula>0</formula>
    </cfRule>
    <cfRule type="cellIs" dxfId="681" priority="231" operator="greaterThan">
      <formula>0</formula>
    </cfRule>
  </conditionalFormatting>
  <conditionalFormatting sqref="F150">
    <cfRule type="expression" dxfId="680" priority="228">
      <formula>$G150&gt;0</formula>
    </cfRule>
    <cfRule type="expression" dxfId="679" priority="229">
      <formula>$G150&lt;0</formula>
    </cfRule>
  </conditionalFormatting>
  <conditionalFormatting sqref="F151">
    <cfRule type="expression" dxfId="678" priority="226">
      <formula>$G151&gt;0</formula>
    </cfRule>
    <cfRule type="expression" dxfId="677" priority="227">
      <formula>$G151&lt;0</formula>
    </cfRule>
  </conditionalFormatting>
  <conditionalFormatting sqref="G152:G155">
    <cfRule type="cellIs" dxfId="676" priority="224" operator="lessThan">
      <formula>0</formula>
    </cfRule>
    <cfRule type="cellIs" dxfId="675" priority="225" operator="greaterThan">
      <formula>0</formula>
    </cfRule>
  </conditionalFormatting>
  <conditionalFormatting sqref="F152">
    <cfRule type="expression" dxfId="674" priority="222">
      <formula>$G152&gt;0</formula>
    </cfRule>
    <cfRule type="expression" dxfId="673" priority="223">
      <formula>$G152&lt;0</formula>
    </cfRule>
  </conditionalFormatting>
  <conditionalFormatting sqref="F153">
    <cfRule type="expression" dxfId="672" priority="220">
      <formula>$G153&gt;0</formula>
    </cfRule>
    <cfRule type="expression" dxfId="671" priority="221">
      <formula>$G153&lt;0</formula>
    </cfRule>
  </conditionalFormatting>
  <conditionalFormatting sqref="F154">
    <cfRule type="expression" dxfId="670" priority="218">
      <formula>$G154&gt;0</formula>
    </cfRule>
    <cfRule type="expression" dxfId="669" priority="219">
      <formula>$G154&lt;0</formula>
    </cfRule>
  </conditionalFormatting>
  <conditionalFormatting sqref="F155">
    <cfRule type="expression" dxfId="668" priority="216">
      <formula>$G155&gt;0</formula>
    </cfRule>
    <cfRule type="expression" dxfId="667" priority="217">
      <formula>$G155&lt;0</formula>
    </cfRule>
  </conditionalFormatting>
  <conditionalFormatting sqref="G156:G157">
    <cfRule type="cellIs" dxfId="666" priority="214" operator="lessThan">
      <formula>0</formula>
    </cfRule>
    <cfRule type="cellIs" dxfId="665" priority="215" operator="greaterThan">
      <formula>0</formula>
    </cfRule>
  </conditionalFormatting>
  <conditionalFormatting sqref="F156">
    <cfRule type="expression" dxfId="664" priority="212">
      <formula>$G156&gt;0</formula>
    </cfRule>
    <cfRule type="expression" dxfId="663" priority="213">
      <formula>$G156&lt;0</formula>
    </cfRule>
  </conditionalFormatting>
  <conditionalFormatting sqref="F157">
    <cfRule type="expression" dxfId="662" priority="210">
      <formula>$G157&gt;0</formula>
    </cfRule>
    <cfRule type="expression" dxfId="661" priority="211">
      <formula>$G157&lt;0</formula>
    </cfRule>
  </conditionalFormatting>
  <conditionalFormatting sqref="G158:G161">
    <cfRule type="cellIs" dxfId="660" priority="208" operator="lessThan">
      <formula>0</formula>
    </cfRule>
    <cfRule type="cellIs" dxfId="659" priority="209" operator="greaterThan">
      <formula>0</formula>
    </cfRule>
  </conditionalFormatting>
  <conditionalFormatting sqref="F158">
    <cfRule type="expression" dxfId="658" priority="206">
      <formula>$G158&gt;0</formula>
    </cfRule>
    <cfRule type="expression" dxfId="657" priority="207">
      <formula>$G158&lt;0</formula>
    </cfRule>
  </conditionalFormatting>
  <conditionalFormatting sqref="F159">
    <cfRule type="expression" dxfId="656" priority="204">
      <formula>$G159&gt;0</formula>
    </cfRule>
    <cfRule type="expression" dxfId="655" priority="205">
      <formula>$G159&lt;0</formula>
    </cfRule>
  </conditionalFormatting>
  <conditionalFormatting sqref="F160">
    <cfRule type="expression" dxfId="654" priority="202">
      <formula>$G160&gt;0</formula>
    </cfRule>
    <cfRule type="expression" dxfId="653" priority="203">
      <formula>$G160&lt;0</formula>
    </cfRule>
  </conditionalFormatting>
  <conditionalFormatting sqref="F161">
    <cfRule type="expression" dxfId="652" priority="200">
      <formula>$G161&gt;0</formula>
    </cfRule>
    <cfRule type="expression" dxfId="651" priority="201">
      <formula>$G161&lt;0</formula>
    </cfRule>
  </conditionalFormatting>
  <conditionalFormatting sqref="G162:G163">
    <cfRule type="cellIs" dxfId="650" priority="198" operator="lessThan">
      <formula>0</formula>
    </cfRule>
    <cfRule type="cellIs" dxfId="649" priority="199" operator="greaterThan">
      <formula>0</formula>
    </cfRule>
  </conditionalFormatting>
  <conditionalFormatting sqref="F162">
    <cfRule type="expression" dxfId="648" priority="196">
      <formula>$G162&gt;0</formula>
    </cfRule>
    <cfRule type="expression" dxfId="647" priority="197">
      <formula>$G162&lt;0</formula>
    </cfRule>
  </conditionalFormatting>
  <conditionalFormatting sqref="F163">
    <cfRule type="expression" dxfId="646" priority="194">
      <formula>$G163&gt;0</formula>
    </cfRule>
    <cfRule type="expression" dxfId="645" priority="195">
      <formula>$G163&lt;0</formula>
    </cfRule>
  </conditionalFormatting>
  <conditionalFormatting sqref="G164:G167">
    <cfRule type="cellIs" dxfId="644" priority="192" operator="lessThan">
      <formula>0</formula>
    </cfRule>
    <cfRule type="cellIs" dxfId="643" priority="193" operator="greaterThan">
      <formula>0</formula>
    </cfRule>
  </conditionalFormatting>
  <conditionalFormatting sqref="F164">
    <cfRule type="expression" dxfId="642" priority="190">
      <formula>$G164&gt;0</formula>
    </cfRule>
    <cfRule type="expression" dxfId="641" priority="191">
      <formula>$G164&lt;0</formula>
    </cfRule>
  </conditionalFormatting>
  <conditionalFormatting sqref="F165">
    <cfRule type="expression" dxfId="640" priority="188">
      <formula>$G165&gt;0</formula>
    </cfRule>
    <cfRule type="expression" dxfId="639" priority="189">
      <formula>$G165&lt;0</formula>
    </cfRule>
  </conditionalFormatting>
  <conditionalFormatting sqref="F166">
    <cfRule type="expression" dxfId="638" priority="186">
      <formula>$G166&gt;0</formula>
    </cfRule>
    <cfRule type="expression" dxfId="637" priority="187">
      <formula>$G166&lt;0</formula>
    </cfRule>
  </conditionalFormatting>
  <conditionalFormatting sqref="F167">
    <cfRule type="expression" dxfId="636" priority="184">
      <formula>$G167&gt;0</formula>
    </cfRule>
    <cfRule type="expression" dxfId="635" priority="185">
      <formula>$G167&lt;0</formula>
    </cfRule>
  </conditionalFormatting>
  <conditionalFormatting sqref="G168:G169">
    <cfRule type="cellIs" dxfId="634" priority="182" operator="lessThan">
      <formula>0</formula>
    </cfRule>
    <cfRule type="cellIs" dxfId="633" priority="183" operator="greaterThan">
      <formula>0</formula>
    </cfRule>
  </conditionalFormatting>
  <conditionalFormatting sqref="F168">
    <cfRule type="expression" dxfId="632" priority="180">
      <formula>$G168&gt;0</formula>
    </cfRule>
    <cfRule type="expression" dxfId="631" priority="181">
      <formula>$G168&lt;0</formula>
    </cfRule>
  </conditionalFormatting>
  <conditionalFormatting sqref="F169">
    <cfRule type="expression" dxfId="630" priority="178">
      <formula>$G169&gt;0</formula>
    </cfRule>
    <cfRule type="expression" dxfId="629" priority="179">
      <formula>$G169&lt;0</formula>
    </cfRule>
  </conditionalFormatting>
  <conditionalFormatting sqref="G170:G173">
    <cfRule type="cellIs" dxfId="628" priority="176" operator="lessThan">
      <formula>0</formula>
    </cfRule>
    <cfRule type="cellIs" dxfId="627" priority="177" operator="greaterThan">
      <formula>0</formula>
    </cfRule>
  </conditionalFormatting>
  <conditionalFormatting sqref="F170">
    <cfRule type="expression" dxfId="626" priority="174">
      <formula>$G170&gt;0</formula>
    </cfRule>
    <cfRule type="expression" dxfId="625" priority="175">
      <formula>$G170&lt;0</formula>
    </cfRule>
  </conditionalFormatting>
  <conditionalFormatting sqref="F171">
    <cfRule type="expression" dxfId="624" priority="172">
      <formula>$G171&gt;0</formula>
    </cfRule>
    <cfRule type="expression" dxfId="623" priority="173">
      <formula>$G171&lt;0</formula>
    </cfRule>
  </conditionalFormatting>
  <conditionalFormatting sqref="F172">
    <cfRule type="expression" dxfId="622" priority="170">
      <formula>$G172&gt;0</formula>
    </cfRule>
    <cfRule type="expression" dxfId="621" priority="171">
      <formula>$G172&lt;0</formula>
    </cfRule>
  </conditionalFormatting>
  <conditionalFormatting sqref="F173">
    <cfRule type="expression" dxfId="620" priority="168">
      <formula>$G173&gt;0</formula>
    </cfRule>
    <cfRule type="expression" dxfId="619" priority="169">
      <formula>$G173&lt;0</formula>
    </cfRule>
  </conditionalFormatting>
  <conditionalFormatting sqref="G174:G175">
    <cfRule type="cellIs" dxfId="618" priority="166" operator="lessThan">
      <formula>0</formula>
    </cfRule>
    <cfRule type="cellIs" dxfId="617" priority="167" operator="greaterThan">
      <formula>0</formula>
    </cfRule>
  </conditionalFormatting>
  <conditionalFormatting sqref="F174">
    <cfRule type="expression" dxfId="616" priority="164">
      <formula>$G174&gt;0</formula>
    </cfRule>
    <cfRule type="expression" dxfId="615" priority="165">
      <formula>$G174&lt;0</formula>
    </cfRule>
  </conditionalFormatting>
  <conditionalFormatting sqref="F175">
    <cfRule type="expression" dxfId="614" priority="162">
      <formula>$G175&gt;0</formula>
    </cfRule>
    <cfRule type="expression" dxfId="613" priority="163">
      <formula>$G175&lt;0</formula>
    </cfRule>
  </conditionalFormatting>
  <conditionalFormatting sqref="G176:G179">
    <cfRule type="cellIs" dxfId="612" priority="160" operator="lessThan">
      <formula>0</formula>
    </cfRule>
    <cfRule type="cellIs" dxfId="611" priority="161" operator="greaterThan">
      <formula>0</formula>
    </cfRule>
  </conditionalFormatting>
  <conditionalFormatting sqref="F176">
    <cfRule type="expression" dxfId="610" priority="158">
      <formula>$G176&gt;0</formula>
    </cfRule>
    <cfRule type="expression" dxfId="609" priority="159">
      <formula>$G176&lt;0</formula>
    </cfRule>
  </conditionalFormatting>
  <conditionalFormatting sqref="F177">
    <cfRule type="expression" dxfId="608" priority="156">
      <formula>$G177&gt;0</formula>
    </cfRule>
    <cfRule type="expression" dxfId="607" priority="157">
      <formula>$G177&lt;0</formula>
    </cfRule>
  </conditionalFormatting>
  <conditionalFormatting sqref="F178">
    <cfRule type="expression" dxfId="606" priority="154">
      <formula>$G178&gt;0</formula>
    </cfRule>
    <cfRule type="expression" dxfId="605" priority="155">
      <formula>$G178&lt;0</formula>
    </cfRule>
  </conditionalFormatting>
  <conditionalFormatting sqref="F179">
    <cfRule type="expression" dxfId="604" priority="152">
      <formula>$G179&gt;0</formula>
    </cfRule>
    <cfRule type="expression" dxfId="603" priority="153">
      <formula>$G179&lt;0</formula>
    </cfRule>
  </conditionalFormatting>
  <conditionalFormatting sqref="G180:G181">
    <cfRule type="cellIs" dxfId="602" priority="150" operator="lessThan">
      <formula>0</formula>
    </cfRule>
    <cfRule type="cellIs" dxfId="601" priority="151" operator="greaterThan">
      <formula>0</formula>
    </cfRule>
  </conditionalFormatting>
  <conditionalFormatting sqref="F180">
    <cfRule type="expression" dxfId="600" priority="148">
      <formula>$G180&gt;0</formula>
    </cfRule>
    <cfRule type="expression" dxfId="599" priority="149">
      <formula>$G180&lt;0</formula>
    </cfRule>
  </conditionalFormatting>
  <conditionalFormatting sqref="F181">
    <cfRule type="expression" dxfId="598" priority="146">
      <formula>$G181&gt;0</formula>
    </cfRule>
    <cfRule type="expression" dxfId="597" priority="147">
      <formula>$G181&lt;0</formula>
    </cfRule>
  </conditionalFormatting>
  <conditionalFormatting sqref="G182:G185">
    <cfRule type="cellIs" dxfId="596" priority="144" operator="lessThan">
      <formula>0</formula>
    </cfRule>
    <cfRule type="cellIs" dxfId="595" priority="145" operator="greaterThan">
      <formula>0</formula>
    </cfRule>
  </conditionalFormatting>
  <conditionalFormatting sqref="F182">
    <cfRule type="expression" dxfId="594" priority="142">
      <formula>$G182&gt;0</formula>
    </cfRule>
    <cfRule type="expression" dxfId="593" priority="143">
      <formula>$G182&lt;0</formula>
    </cfRule>
  </conditionalFormatting>
  <conditionalFormatting sqref="F183">
    <cfRule type="expression" dxfId="592" priority="140">
      <formula>$G183&gt;0</formula>
    </cfRule>
    <cfRule type="expression" dxfId="591" priority="141">
      <formula>$G183&lt;0</formula>
    </cfRule>
  </conditionalFormatting>
  <conditionalFormatting sqref="F184">
    <cfRule type="expression" dxfId="590" priority="138">
      <formula>$G184&gt;0</formula>
    </cfRule>
    <cfRule type="expression" dxfId="589" priority="139">
      <formula>$G184&lt;0</formula>
    </cfRule>
  </conditionalFormatting>
  <conditionalFormatting sqref="F185">
    <cfRule type="expression" dxfId="588" priority="136">
      <formula>$G185&gt;0</formula>
    </cfRule>
    <cfRule type="expression" dxfId="587" priority="137">
      <formula>$G185&lt;0</formula>
    </cfRule>
  </conditionalFormatting>
  <conditionalFormatting sqref="G186:G187">
    <cfRule type="cellIs" dxfId="586" priority="134" operator="lessThan">
      <formula>0</formula>
    </cfRule>
    <cfRule type="cellIs" dxfId="585" priority="135" operator="greaterThan">
      <formula>0</formula>
    </cfRule>
  </conditionalFormatting>
  <conditionalFormatting sqref="F186">
    <cfRule type="expression" dxfId="584" priority="132">
      <formula>$G186&gt;0</formula>
    </cfRule>
    <cfRule type="expression" dxfId="583" priority="133">
      <formula>$G186&lt;0</formula>
    </cfRule>
  </conditionalFormatting>
  <conditionalFormatting sqref="F187">
    <cfRule type="expression" dxfId="582" priority="130">
      <formula>$G187&gt;0</formula>
    </cfRule>
    <cfRule type="expression" dxfId="581" priority="131">
      <formula>$G187&lt;0</formula>
    </cfRule>
  </conditionalFormatting>
  <conditionalFormatting sqref="G188:G191">
    <cfRule type="cellIs" dxfId="580" priority="128" operator="lessThan">
      <formula>0</formula>
    </cfRule>
    <cfRule type="cellIs" dxfId="579" priority="129" operator="greaterThan">
      <formula>0</formula>
    </cfRule>
  </conditionalFormatting>
  <conditionalFormatting sqref="F188">
    <cfRule type="expression" dxfId="578" priority="126">
      <formula>$G188&gt;0</formula>
    </cfRule>
    <cfRule type="expression" dxfId="577" priority="127">
      <formula>$G188&lt;0</formula>
    </cfRule>
  </conditionalFormatting>
  <conditionalFormatting sqref="F189">
    <cfRule type="expression" dxfId="576" priority="124">
      <formula>$G189&gt;0</formula>
    </cfRule>
    <cfRule type="expression" dxfId="575" priority="125">
      <formula>$G189&lt;0</formula>
    </cfRule>
  </conditionalFormatting>
  <conditionalFormatting sqref="F190">
    <cfRule type="expression" dxfId="574" priority="122">
      <formula>$G190&gt;0</formula>
    </cfRule>
    <cfRule type="expression" dxfId="573" priority="123">
      <formula>$G190&lt;0</formula>
    </cfRule>
  </conditionalFormatting>
  <conditionalFormatting sqref="F191">
    <cfRule type="expression" dxfId="572" priority="120">
      <formula>$G191&gt;0</formula>
    </cfRule>
    <cfRule type="expression" dxfId="571" priority="121">
      <formula>$G191&lt;0</formula>
    </cfRule>
  </conditionalFormatting>
  <conditionalFormatting sqref="G192:G193">
    <cfRule type="cellIs" dxfId="570" priority="118" operator="lessThan">
      <formula>0</formula>
    </cfRule>
    <cfRule type="cellIs" dxfId="569" priority="119" operator="greaterThan">
      <formula>0</formula>
    </cfRule>
  </conditionalFormatting>
  <conditionalFormatting sqref="F192">
    <cfRule type="expression" dxfId="568" priority="116">
      <formula>$G192&gt;0</formula>
    </cfRule>
    <cfRule type="expression" dxfId="567" priority="117">
      <formula>$G192&lt;0</formula>
    </cfRule>
  </conditionalFormatting>
  <conditionalFormatting sqref="F193">
    <cfRule type="expression" dxfId="566" priority="114">
      <formula>$G193&gt;0</formula>
    </cfRule>
    <cfRule type="expression" dxfId="565" priority="115">
      <formula>$G193&lt;0</formula>
    </cfRule>
  </conditionalFormatting>
  <conditionalFormatting sqref="G194:G197">
    <cfRule type="cellIs" dxfId="564" priority="112" operator="lessThan">
      <formula>0</formula>
    </cfRule>
    <cfRule type="cellIs" dxfId="563" priority="113" operator="greaterThan">
      <formula>0</formula>
    </cfRule>
  </conditionalFormatting>
  <conditionalFormatting sqref="F194">
    <cfRule type="expression" dxfId="562" priority="110">
      <formula>$G194&gt;0</formula>
    </cfRule>
    <cfRule type="expression" dxfId="561" priority="111">
      <formula>$G194&lt;0</formula>
    </cfRule>
  </conditionalFormatting>
  <conditionalFormatting sqref="F195">
    <cfRule type="expression" dxfId="560" priority="108">
      <formula>$G195&gt;0</formula>
    </cfRule>
    <cfRule type="expression" dxfId="559" priority="109">
      <formula>$G195&lt;0</formula>
    </cfRule>
  </conditionalFormatting>
  <conditionalFormatting sqref="F196">
    <cfRule type="expression" dxfId="558" priority="106">
      <formula>$G196&gt;0</formula>
    </cfRule>
    <cfRule type="expression" dxfId="557" priority="107">
      <formula>$G196&lt;0</formula>
    </cfRule>
  </conditionalFormatting>
  <conditionalFormatting sqref="F197">
    <cfRule type="expression" dxfId="556" priority="104">
      <formula>$G197&gt;0</formula>
    </cfRule>
    <cfRule type="expression" dxfId="555" priority="105">
      <formula>$G197&lt;0</formula>
    </cfRule>
  </conditionalFormatting>
  <conditionalFormatting sqref="G198:G199">
    <cfRule type="cellIs" dxfId="554" priority="102" operator="lessThan">
      <formula>0</formula>
    </cfRule>
    <cfRule type="cellIs" dxfId="553" priority="103" operator="greaterThan">
      <formula>0</formula>
    </cfRule>
  </conditionalFormatting>
  <conditionalFormatting sqref="F198">
    <cfRule type="expression" dxfId="552" priority="100">
      <formula>$G198&gt;0</formula>
    </cfRule>
    <cfRule type="expression" dxfId="551" priority="101">
      <formula>$G198&lt;0</formula>
    </cfRule>
  </conditionalFormatting>
  <conditionalFormatting sqref="F199">
    <cfRule type="expression" dxfId="550" priority="98">
      <formula>$G199&gt;0</formula>
    </cfRule>
    <cfRule type="expression" dxfId="549" priority="99">
      <formula>$G199&lt;0</formula>
    </cfRule>
  </conditionalFormatting>
  <conditionalFormatting sqref="A32">
    <cfRule type="expression" dxfId="548" priority="95">
      <formula>V32&lt;&gt;""</formula>
    </cfRule>
    <cfRule type="expression" dxfId="547" priority="96">
      <formula>D32&lt;F32</formula>
    </cfRule>
    <cfRule type="expression" dxfId="546" priority="97">
      <formula>C32&gt;F32</formula>
    </cfRule>
  </conditionalFormatting>
  <conditionalFormatting sqref="A33">
    <cfRule type="expression" dxfId="545" priority="92">
      <formula>V33&lt;&gt;""</formula>
    </cfRule>
    <cfRule type="expression" dxfId="544" priority="93">
      <formula>D33&lt;F33</formula>
    </cfRule>
    <cfRule type="expression" dxfId="543" priority="94">
      <formula>C33&gt;F33</formula>
    </cfRule>
  </conditionalFormatting>
  <conditionalFormatting sqref="A34">
    <cfRule type="expression" dxfId="542" priority="89">
      <formula>V34&lt;&gt;""</formula>
    </cfRule>
    <cfRule type="expression" dxfId="541" priority="90">
      <formula>D34&lt;F34</formula>
    </cfRule>
    <cfRule type="expression" dxfId="540" priority="91">
      <formula>C34&gt;F34</formula>
    </cfRule>
  </conditionalFormatting>
  <conditionalFormatting sqref="A35">
    <cfRule type="expression" dxfId="539" priority="86">
      <formula>V35&lt;&gt;""</formula>
    </cfRule>
    <cfRule type="expression" dxfId="538" priority="87">
      <formula>D35&lt;F35</formula>
    </cfRule>
    <cfRule type="expression" dxfId="537" priority="88">
      <formula>C35&gt;F35</formula>
    </cfRule>
  </conditionalFormatting>
  <conditionalFormatting sqref="A36">
    <cfRule type="expression" dxfId="536" priority="83">
      <formula>V36&lt;&gt;""</formula>
    </cfRule>
    <cfRule type="expression" dxfId="535" priority="84">
      <formula>D36&lt;F36</formula>
    </cfRule>
    <cfRule type="expression" dxfId="534" priority="85">
      <formula>C36&gt;F36</formula>
    </cfRule>
  </conditionalFormatting>
  <conditionalFormatting sqref="A37">
    <cfRule type="expression" dxfId="533" priority="80">
      <formula>V37&lt;&gt;""</formula>
    </cfRule>
    <cfRule type="expression" dxfId="532" priority="81">
      <formula>D37&lt;F37</formula>
    </cfRule>
    <cfRule type="expression" dxfId="531" priority="82">
      <formula>C37&gt;F37</formula>
    </cfRule>
  </conditionalFormatting>
  <conditionalFormatting sqref="A38">
    <cfRule type="expression" dxfId="530" priority="77">
      <formula>V38&lt;&gt;""</formula>
    </cfRule>
    <cfRule type="expression" dxfId="529" priority="78">
      <formula>D38&lt;F38</formula>
    </cfRule>
    <cfRule type="expression" dxfId="528" priority="79">
      <formula>C38&gt;F38</formula>
    </cfRule>
  </conditionalFormatting>
  <conditionalFormatting sqref="A39">
    <cfRule type="expression" dxfId="527" priority="74">
      <formula>V39&lt;&gt;""</formula>
    </cfRule>
    <cfRule type="expression" dxfId="526" priority="75">
      <formula>D39&lt;F39</formula>
    </cfRule>
    <cfRule type="expression" dxfId="525" priority="76">
      <formula>C39&gt;F39</formula>
    </cfRule>
  </conditionalFormatting>
  <conditionalFormatting sqref="A40">
    <cfRule type="expression" dxfId="524" priority="71">
      <formula>V40&lt;&gt;""</formula>
    </cfRule>
    <cfRule type="expression" dxfId="523" priority="72">
      <formula>D40&lt;F40</formula>
    </cfRule>
    <cfRule type="expression" dxfId="522" priority="73">
      <formula>C40&gt;F40</formula>
    </cfRule>
  </conditionalFormatting>
  <conditionalFormatting sqref="A41">
    <cfRule type="expression" dxfId="521" priority="68">
      <formula>V41&lt;&gt;""</formula>
    </cfRule>
    <cfRule type="expression" dxfId="520" priority="69">
      <formula>D41&lt;F41</formula>
    </cfRule>
    <cfRule type="expression" dxfId="519" priority="70">
      <formula>C41&gt;F41</formula>
    </cfRule>
  </conditionalFormatting>
  <conditionalFormatting sqref="A42">
    <cfRule type="expression" dxfId="518" priority="65">
      <formula>V42&lt;&gt;""</formula>
    </cfRule>
    <cfRule type="expression" dxfId="517" priority="66">
      <formula>D42&lt;F42</formula>
    </cfRule>
    <cfRule type="expression" dxfId="516" priority="67">
      <formula>C42&gt;F42</formula>
    </cfRule>
  </conditionalFormatting>
  <conditionalFormatting sqref="A43">
    <cfRule type="expression" dxfId="515" priority="62">
      <formula>V43&lt;&gt;""</formula>
    </cfRule>
    <cfRule type="expression" dxfId="514" priority="63">
      <formula>D43&lt;F43</formula>
    </cfRule>
    <cfRule type="expression" dxfId="513" priority="64">
      <formula>C43&gt;F43</formula>
    </cfRule>
  </conditionalFormatting>
  <conditionalFormatting sqref="A44">
    <cfRule type="expression" dxfId="512" priority="59">
      <formula>V44&lt;&gt;""</formula>
    </cfRule>
    <cfRule type="expression" dxfId="511" priority="60">
      <formula>D44&lt;F44</formula>
    </cfRule>
    <cfRule type="expression" dxfId="510" priority="61">
      <formula>C44&gt;F44</formula>
    </cfRule>
  </conditionalFormatting>
  <conditionalFormatting sqref="A45">
    <cfRule type="expression" dxfId="509" priority="56">
      <formula>V45&lt;&gt;""</formula>
    </cfRule>
    <cfRule type="expression" dxfId="508" priority="57">
      <formula>D45&lt;F45</formula>
    </cfRule>
    <cfRule type="expression" dxfId="507" priority="58">
      <formula>C45&gt;F45</formula>
    </cfRule>
  </conditionalFormatting>
  <conditionalFormatting sqref="A46">
    <cfRule type="expression" dxfId="506" priority="53">
      <formula>V46&lt;&gt;""</formula>
    </cfRule>
    <cfRule type="expression" dxfId="505" priority="54">
      <formula>D46&lt;F46</formula>
    </cfRule>
    <cfRule type="expression" dxfId="504" priority="55">
      <formula>C46&gt;F46</formula>
    </cfRule>
  </conditionalFormatting>
  <conditionalFormatting sqref="A47">
    <cfRule type="expression" dxfId="503" priority="50">
      <formula>V47&lt;&gt;""</formula>
    </cfRule>
    <cfRule type="expression" dxfId="502" priority="51">
      <formula>D47&lt;F47</formula>
    </cfRule>
    <cfRule type="expression" dxfId="501" priority="52">
      <formula>C47&gt;F47</formula>
    </cfRule>
  </conditionalFormatting>
  <conditionalFormatting sqref="A48">
    <cfRule type="expression" dxfId="500" priority="47">
      <formula>V48&lt;&gt;""</formula>
    </cfRule>
    <cfRule type="expression" dxfId="499" priority="48">
      <formula>D48&lt;F48</formula>
    </cfRule>
    <cfRule type="expression" dxfId="498" priority="49">
      <formula>C48&gt;F48</formula>
    </cfRule>
  </conditionalFormatting>
  <conditionalFormatting sqref="A49">
    <cfRule type="expression" dxfId="497" priority="44">
      <formula>V49&lt;&gt;""</formula>
    </cfRule>
    <cfRule type="expression" dxfId="496" priority="45">
      <formula>D49&lt;F49</formula>
    </cfRule>
    <cfRule type="expression" dxfId="495" priority="46">
      <formula>C49&gt;F49</formula>
    </cfRule>
  </conditionalFormatting>
  <conditionalFormatting sqref="A31">
    <cfRule type="expression" dxfId="494" priority="11">
      <formula>V31&lt;&gt;""</formula>
    </cfRule>
    <cfRule type="expression" dxfId="493" priority="12">
      <formula>D31&lt;F31</formula>
    </cfRule>
    <cfRule type="expression" dxfId="492" priority="13">
      <formula>C31&gt;F31</formula>
    </cfRule>
  </conditionalFormatting>
  <conditionalFormatting sqref="M30:M3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491" priority="3">
      <formula>D28&lt;F28</formula>
    </cfRule>
    <cfRule type="expression" dxfId="490" priority="4">
      <formula>C28&gt;F28</formula>
    </cfRule>
  </conditionalFormatting>
  <conditionalFormatting sqref="V58:V59">
    <cfRule type="cellIs" dxfId="1" priority="1" operator="less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B1" zoomScale="80" zoomScaleNormal="80" workbookViewId="0">
      <selection activeCell="C3" sqref="C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8" t="s">
        <v>584</v>
      </c>
      <c r="W2" s="360" t="s">
        <v>354</v>
      </c>
      <c r="X2" s="361" t="s">
        <v>355</v>
      </c>
      <c r="Y2" s="360" t="s">
        <v>356</v>
      </c>
      <c r="Z2" s="238" t="s">
        <v>584</v>
      </c>
      <c r="AA2" s="368" t="s">
        <v>357</v>
      </c>
      <c r="AB2" s="367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8" t="s">
        <v>584</v>
      </c>
      <c r="AI2" s="360" t="s">
        <v>354</v>
      </c>
      <c r="AJ2" s="361" t="s">
        <v>355</v>
      </c>
      <c r="AK2" s="360" t="s">
        <v>356</v>
      </c>
      <c r="AL2" s="238" t="s">
        <v>584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26" t="s">
        <v>400</v>
      </c>
      <c r="B3" s="200">
        <v>4</v>
      </c>
      <c r="C3" s="197">
        <v>4060.8</v>
      </c>
      <c r="D3" s="338">
        <v>28</v>
      </c>
      <c r="E3" s="339">
        <f t="shared" ref="E3:E72" si="0">+B3*D3*-100</f>
        <v>-11200</v>
      </c>
      <c r="F3" s="340">
        <f t="shared" ref="F3:F34" si="1">IF(B3&gt;0,+B3*D3*(1+($N$53+0.002)*1.21)*-100,B3*D3*(1-($N$53+0.002)*1.21)*-100)</f>
        <v>-11228.459199999999</v>
      </c>
      <c r="G3" s="199">
        <f t="shared" ref="G3:G37" si="2">IFERROR(VLOOKUP(C3,$R$3:$AA$50,7,0),"")</f>
        <v>240</v>
      </c>
      <c r="H3" s="344">
        <f>IFERROR(+G3*B3*-100,0)</f>
        <v>-96000</v>
      </c>
      <c r="I3" s="461">
        <f t="shared" ref="I3:I72" si="3">+IF(G3="",0,(F3-H3))</f>
        <v>84771.540800000002</v>
      </c>
      <c r="J3" s="59"/>
      <c r="K3" s="103"/>
      <c r="L3" s="391">
        <f t="shared" ref="L3:L17" si="4">+L4*(1-$N$42)</f>
        <v>3042.867774443931</v>
      </c>
      <c r="M3" s="362">
        <f t="shared" ref="M3:M34" si="5">ET3</f>
        <v>-11228.46</v>
      </c>
      <c r="N3" s="362">
        <f t="shared" ref="N3:N34" ca="1" si="6">GK3</f>
        <v>-11228.46</v>
      </c>
      <c r="O3" s="59"/>
      <c r="P3" s="195">
        <f>IF(R3="","",$L$18-(R3+X3))</f>
        <v>-60.850000000000364</v>
      </c>
      <c r="Q3" s="336">
        <f t="shared" ref="Q3:Q17" si="7">SUMIFS(B$3:B$37,C$3:C$37,R3)</f>
        <v>0</v>
      </c>
      <c r="R3" s="335">
        <v>3610.8</v>
      </c>
      <c r="S3" s="329">
        <f ca="1">IFERROR((NORMSDIST(((LN($L$18/$R3)+($N$48+($N$46^2)/2)*$N$51)/($N$46*SQRT($N$51))))*$L$18-NORMSDIST((((LN($L$18/$R3)+($N$48+($N$46^2)/2)*$N$51)/($N$46*SQRT($N$51)))-$N$46*SQRT(($N$51))))*$R3*EXP(-$N$48*$N$51)),0)</f>
        <v>689.22867419560362</v>
      </c>
      <c r="T3" s="30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30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300">
        <f>IFERROR(VLOOKUP($U3,HomeBroker!$A$30:$F$60,2,0),0)</f>
        <v>2</v>
      </c>
      <c r="W3" s="332">
        <f>IFERROR(VLOOKUP($U3,HomeBroker!$A$30:$F$60,3,0),0)</f>
        <v>555</v>
      </c>
      <c r="X3" s="389">
        <f>IFERROR(VLOOKUP($U3,HomeBroker!$A$30:$F$60,6,0),0)</f>
        <v>570</v>
      </c>
      <c r="Y3" s="331">
        <f>IFERROR(VLOOKUP($U3,HomeBroker!$A$30:$F$60,4,0),0)</f>
        <v>568</v>
      </c>
      <c r="Z3" s="300">
        <f>IFERROR(VLOOKUP($U3,HomeBroker!$A$30:$F$60,5,0),0)</f>
        <v>10</v>
      </c>
      <c r="AA3" s="303">
        <f>IFERROR(VLOOKUP($U3,HomeBroker!$A$30:$N$60,13,0),0)</f>
        <v>2100</v>
      </c>
      <c r="AB3" s="196">
        <f>IF(AD3="","",(AD3-AJ3)-$L$18)</f>
        <v>-1359.9329999999995</v>
      </c>
      <c r="AC3" s="337">
        <f t="shared" ref="AC3:AC17" si="9">SUMIFS(B$38:B$72,C$38:C$72,AD3)</f>
        <v>0</v>
      </c>
      <c r="AD3" s="335">
        <v>2760.8</v>
      </c>
      <c r="AE3" s="330">
        <f ca="1">IFERROR((NORMSDIST(-(((LN($L$18/$AD3)+($N$48+($N$47^2)/2)*$N$51)/($N$47*SQRT($N$51)))-$N$47*SQRT($N$51)))*$AD3*EXP(-$N$48*$N$51)-NORMSDIST(-((LN($L$18/$AD3)+($N$48+($N$47^2)/2)*$N$51)/($N$47*SQRT($N$51))))*$L$18),0)</f>
        <v>2.3817216555052867E-2</v>
      </c>
      <c r="AF3" s="30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30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310">
        <f>IFERROR(VLOOKUP($AG3,HomeBroker!$A$30:$F$60,2,0),0)</f>
        <v>55</v>
      </c>
      <c r="AI3" s="332">
        <f>IFERROR(VLOOKUP($AG3,HomeBroker!$A$30:$F$60,3,0),0)</f>
        <v>0.7</v>
      </c>
      <c r="AJ3" s="389">
        <f>IFERROR(VLOOKUP($AG3,HomeBroker!$A$30:$F$60,6,0),0)</f>
        <v>0.78300000000000003</v>
      </c>
      <c r="AK3" s="332">
        <f>IFERROR(VLOOKUP($AG3,HomeBroker!$A$30:$F$60,4,0),0)</f>
        <v>0.92</v>
      </c>
      <c r="AL3" s="310">
        <f>IFERROR(VLOOKUP($AG3,HomeBroker!$A$30:$F$60,5,0),0)</f>
        <v>244</v>
      </c>
      <c r="AM3" s="333">
        <f>IFERROR(VLOOKUP($AG3,HomeBroker!$A$30:$N$60,13,0),0)</f>
        <v>1618</v>
      </c>
      <c r="AN3" s="59"/>
      <c r="AO3" s="195">
        <f>IF(OR(R3="",X3=0,AJ3=0),"-",R3+X3-AJ3-$L$18)</f>
        <v>60.067000000000007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3042.867774443931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-11228.459199999999</v>
      </c>
      <c r="ES3" s="119"/>
      <c r="ET3" s="120">
        <f t="shared" ref="ET3:ET34" si="54">ROUND($ER$3+EP3+ET36+ET70+ET103,2)</f>
        <v>-11228.46</v>
      </c>
      <c r="EU3" s="69"/>
      <c r="EV3" s="114">
        <f t="shared" ref="EV3:EV34" si="55">$L3</f>
        <v>3042.867774443931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-11228.459199999999</v>
      </c>
      <c r="GJ3" s="119"/>
      <c r="GK3" s="120">
        <f t="shared" ref="GK3:GK34" ca="1" si="57">ROUND($GI$3+GG3+GK36+GK70+GK103,2)</f>
        <v>-11228.46</v>
      </c>
    </row>
    <row r="4" spans="1:193" ht="15">
      <c r="A4" s="326" t="s">
        <v>400</v>
      </c>
      <c r="B4" s="200"/>
      <c r="C4" s="197"/>
      <c r="D4" s="338"/>
      <c r="E4" s="339">
        <f t="shared" si="0"/>
        <v>0</v>
      </c>
      <c r="F4" s="340">
        <f t="shared" si="1"/>
        <v>0</v>
      </c>
      <c r="G4" s="199" t="str">
        <f t="shared" si="2"/>
        <v/>
      </c>
      <c r="H4" s="344">
        <f t="shared" ref="H4:H67" si="58">IFERROR(+G4*B4*-100,0)</f>
        <v>0</v>
      </c>
      <c r="I4" s="461">
        <f t="shared" si="3"/>
        <v>0</v>
      </c>
      <c r="J4" s="59"/>
      <c r="K4" s="103"/>
      <c r="L4" s="392">
        <f t="shared" si="4"/>
        <v>3104.9671167795213</v>
      </c>
      <c r="M4" s="363">
        <f t="shared" si="5"/>
        <v>-11228.46</v>
      </c>
      <c r="N4" s="363">
        <f t="shared" ca="1" si="6"/>
        <v>-11228.46</v>
      </c>
      <c r="O4" s="59"/>
      <c r="P4" s="195">
        <f t="shared" ref="P4:P42" si="59">IF(R4="","",$L$18-(R4+X4))</f>
        <v>-80.84900000000016</v>
      </c>
      <c r="Q4" s="336">
        <f t="shared" si="7"/>
        <v>0</v>
      </c>
      <c r="R4" s="335">
        <v>3760.8</v>
      </c>
      <c r="S4" s="32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559.33680102427115</v>
      </c>
      <c r="T4" s="30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302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300">
        <f>IFERROR(VLOOKUP($U4,HomeBroker!$A$30:$F$60,2,0),0)</f>
        <v>45</v>
      </c>
      <c r="W4" s="332">
        <f>IFERROR(VLOOKUP($U4,HomeBroker!$A$30:$F$60,3,0),0)</f>
        <v>435.00099999999998</v>
      </c>
      <c r="X4" s="389">
        <f>IFERROR(VLOOKUP($U4,HomeBroker!$A$30:$F$60,6,0),0)</f>
        <v>439.99900000000002</v>
      </c>
      <c r="Y4" s="331">
        <f>IFERROR(VLOOKUP($U4,HomeBroker!$A$30:$F$60,4,0),0)</f>
        <v>450</v>
      </c>
      <c r="Z4" s="300">
        <f>IFERROR(VLOOKUP($U4,HomeBroker!$A$30:$F$60,5,0),0)</f>
        <v>95</v>
      </c>
      <c r="AA4" s="303">
        <f>IFERROR(VLOOKUP($U4,HomeBroker!$A$30:$N$60,13,0),0)</f>
        <v>4241</v>
      </c>
      <c r="AB4" s="196">
        <f t="shared" ref="AB4:AB42" si="63">IF(AD4="","",(AD4-AJ4)-$L$18)</f>
        <v>-1260.2499999999995</v>
      </c>
      <c r="AC4" s="337">
        <f t="shared" si="9"/>
        <v>0</v>
      </c>
      <c r="AD4" s="335">
        <v>2860.8</v>
      </c>
      <c r="AE4" s="33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7.0996000056878561E-2</v>
      </c>
      <c r="AF4" s="30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30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310">
        <f>IFERROR(VLOOKUP($AG4,HomeBroker!$A$30:$F$60,2,0),0)</f>
        <v>40</v>
      </c>
      <c r="AI4" s="332">
        <f>IFERROR(VLOOKUP($AG4,HomeBroker!$A$30:$F$60,3,0),0)</f>
        <v>1.1000000000000001</v>
      </c>
      <c r="AJ4" s="389">
        <f>IFERROR(VLOOKUP($AG4,HomeBroker!$A$30:$F$60,6,0),0)</f>
        <v>1.1000000000000001</v>
      </c>
      <c r="AK4" s="332">
        <f>IFERROR(VLOOKUP($AG4,HomeBroker!$A$30:$F$60,4,0),0)</f>
        <v>1.28</v>
      </c>
      <c r="AL4" s="310">
        <f>IFERROR(VLOOKUP($AG4,HomeBroker!$A$30:$F$60,5,0),0)</f>
        <v>14</v>
      </c>
      <c r="AM4" s="334">
        <f>IFERROR(VLOOKUP($AG4,HomeBroker!$A$30:$N$60,13,0),0)</f>
        <v>3472</v>
      </c>
      <c r="AN4" s="59"/>
      <c r="AO4" s="195">
        <f t="shared" ref="AO4:AO42" si="67">IF(OR(R4="",X4=0,AJ4=0),"-",R4+X4-AJ4-$L$18)</f>
        <v>79.748999999999796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3104.9671167795213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-11228.46</v>
      </c>
      <c r="EU4" s="69"/>
      <c r="EV4" s="114">
        <f t="shared" si="55"/>
        <v>3104.9671167795213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-11228.46</v>
      </c>
    </row>
    <row r="5" spans="1:193" ht="15">
      <c r="A5" s="326" t="s">
        <v>400</v>
      </c>
      <c r="B5" s="200"/>
      <c r="C5" s="197"/>
      <c r="D5" s="338"/>
      <c r="E5" s="339">
        <f t="shared" si="0"/>
        <v>0</v>
      </c>
      <c r="F5" s="340">
        <f t="shared" si="1"/>
        <v>0</v>
      </c>
      <c r="G5" s="199" t="str">
        <f t="shared" si="2"/>
        <v/>
      </c>
      <c r="H5" s="344">
        <f t="shared" si="58"/>
        <v>0</v>
      </c>
      <c r="I5" s="461">
        <f t="shared" si="3"/>
        <v>0</v>
      </c>
      <c r="J5" s="59"/>
      <c r="K5" s="103"/>
      <c r="L5" s="392">
        <f t="shared" si="4"/>
        <v>3168.3337926321647</v>
      </c>
      <c r="M5" s="363">
        <f t="shared" si="5"/>
        <v>-11228.46</v>
      </c>
      <c r="N5" s="363">
        <f t="shared" ca="1" si="6"/>
        <v>-11228.46</v>
      </c>
      <c r="O5" s="59"/>
      <c r="P5" s="195">
        <f t="shared" si="59"/>
        <v>-139.43299999999999</v>
      </c>
      <c r="Q5" s="336">
        <f t="shared" si="7"/>
        <v>0</v>
      </c>
      <c r="R5" s="335">
        <v>3910.8</v>
      </c>
      <c r="S5" s="329">
        <f t="shared" ca="1" si="60"/>
        <v>439.57697621701891</v>
      </c>
      <c r="T5" s="302" t="str">
        <f t="shared" si="61"/>
        <v>MERV - XMEV - GFGC39108J - 24hs</v>
      </c>
      <c r="U5" s="302" t="str">
        <f t="shared" si="62"/>
        <v>GFGC39108J</v>
      </c>
      <c r="V5" s="300">
        <f>IFERROR(VLOOKUP($U5,HomeBroker!$A$30:$F$60,2,0),0)</f>
        <v>20</v>
      </c>
      <c r="W5" s="332">
        <f>IFERROR(VLOOKUP($U5,HomeBroker!$A$30:$F$60,3,0),0)</f>
        <v>334</v>
      </c>
      <c r="X5" s="389">
        <f>IFERROR(VLOOKUP($U5,HomeBroker!$A$30:$F$60,6,0),0)</f>
        <v>348.58300000000003</v>
      </c>
      <c r="Y5" s="331">
        <f>IFERROR(VLOOKUP($U5,HomeBroker!$A$30:$F$60,4,0),0)</f>
        <v>347</v>
      </c>
      <c r="Z5" s="300">
        <f>IFERROR(VLOOKUP($U5,HomeBroker!$A$30:$F$60,5,0),0)</f>
        <v>3</v>
      </c>
      <c r="AA5" s="303">
        <f>IFERROR(VLOOKUP($U5,HomeBroker!$A$30:$N$60,13,0),0)</f>
        <v>3630</v>
      </c>
      <c r="AB5" s="196">
        <f t="shared" si="63"/>
        <v>-1110.6999999999998</v>
      </c>
      <c r="AC5" s="337">
        <f t="shared" si="9"/>
        <v>0</v>
      </c>
      <c r="AD5" s="335">
        <v>3010.8</v>
      </c>
      <c r="AE5" s="330">
        <f t="shared" ca="1" si="64"/>
        <v>0.30215230540560167</v>
      </c>
      <c r="AF5" s="302" t="str">
        <f t="shared" si="65"/>
        <v>MERV - XMEV - GFGV30108J - 24hs</v>
      </c>
      <c r="AG5" s="302" t="str">
        <f t="shared" si="66"/>
        <v>GFGV30108J</v>
      </c>
      <c r="AH5" s="310">
        <f>IFERROR(VLOOKUP($AG5,HomeBroker!$A$30:$F$60,2,0),0)</f>
        <v>34</v>
      </c>
      <c r="AI5" s="332">
        <f>IFERROR(VLOOKUP($AG5,HomeBroker!$A$30:$F$60,3,0),0)</f>
        <v>1.502</v>
      </c>
      <c r="AJ5" s="389">
        <f>IFERROR(VLOOKUP($AG5,HomeBroker!$A$30:$F$60,6,0),0)</f>
        <v>1.55</v>
      </c>
      <c r="AK5" s="332">
        <f>IFERROR(VLOOKUP($AG5,HomeBroker!$A$30:$F$60,4,0),0)</f>
        <v>1.76</v>
      </c>
      <c r="AL5" s="310">
        <f>IFERROR(VLOOKUP($AG5,HomeBroker!$A$30:$F$60,5,0),0)</f>
        <v>18</v>
      </c>
      <c r="AM5" s="334">
        <f>IFERROR(VLOOKUP($AG5,HomeBroker!$A$30:$N$60,13,0),0)</f>
        <v>1459</v>
      </c>
      <c r="AN5" s="59"/>
      <c r="AO5" s="195">
        <f t="shared" si="67"/>
        <v>137.88299999999981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3168.3337926321647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-11228.46</v>
      </c>
      <c r="EU5" s="69"/>
      <c r="EV5" s="114">
        <f t="shared" si="55"/>
        <v>3168.3337926321647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-11228.46</v>
      </c>
    </row>
    <row r="6" spans="1:193" ht="15">
      <c r="A6" s="326" t="s">
        <v>400</v>
      </c>
      <c r="B6" s="200"/>
      <c r="C6" s="197"/>
      <c r="D6" s="338"/>
      <c r="E6" s="339">
        <f t="shared" si="0"/>
        <v>0</v>
      </c>
      <c r="F6" s="340">
        <f t="shared" si="1"/>
        <v>0</v>
      </c>
      <c r="G6" s="199" t="str">
        <f t="shared" si="2"/>
        <v/>
      </c>
      <c r="H6" s="344">
        <f t="shared" si="58"/>
        <v>0</v>
      </c>
      <c r="I6" s="461">
        <f t="shared" si="3"/>
        <v>0</v>
      </c>
      <c r="J6" s="59"/>
      <c r="K6" s="103"/>
      <c r="L6" s="392">
        <f t="shared" si="4"/>
        <v>3232.9936659511886</v>
      </c>
      <c r="M6" s="364">
        <f t="shared" si="5"/>
        <v>-11228.46</v>
      </c>
      <c r="N6" s="364">
        <f t="shared" ca="1" si="6"/>
        <v>-11228.46</v>
      </c>
      <c r="O6" s="59"/>
      <c r="P6" s="195">
        <f t="shared" si="59"/>
        <v>-180.85000000000036</v>
      </c>
      <c r="Q6" s="336">
        <f t="shared" si="7"/>
        <v>4</v>
      </c>
      <c r="R6" s="335">
        <v>4060.8</v>
      </c>
      <c r="S6" s="329">
        <f t="shared" ca="1" si="60"/>
        <v>333.42619268486669</v>
      </c>
      <c r="T6" s="302" t="str">
        <f t="shared" si="61"/>
        <v>MERV - XMEV - GFGC40608J - 24hs</v>
      </c>
      <c r="U6" s="302" t="str">
        <f t="shared" si="62"/>
        <v>GFGC40608J</v>
      </c>
      <c r="V6" s="300">
        <f>IFERROR(VLOOKUP($U6,HomeBroker!$A$30:$F$60,2,0),0)</f>
        <v>3</v>
      </c>
      <c r="W6" s="332">
        <f>IFERROR(VLOOKUP($U6,HomeBroker!$A$30:$F$60,3,0),0)</f>
        <v>238</v>
      </c>
      <c r="X6" s="389">
        <f>IFERROR(VLOOKUP($U6,HomeBroker!$A$30:$F$60,6,0),0)</f>
        <v>240</v>
      </c>
      <c r="Y6" s="331">
        <f>IFERROR(VLOOKUP($U6,HomeBroker!$A$30:$F$60,4,0),0)</f>
        <v>250</v>
      </c>
      <c r="Z6" s="300">
        <f>IFERROR(VLOOKUP($U6,HomeBroker!$A$30:$F$60,5,0),0)</f>
        <v>2</v>
      </c>
      <c r="AA6" s="303">
        <f>IFERROR(VLOOKUP($U6,HomeBroker!$A$30:$N$60,13,0),0)</f>
        <v>30356</v>
      </c>
      <c r="AB6" s="196">
        <f t="shared" si="63"/>
        <v>-961.66799999999967</v>
      </c>
      <c r="AC6" s="337">
        <f t="shared" si="9"/>
        <v>0</v>
      </c>
      <c r="AD6" s="335">
        <v>3160.8</v>
      </c>
      <c r="AE6" s="330">
        <f t="shared" ca="1" si="64"/>
        <v>1.0530255542944182</v>
      </c>
      <c r="AF6" s="302" t="str">
        <f t="shared" si="65"/>
        <v>MERV - XMEV - GFGV31608J - 24hs</v>
      </c>
      <c r="AG6" s="302" t="str">
        <f t="shared" si="66"/>
        <v>GFGV31608J</v>
      </c>
      <c r="AH6" s="310">
        <f>IFERROR(VLOOKUP($AG6,HomeBroker!$A$30:$F$60,2,0),0)</f>
        <v>34</v>
      </c>
      <c r="AI6" s="332">
        <f>IFERROR(VLOOKUP($AG6,HomeBroker!$A$30:$F$60,3,0),0)</f>
        <v>2.5179999999999998</v>
      </c>
      <c r="AJ6" s="389">
        <f>IFERROR(VLOOKUP($AG6,HomeBroker!$A$30:$F$60,6,0),0)</f>
        <v>2.5179999999999998</v>
      </c>
      <c r="AK6" s="332">
        <f>IFERROR(VLOOKUP($AG6,HomeBroker!$A$30:$F$60,4,0),0)</f>
        <v>3.11</v>
      </c>
      <c r="AL6" s="310">
        <f>IFERROR(VLOOKUP($AG6,HomeBroker!$A$30:$F$60,5,0),0)</f>
        <v>5</v>
      </c>
      <c r="AM6" s="334">
        <f>IFERROR(VLOOKUP($AG6,HomeBroker!$A$30:$N$60,13,0),0)</f>
        <v>1697</v>
      </c>
      <c r="AN6" s="59"/>
      <c r="AO6" s="195">
        <f t="shared" si="67"/>
        <v>178.33200000000033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3232.9936659511886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-11228.46</v>
      </c>
      <c r="EU6" s="69"/>
      <c r="EV6" s="114">
        <f t="shared" si="55"/>
        <v>3232.9936659511886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-11228.46</v>
      </c>
    </row>
    <row r="7" spans="1:193" ht="15">
      <c r="A7" s="326" t="s">
        <v>400</v>
      </c>
      <c r="B7" s="200"/>
      <c r="C7" s="197"/>
      <c r="D7" s="338"/>
      <c r="E7" s="339">
        <f t="shared" si="0"/>
        <v>0</v>
      </c>
      <c r="F7" s="340">
        <f t="shared" si="1"/>
        <v>0</v>
      </c>
      <c r="G7" s="199" t="str">
        <f t="shared" si="2"/>
        <v/>
      </c>
      <c r="H7" s="344">
        <f t="shared" si="58"/>
        <v>0</v>
      </c>
      <c r="I7" s="461">
        <f t="shared" si="3"/>
        <v>0</v>
      </c>
      <c r="J7" s="59"/>
      <c r="K7" s="103">
        <f>IFERROR(-1+(L7/$L$18),"")</f>
        <v>-0.19926864925020416</v>
      </c>
      <c r="L7" s="392">
        <f t="shared" si="4"/>
        <v>3298.9731285216212</v>
      </c>
      <c r="M7" s="363">
        <f t="shared" si="5"/>
        <v>-11228.46</v>
      </c>
      <c r="N7" s="363">
        <f t="shared" ca="1" si="6"/>
        <v>-11228.46</v>
      </c>
      <c r="O7" s="59"/>
      <c r="P7" s="195">
        <f t="shared" si="59"/>
        <v>-292.84000000000015</v>
      </c>
      <c r="Q7" s="336">
        <f t="shared" si="7"/>
        <v>0</v>
      </c>
      <c r="R7" s="335">
        <v>4260.8</v>
      </c>
      <c r="S7" s="329">
        <f t="shared" ca="1" si="60"/>
        <v>217.37934352344746</v>
      </c>
      <c r="T7" s="302" t="str">
        <f t="shared" si="61"/>
        <v>MERV - XMEV - GFGC42608J - 24hs</v>
      </c>
      <c r="U7" s="302" t="str">
        <f t="shared" si="62"/>
        <v>GFGC42608J</v>
      </c>
      <c r="V7" s="300">
        <f>IFERROR(VLOOKUP($U7,HomeBroker!$A$30:$F$60,2,0),0)</f>
        <v>10</v>
      </c>
      <c r="W7" s="332">
        <f>IFERROR(VLOOKUP($U7,HomeBroker!$A$30:$F$60,3,0),0)</f>
        <v>151.001</v>
      </c>
      <c r="X7" s="389">
        <f>IFERROR(VLOOKUP($U7,HomeBroker!$A$30:$F$60,6,0),0)</f>
        <v>151.99</v>
      </c>
      <c r="Y7" s="331">
        <f>IFERROR(VLOOKUP($U7,HomeBroker!$A$30:$F$60,4,0),0)</f>
        <v>152.97</v>
      </c>
      <c r="Z7" s="300">
        <f>IFERROR(VLOOKUP($U7,HomeBroker!$A$30:$F$60,5,0),0)</f>
        <v>2</v>
      </c>
      <c r="AA7" s="303">
        <f>IFERROR(VLOOKUP($U7,HomeBroker!$A$30:$N$60,13,0),0)</f>
        <v>13568</v>
      </c>
      <c r="AB7" s="196">
        <f t="shared" si="63"/>
        <v>-814.64999999999964</v>
      </c>
      <c r="AC7" s="337">
        <f t="shared" si="9"/>
        <v>0</v>
      </c>
      <c r="AD7" s="335">
        <v>3310.8</v>
      </c>
      <c r="AE7" s="330">
        <f t="shared" ca="1" si="64"/>
        <v>3.0881828733443086</v>
      </c>
      <c r="AF7" s="302" t="str">
        <f t="shared" si="65"/>
        <v>MERV - XMEV - GFGV33108J - 24hs</v>
      </c>
      <c r="AG7" s="302" t="str">
        <f t="shared" si="66"/>
        <v>GFGV33108J</v>
      </c>
      <c r="AH7" s="310">
        <f>IFERROR(VLOOKUP($AG7,HomeBroker!$A$30:$F$60,2,0),0)</f>
        <v>21</v>
      </c>
      <c r="AI7" s="332">
        <f>IFERROR(VLOOKUP($AG7,HomeBroker!$A$30:$F$60,3,0),0)</f>
        <v>4.26</v>
      </c>
      <c r="AJ7" s="389">
        <f>IFERROR(VLOOKUP($AG7,HomeBroker!$A$30:$F$60,6,0),0)</f>
        <v>5.5</v>
      </c>
      <c r="AK7" s="332">
        <f>IFERROR(VLOOKUP($AG7,HomeBroker!$A$30:$F$60,4,0),0)</f>
        <v>5.45</v>
      </c>
      <c r="AL7" s="310">
        <f>IFERROR(VLOOKUP($AG7,HomeBroker!$A$30:$F$60,5,0),0)</f>
        <v>17</v>
      </c>
      <c r="AM7" s="334">
        <f>IFERROR(VLOOKUP($AG7,HomeBroker!$A$30:$N$60,13,0),0)</f>
        <v>2533</v>
      </c>
      <c r="AN7" s="59"/>
      <c r="AO7" s="195">
        <f t="shared" si="67"/>
        <v>287.34000000000015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3298.9731285216212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-11228.46</v>
      </c>
      <c r="EU7" s="69"/>
      <c r="EV7" s="114">
        <f t="shared" si="55"/>
        <v>3298.9731285216212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-11228.46</v>
      </c>
    </row>
    <row r="8" spans="1:193" ht="15">
      <c r="A8" s="326" t="s">
        <v>400</v>
      </c>
      <c r="B8" s="200"/>
      <c r="C8" s="197"/>
      <c r="D8" s="338"/>
      <c r="E8" s="339">
        <f t="shared" si="0"/>
        <v>0</v>
      </c>
      <c r="F8" s="340">
        <f t="shared" si="1"/>
        <v>0</v>
      </c>
      <c r="G8" s="199" t="str">
        <f t="shared" si="2"/>
        <v/>
      </c>
      <c r="H8" s="344">
        <f t="shared" si="58"/>
        <v>0</v>
      </c>
      <c r="I8" s="461">
        <f t="shared" si="3"/>
        <v>0</v>
      </c>
      <c r="J8" s="59"/>
      <c r="K8" s="312"/>
      <c r="L8" s="393">
        <f t="shared" si="4"/>
        <v>3366.2991107363482</v>
      </c>
      <c r="M8" s="363">
        <f t="shared" si="5"/>
        <v>-11228.46</v>
      </c>
      <c r="N8" s="363">
        <f t="shared" ca="1" si="6"/>
        <v>-11228.46</v>
      </c>
      <c r="O8" s="59"/>
      <c r="P8" s="195">
        <f t="shared" si="59"/>
        <v>-433.85000000000036</v>
      </c>
      <c r="Q8" s="336">
        <f t="shared" si="7"/>
        <v>0</v>
      </c>
      <c r="R8" s="335">
        <v>4460.8</v>
      </c>
      <c r="S8" s="329">
        <f t="shared" ca="1" si="60"/>
        <v>132.07556868161191</v>
      </c>
      <c r="T8" s="302" t="str">
        <f t="shared" si="61"/>
        <v>MERV - XMEV - GFGC44608J - 24hs</v>
      </c>
      <c r="U8" s="302" t="str">
        <f t="shared" si="62"/>
        <v>GFGC44608J</v>
      </c>
      <c r="V8" s="300">
        <f>IFERROR(VLOOKUP($U8,HomeBroker!$A$30:$F$60,2,0),0)</f>
        <v>448</v>
      </c>
      <c r="W8" s="332">
        <f>IFERROR(VLOOKUP($U8,HomeBroker!$A$30:$F$60,3,0),0)</f>
        <v>92</v>
      </c>
      <c r="X8" s="389">
        <f>IFERROR(VLOOKUP($U8,HomeBroker!$A$30:$F$60,6,0),0)</f>
        <v>93</v>
      </c>
      <c r="Y8" s="331">
        <f>IFERROR(VLOOKUP($U8,HomeBroker!$A$30:$F$60,4,0),0)</f>
        <v>94</v>
      </c>
      <c r="Z8" s="300">
        <f>IFERROR(VLOOKUP($U8,HomeBroker!$A$30:$F$60,5,0),0)</f>
        <v>50</v>
      </c>
      <c r="AA8" s="303">
        <f>IFERROR(VLOOKUP($U8,HomeBroker!$A$30:$N$60,13,0),0)</f>
        <v>34509</v>
      </c>
      <c r="AB8" s="196">
        <f t="shared" si="63"/>
        <v>-669.14999999999964</v>
      </c>
      <c r="AC8" s="337">
        <f t="shared" si="9"/>
        <v>0</v>
      </c>
      <c r="AD8" s="335">
        <v>3460.8</v>
      </c>
      <c r="AE8" s="330">
        <f t="shared" ca="1" si="64"/>
        <v>7.8003787252609698</v>
      </c>
      <c r="AF8" s="302" t="str">
        <f t="shared" si="65"/>
        <v>MERV - XMEV - GFGV34608J - 24hs</v>
      </c>
      <c r="AG8" s="302" t="str">
        <f t="shared" si="66"/>
        <v>GFGV34608J</v>
      </c>
      <c r="AH8" s="310">
        <f>IFERROR(VLOOKUP($AG8,HomeBroker!$A$30:$F$60,2,0),0)</f>
        <v>30</v>
      </c>
      <c r="AI8" s="332">
        <f>IFERROR(VLOOKUP($AG8,HomeBroker!$A$30:$F$60,3,0),0)</f>
        <v>9.1199999999999992</v>
      </c>
      <c r="AJ8" s="389">
        <f>IFERROR(VLOOKUP($AG8,HomeBroker!$A$30:$F$60,6,0),0)</f>
        <v>10</v>
      </c>
      <c r="AK8" s="332">
        <f>IFERROR(VLOOKUP($AG8,HomeBroker!$A$30:$F$60,4,0),0)</f>
        <v>10</v>
      </c>
      <c r="AL8" s="310">
        <f>IFERROR(VLOOKUP($AG8,HomeBroker!$A$30:$F$60,5,0),0)</f>
        <v>43</v>
      </c>
      <c r="AM8" s="334">
        <f>IFERROR(VLOOKUP($AG8,HomeBroker!$A$30:$N$60,13,0),0)</f>
        <v>6400</v>
      </c>
      <c r="AN8" s="59"/>
      <c r="AO8" s="195">
        <f t="shared" si="67"/>
        <v>423.85000000000036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3366.2991107363482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-11228.46</v>
      </c>
      <c r="EU8" s="69"/>
      <c r="EV8" s="114">
        <f t="shared" si="55"/>
        <v>3366.2991107363482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-11228.46</v>
      </c>
    </row>
    <row r="9" spans="1:193" ht="15">
      <c r="A9" s="326" t="s">
        <v>400</v>
      </c>
      <c r="B9" s="200"/>
      <c r="C9" s="197"/>
      <c r="D9" s="338"/>
      <c r="E9" s="339">
        <f t="shared" si="0"/>
        <v>0</v>
      </c>
      <c r="F9" s="340">
        <f t="shared" si="1"/>
        <v>0</v>
      </c>
      <c r="G9" s="199" t="str">
        <f t="shared" si="2"/>
        <v/>
      </c>
      <c r="H9" s="344">
        <f t="shared" si="58"/>
        <v>0</v>
      </c>
      <c r="I9" s="461">
        <f t="shared" si="3"/>
        <v>0</v>
      </c>
      <c r="J9" s="59"/>
      <c r="K9" s="313"/>
      <c r="L9" s="393">
        <f t="shared" si="4"/>
        <v>3434.9990925881107</v>
      </c>
      <c r="M9" s="364">
        <f t="shared" si="5"/>
        <v>-11228.46</v>
      </c>
      <c r="N9" s="364">
        <f t="shared" ca="1" si="6"/>
        <v>-11228.46</v>
      </c>
      <c r="O9" s="59"/>
      <c r="P9" s="195">
        <f t="shared" si="59"/>
        <v>-596.85000000000036</v>
      </c>
      <c r="Q9" s="336">
        <f t="shared" si="7"/>
        <v>0</v>
      </c>
      <c r="R9" s="335">
        <v>4660.8</v>
      </c>
      <c r="S9" s="329">
        <f t="shared" ca="1" si="60"/>
        <v>74.747106194323123</v>
      </c>
      <c r="T9" s="302" t="str">
        <f t="shared" si="61"/>
        <v>MERV - XMEV - GFGC46608J - 24hs</v>
      </c>
      <c r="U9" s="302" t="str">
        <f t="shared" si="62"/>
        <v>GFGC46608J</v>
      </c>
      <c r="V9" s="300">
        <f>IFERROR(VLOOKUP($U9,HomeBroker!$A$30:$F$60,2,0),0)</f>
        <v>12</v>
      </c>
      <c r="W9" s="332">
        <f>IFERROR(VLOOKUP($U9,HomeBroker!$A$30:$F$60,3,0),0)</f>
        <v>56</v>
      </c>
      <c r="X9" s="389">
        <f>IFERROR(VLOOKUP($U9,HomeBroker!$A$30:$F$60,6,0),0)</f>
        <v>56</v>
      </c>
      <c r="Y9" s="331">
        <f>IFERROR(VLOOKUP($U9,HomeBroker!$A$30:$F$60,4,0),0)</f>
        <v>57</v>
      </c>
      <c r="Z9" s="300">
        <f>IFERROR(VLOOKUP($U9,HomeBroker!$A$30:$F$60,5,0),0)</f>
        <v>52</v>
      </c>
      <c r="AA9" s="303">
        <f>IFERROR(VLOOKUP($U9,HomeBroker!$A$30:$N$60,13,0),0)</f>
        <v>9899</v>
      </c>
      <c r="AB9" s="196">
        <f t="shared" si="63"/>
        <v>-530.14999999999964</v>
      </c>
      <c r="AC9" s="337">
        <f t="shared" si="9"/>
        <v>0</v>
      </c>
      <c r="AD9" s="335">
        <v>3610.8</v>
      </c>
      <c r="AE9" s="330">
        <f t="shared" ca="1" si="64"/>
        <v>17.31290636117734</v>
      </c>
      <c r="AF9" s="302" t="str">
        <f t="shared" si="65"/>
        <v>MERV - XMEV - GFGV36108J - 24hs</v>
      </c>
      <c r="AG9" s="302" t="str">
        <f t="shared" si="66"/>
        <v>GFGV36108J</v>
      </c>
      <c r="AH9" s="310">
        <f>IFERROR(VLOOKUP($AG9,HomeBroker!$A$30:$F$60,2,0),0)</f>
        <v>43</v>
      </c>
      <c r="AI9" s="332">
        <f>IFERROR(VLOOKUP($AG9,HomeBroker!$A$30:$F$60,3,0),0)</f>
        <v>19.3</v>
      </c>
      <c r="AJ9" s="389">
        <f>IFERROR(VLOOKUP($AG9,HomeBroker!$A$30:$F$60,6,0),0)</f>
        <v>21</v>
      </c>
      <c r="AK9" s="332">
        <f>IFERROR(VLOOKUP($AG9,HomeBroker!$A$30:$F$60,4,0),0)</f>
        <v>21</v>
      </c>
      <c r="AL9" s="310">
        <f>IFERROR(VLOOKUP($AG9,HomeBroker!$A$30:$F$60,5,0),0)</f>
        <v>24</v>
      </c>
      <c r="AM9" s="334">
        <f>IFERROR(VLOOKUP($AG9,HomeBroker!$A$30:$N$60,13,0),0)</f>
        <v>6503</v>
      </c>
      <c r="AN9" s="59"/>
      <c r="AO9" s="195">
        <f t="shared" si="67"/>
        <v>575.85000000000036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3434.9990925881107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-11228.46</v>
      </c>
      <c r="EU9" s="69"/>
      <c r="EV9" s="114">
        <f t="shared" si="55"/>
        <v>3434.9990925881107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-11228.46</v>
      </c>
    </row>
    <row r="10" spans="1:193" ht="15">
      <c r="A10" s="326" t="s">
        <v>400</v>
      </c>
      <c r="B10" s="200"/>
      <c r="C10" s="197"/>
      <c r="D10" s="338"/>
      <c r="E10" s="339">
        <f t="shared" si="0"/>
        <v>0</v>
      </c>
      <c r="F10" s="340">
        <f t="shared" si="1"/>
        <v>0</v>
      </c>
      <c r="G10" s="199" t="str">
        <f t="shared" si="2"/>
        <v/>
      </c>
      <c r="H10" s="344">
        <f t="shared" si="58"/>
        <v>0</v>
      </c>
      <c r="I10" s="461">
        <f t="shared" si="3"/>
        <v>0</v>
      </c>
      <c r="J10" s="59"/>
      <c r="K10" s="313"/>
      <c r="L10" s="393">
        <f t="shared" si="4"/>
        <v>3505.1011148858274</v>
      </c>
      <c r="M10" s="363">
        <f t="shared" si="5"/>
        <v>-11228.46</v>
      </c>
      <c r="N10" s="363">
        <f t="shared" ca="1" si="6"/>
        <v>-11228.46</v>
      </c>
      <c r="O10" s="59"/>
      <c r="P10" s="195">
        <f t="shared" si="59"/>
        <v>-774.85000000000036</v>
      </c>
      <c r="Q10" s="336">
        <f t="shared" si="7"/>
        <v>0</v>
      </c>
      <c r="R10" s="335">
        <v>4860.8</v>
      </c>
      <c r="S10" s="329">
        <f t="shared" ca="1" si="60"/>
        <v>39.466854687720001</v>
      </c>
      <c r="T10" s="302" t="str">
        <f t="shared" si="61"/>
        <v>MERV - XMEV - GFGC48608J - 24hs</v>
      </c>
      <c r="U10" s="302" t="str">
        <f t="shared" si="62"/>
        <v>GFGC48608J</v>
      </c>
      <c r="V10" s="300">
        <f>IFERROR(VLOOKUP($U10,HomeBroker!$A$30:$F$60,2,0),0)</f>
        <v>18</v>
      </c>
      <c r="W10" s="332">
        <f>IFERROR(VLOOKUP($U10,HomeBroker!$A$30:$F$60,3,0),0)</f>
        <v>34</v>
      </c>
      <c r="X10" s="389">
        <f>IFERROR(VLOOKUP($U10,HomeBroker!$A$30:$F$60,6,0),0)</f>
        <v>34</v>
      </c>
      <c r="Y10" s="331">
        <f>IFERROR(VLOOKUP($U10,HomeBroker!$A$30:$F$60,4,0),0)</f>
        <v>34.99</v>
      </c>
      <c r="Z10" s="300">
        <f>IFERROR(VLOOKUP($U10,HomeBroker!$A$30:$F$60,5,0),0)</f>
        <v>21</v>
      </c>
      <c r="AA10" s="303">
        <f>IFERROR(VLOOKUP($U10,HomeBroker!$A$30:$N$60,13,0),0)</f>
        <v>6719</v>
      </c>
      <c r="AB10" s="196">
        <f t="shared" si="63"/>
        <v>-399.14999999999964</v>
      </c>
      <c r="AC10" s="337">
        <f t="shared" si="9"/>
        <v>0</v>
      </c>
      <c r="AD10" s="335">
        <v>3760.8</v>
      </c>
      <c r="AE10" s="330">
        <f t="shared" ca="1" si="64"/>
        <v>34.356383169855349</v>
      </c>
      <c r="AF10" s="302" t="str">
        <f t="shared" si="65"/>
        <v>MERV - XMEV - GFGV37608J - 24hs</v>
      </c>
      <c r="AG10" s="302" t="str">
        <f t="shared" si="66"/>
        <v>GFGV37608J</v>
      </c>
      <c r="AH10" s="310">
        <f>IFERROR(VLOOKUP($AG10,HomeBroker!$A$30:$F$60,2,0),0)</f>
        <v>124</v>
      </c>
      <c r="AI10" s="332">
        <f>IFERROR(VLOOKUP($AG10,HomeBroker!$A$30:$F$60,3,0),0)</f>
        <v>40</v>
      </c>
      <c r="AJ10" s="389">
        <f>IFERROR(VLOOKUP($AG10,HomeBroker!$A$30:$F$60,6,0),0)</f>
        <v>40</v>
      </c>
      <c r="AK10" s="332">
        <f>IFERROR(VLOOKUP($AG10,HomeBroker!$A$30:$F$60,4,0),0)</f>
        <v>41.44</v>
      </c>
      <c r="AL10" s="310">
        <f>IFERROR(VLOOKUP($AG10,HomeBroker!$A$30:$F$60,5,0),0)</f>
        <v>2</v>
      </c>
      <c r="AM10" s="334">
        <f>IFERROR(VLOOKUP($AG10,HomeBroker!$A$30:$N$60,13,0),0)</f>
        <v>10099</v>
      </c>
      <c r="AN10" s="59"/>
      <c r="AO10" s="195">
        <f t="shared" si="67"/>
        <v>734.85000000000036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3505.1011148858274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-11228.46</v>
      </c>
      <c r="EU10" s="69"/>
      <c r="EV10" s="114">
        <f t="shared" si="55"/>
        <v>3505.1011148858274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-11228.46</v>
      </c>
    </row>
    <row r="11" spans="1:193" ht="15">
      <c r="A11" s="326" t="s">
        <v>400</v>
      </c>
      <c r="B11" s="200"/>
      <c r="C11" s="197"/>
      <c r="D11" s="338"/>
      <c r="E11" s="339">
        <f t="shared" si="0"/>
        <v>0</v>
      </c>
      <c r="F11" s="340">
        <f t="shared" si="1"/>
        <v>0</v>
      </c>
      <c r="G11" s="199" t="str">
        <f t="shared" si="2"/>
        <v/>
      </c>
      <c r="H11" s="344">
        <f t="shared" si="58"/>
        <v>0</v>
      </c>
      <c r="I11" s="461">
        <f t="shared" si="3"/>
        <v>0</v>
      </c>
      <c r="J11" s="59"/>
      <c r="K11" s="313"/>
      <c r="L11" s="393">
        <f t="shared" si="4"/>
        <v>3576.6337906998237</v>
      </c>
      <c r="M11" s="363">
        <f t="shared" si="5"/>
        <v>-11228.46</v>
      </c>
      <c r="N11" s="363">
        <f t="shared" ca="1" si="6"/>
        <v>-11228.46</v>
      </c>
      <c r="O11" s="59"/>
      <c r="P11" s="195">
        <f t="shared" si="59"/>
        <v>-962.85000000000036</v>
      </c>
      <c r="Q11" s="336">
        <f t="shared" si="7"/>
        <v>0</v>
      </c>
      <c r="R11" s="335">
        <v>5060.8</v>
      </c>
      <c r="S11" s="329">
        <f t="shared" ca="1" si="60"/>
        <v>19.501394163181317</v>
      </c>
      <c r="T11" s="302" t="str">
        <f t="shared" si="61"/>
        <v>MERV - XMEV - GFGC50608J - 24hs</v>
      </c>
      <c r="U11" s="302" t="str">
        <f t="shared" si="62"/>
        <v>GFGC50608J</v>
      </c>
      <c r="V11" s="300">
        <f>IFERROR(VLOOKUP($U11,HomeBroker!$A$30:$F$60,2,0),0)</f>
        <v>6</v>
      </c>
      <c r="W11" s="332">
        <f>IFERROR(VLOOKUP($U11,HomeBroker!$A$30:$F$60,3,0),0)</f>
        <v>19.741</v>
      </c>
      <c r="X11" s="389">
        <f>IFERROR(VLOOKUP($U11,HomeBroker!$A$30:$F$60,6,0),0)</f>
        <v>22</v>
      </c>
      <c r="Y11" s="331">
        <f>IFERROR(VLOOKUP($U11,HomeBroker!$A$30:$F$60,4,0),0)</f>
        <v>22.78</v>
      </c>
      <c r="Z11" s="300">
        <f>IFERROR(VLOOKUP($U11,HomeBroker!$A$30:$F$60,5,0),0)</f>
        <v>3</v>
      </c>
      <c r="AA11" s="303">
        <f>IFERROR(VLOOKUP($U11,HomeBroker!$A$30:$N$60,13,0),0)</f>
        <v>1943</v>
      </c>
      <c r="AB11" s="196">
        <f t="shared" si="63"/>
        <v>-289.13999999999942</v>
      </c>
      <c r="AC11" s="337">
        <f t="shared" si="9"/>
        <v>0</v>
      </c>
      <c r="AD11" s="335">
        <v>3910.8</v>
      </c>
      <c r="AE11" s="330">
        <f t="shared" ca="1" si="64"/>
        <v>61.888990420334721</v>
      </c>
      <c r="AF11" s="302" t="str">
        <f t="shared" si="65"/>
        <v>MERV - XMEV - GFGV39108J - 24hs</v>
      </c>
      <c r="AG11" s="302" t="str">
        <f t="shared" si="66"/>
        <v>GFGV39108J</v>
      </c>
      <c r="AH11" s="310">
        <f>IFERROR(VLOOKUP($AG11,HomeBroker!$A$30:$F$60,2,0),0)</f>
        <v>5</v>
      </c>
      <c r="AI11" s="332">
        <f>IFERROR(VLOOKUP($AG11,HomeBroker!$A$30:$F$60,3,0),0)</f>
        <v>77</v>
      </c>
      <c r="AJ11" s="389">
        <f>IFERROR(VLOOKUP($AG11,HomeBroker!$A$30:$F$60,6,0),0)</f>
        <v>79.989999999999995</v>
      </c>
      <c r="AK11" s="332">
        <f>IFERROR(VLOOKUP($AG11,HomeBroker!$A$30:$F$60,4,0),0)</f>
        <v>79.989999999999995</v>
      </c>
      <c r="AL11" s="310">
        <f>IFERROR(VLOOKUP($AG11,HomeBroker!$A$30:$F$60,5,0),0)</f>
        <v>33</v>
      </c>
      <c r="AM11" s="334">
        <f>IFERROR(VLOOKUP($AG11,HomeBroker!$A$30:$N$60,13,0),0)</f>
        <v>8368</v>
      </c>
      <c r="AN11" s="59"/>
      <c r="AO11" s="195">
        <f t="shared" si="67"/>
        <v>882.86000000000058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3576.6337906998237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-11228.46</v>
      </c>
      <c r="EU11" s="69"/>
      <c r="EV11" s="114">
        <f t="shared" si="55"/>
        <v>3576.6337906998237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-11228.46</v>
      </c>
    </row>
    <row r="12" spans="1:193" ht="15">
      <c r="A12" s="326" t="s">
        <v>400</v>
      </c>
      <c r="B12" s="200"/>
      <c r="C12" s="197"/>
      <c r="D12" s="338"/>
      <c r="E12" s="339">
        <f t="shared" si="0"/>
        <v>0</v>
      </c>
      <c r="F12" s="340">
        <f t="shared" si="1"/>
        <v>0</v>
      </c>
      <c r="G12" s="199" t="str">
        <f t="shared" si="2"/>
        <v/>
      </c>
      <c r="H12" s="344">
        <f t="shared" si="58"/>
        <v>0</v>
      </c>
      <c r="I12" s="461">
        <f t="shared" si="3"/>
        <v>0</v>
      </c>
      <c r="J12" s="59"/>
      <c r="K12" s="313">
        <f>IFERROR(-1+(L12/$L$18),"")</f>
        <v>-0.11415761913600009</v>
      </c>
      <c r="L12" s="393">
        <f t="shared" si="4"/>
        <v>3649.6263170406364</v>
      </c>
      <c r="M12" s="364">
        <f t="shared" si="5"/>
        <v>-11228.46</v>
      </c>
      <c r="N12" s="364">
        <f t="shared" ca="1" si="6"/>
        <v>-11228.46</v>
      </c>
      <c r="O12" s="59"/>
      <c r="P12" s="195">
        <f t="shared" si="59"/>
        <v>-1155.3500000000004</v>
      </c>
      <c r="Q12" s="336">
        <f t="shared" si="7"/>
        <v>0</v>
      </c>
      <c r="R12" s="335">
        <v>5260.8</v>
      </c>
      <c r="S12" s="329">
        <f t="shared" ca="1" si="60"/>
        <v>9.0532735023869009</v>
      </c>
      <c r="T12" s="302" t="str">
        <f t="shared" si="61"/>
        <v>MERV - XMEV - GFGC52608J - 24hs</v>
      </c>
      <c r="U12" s="302" t="str">
        <f t="shared" si="62"/>
        <v>GFGC52608J</v>
      </c>
      <c r="V12" s="300">
        <f>IFERROR(VLOOKUP($U12,HomeBroker!$A$30:$F$60,2,0),0)</f>
        <v>15</v>
      </c>
      <c r="W12" s="332">
        <f>IFERROR(VLOOKUP($U12,HomeBroker!$A$30:$F$60,3,0),0)</f>
        <v>13.5</v>
      </c>
      <c r="X12" s="389">
        <f>IFERROR(VLOOKUP($U12,HomeBroker!$A$30:$F$60,6,0),0)</f>
        <v>14.5</v>
      </c>
      <c r="Y12" s="331">
        <f>IFERROR(VLOOKUP($U12,HomeBroker!$A$30:$F$60,4,0),0)</f>
        <v>14.6</v>
      </c>
      <c r="Z12" s="300">
        <f>IFERROR(VLOOKUP($U12,HomeBroker!$A$30:$F$60,5,0),0)</f>
        <v>5</v>
      </c>
      <c r="AA12" s="303">
        <f>IFERROR(VLOOKUP($U12,HomeBroker!$A$30:$N$60,13,0),0)</f>
        <v>6278</v>
      </c>
      <c r="AB12" s="196">
        <f t="shared" si="63"/>
        <v>-192.64999999999964</v>
      </c>
      <c r="AC12" s="337">
        <f t="shared" si="9"/>
        <v>0</v>
      </c>
      <c r="AD12" s="335">
        <v>4060.8</v>
      </c>
      <c r="AE12" s="330">
        <f t="shared" ca="1" si="64"/>
        <v>102.55747202344287</v>
      </c>
      <c r="AF12" s="302" t="str">
        <f t="shared" si="65"/>
        <v>MERV - XMEV - GFGV40608J - 24hs</v>
      </c>
      <c r="AG12" s="302" t="str">
        <f t="shared" si="66"/>
        <v>GFGV40608J</v>
      </c>
      <c r="AH12" s="310">
        <f>IFERROR(VLOOKUP($AG12,HomeBroker!$A$30:$F$60,2,0),0)</f>
        <v>1</v>
      </c>
      <c r="AI12" s="332">
        <f>IFERROR(VLOOKUP($AG12,HomeBroker!$A$30:$F$60,3,0),0)</f>
        <v>133.5</v>
      </c>
      <c r="AJ12" s="389">
        <f>IFERROR(VLOOKUP($AG12,HomeBroker!$A$30:$F$60,6,0),0)</f>
        <v>133.5</v>
      </c>
      <c r="AK12" s="332">
        <f>IFERROR(VLOOKUP($AG12,HomeBroker!$A$30:$F$60,4,0),0)</f>
        <v>139</v>
      </c>
      <c r="AL12" s="310">
        <f>IFERROR(VLOOKUP($AG12,HomeBroker!$A$30:$F$60,5,0),0)</f>
        <v>1</v>
      </c>
      <c r="AM12" s="334">
        <f>IFERROR(VLOOKUP($AG12,HomeBroker!$A$30:$N$60,13,0),0)</f>
        <v>3088</v>
      </c>
      <c r="AN12" s="59"/>
      <c r="AO12" s="195">
        <f t="shared" si="67"/>
        <v>1021.8500000000004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3649.6263170406364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-11228.46</v>
      </c>
      <c r="EU12" s="69"/>
      <c r="EV12" s="114">
        <f t="shared" si="55"/>
        <v>3649.6263170406364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-11228.46</v>
      </c>
    </row>
    <row r="13" spans="1:193" ht="15">
      <c r="A13" s="326" t="s">
        <v>400</v>
      </c>
      <c r="B13" s="200"/>
      <c r="C13" s="197"/>
      <c r="D13" s="338"/>
      <c r="E13" s="339">
        <f t="shared" si="0"/>
        <v>0</v>
      </c>
      <c r="F13" s="340">
        <f t="shared" si="1"/>
        <v>0</v>
      </c>
      <c r="G13" s="199" t="str">
        <f t="shared" si="2"/>
        <v/>
      </c>
      <c r="H13" s="344">
        <f t="shared" si="58"/>
        <v>0</v>
      </c>
      <c r="I13" s="461">
        <f t="shared" si="3"/>
        <v>0</v>
      </c>
      <c r="J13" s="59"/>
      <c r="K13" s="314">
        <f>IFERROR(-1+(L13/$L$18),"")</f>
        <v>-9.6079203200000074E-2</v>
      </c>
      <c r="L13" s="394">
        <f t="shared" si="4"/>
        <v>3724.1084867761597</v>
      </c>
      <c r="M13" s="363">
        <f t="shared" si="5"/>
        <v>-11228.46</v>
      </c>
      <c r="N13" s="363">
        <f t="shared" ca="1" si="6"/>
        <v>-11228.46</v>
      </c>
      <c r="O13" s="59"/>
      <c r="P13" s="195" t="str">
        <f t="shared" si="59"/>
        <v/>
      </c>
      <c r="Q13" s="336">
        <f t="shared" si="7"/>
        <v>0</v>
      </c>
      <c r="R13" s="335"/>
      <c r="S13" s="329">
        <f t="shared" ca="1" si="60"/>
        <v>0</v>
      </c>
      <c r="T13" s="302" t="str">
        <f t="shared" si="61"/>
        <v/>
      </c>
      <c r="U13" s="302" t="str">
        <f t="shared" si="62"/>
        <v/>
      </c>
      <c r="V13" s="300">
        <f>IFERROR(VLOOKUP($U13,HomeBroker!$A$30:$F$60,2,0),0)</f>
        <v>0</v>
      </c>
      <c r="W13" s="332">
        <f>IFERROR(VLOOKUP($U13,HomeBroker!$A$30:$F$60,3,0),0)</f>
        <v>0</v>
      </c>
      <c r="X13" s="389">
        <f>IFERROR(VLOOKUP($U13,HomeBroker!$A$30:$F$60,6,0),0)</f>
        <v>0</v>
      </c>
      <c r="Y13" s="331">
        <f>IFERROR(VLOOKUP($U13,HomeBroker!$A$30:$F$60,4,0),0)</f>
        <v>0</v>
      </c>
      <c r="Z13" s="300">
        <f>IFERROR(VLOOKUP($U13,HomeBroker!$A$30:$F$60,5,0),0)</f>
        <v>0</v>
      </c>
      <c r="AA13" s="303">
        <f>IFERROR(VLOOKUP($U13,HomeBroker!$A$30:$N$60,13,0),0)</f>
        <v>0</v>
      </c>
      <c r="AB13" s="196" t="str">
        <f t="shared" si="63"/>
        <v/>
      </c>
      <c r="AC13" s="337">
        <f t="shared" si="9"/>
        <v>0</v>
      </c>
      <c r="AD13" s="335"/>
      <c r="AE13" s="330">
        <f t="shared" ca="1" si="64"/>
        <v>0</v>
      </c>
      <c r="AF13" s="302" t="str">
        <f t="shared" si="65"/>
        <v/>
      </c>
      <c r="AG13" s="302" t="str">
        <f t="shared" si="66"/>
        <v/>
      </c>
      <c r="AH13" s="310">
        <f>IFERROR(VLOOKUP($AG13,HomeBroker!$A$30:$F$60,2,0),0)</f>
        <v>0</v>
      </c>
      <c r="AI13" s="332">
        <f>IFERROR(VLOOKUP($AG13,HomeBroker!$A$30:$F$60,3,0),0)</f>
        <v>0</v>
      </c>
      <c r="AJ13" s="389">
        <f>IFERROR(VLOOKUP($AG13,HomeBroker!$A$30:$F$60,6,0),0)</f>
        <v>0</v>
      </c>
      <c r="AK13" s="332">
        <f>IFERROR(VLOOKUP($AG13,HomeBroker!$A$30:$F$60,4,0),0)</f>
        <v>0</v>
      </c>
      <c r="AL13" s="310">
        <f>IFERROR(VLOOKUP($AG13,HomeBroker!$A$30:$F$60,5,0),0)</f>
        <v>0</v>
      </c>
      <c r="AM13" s="334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3724.1084867761597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-11228.46</v>
      </c>
      <c r="EU13" s="69"/>
      <c r="EV13" s="114">
        <f t="shared" si="55"/>
        <v>3724.1084867761597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-11228.46</v>
      </c>
    </row>
    <row r="14" spans="1:193" ht="15">
      <c r="A14" s="326" t="s">
        <v>400</v>
      </c>
      <c r="B14" s="200"/>
      <c r="C14" s="197"/>
      <c r="D14" s="338"/>
      <c r="E14" s="339">
        <f t="shared" si="0"/>
        <v>0</v>
      </c>
      <c r="F14" s="340">
        <f t="shared" si="1"/>
        <v>0</v>
      </c>
      <c r="G14" s="199" t="str">
        <f t="shared" si="2"/>
        <v/>
      </c>
      <c r="H14" s="344">
        <f t="shared" si="58"/>
        <v>0</v>
      </c>
      <c r="I14" s="461">
        <f t="shared" si="3"/>
        <v>0</v>
      </c>
      <c r="J14" s="59"/>
      <c r="K14" s="315">
        <f>IFERROR(-1+(L14/$L$18),"")</f>
        <v>-7.7631840000000119E-2</v>
      </c>
      <c r="L14" s="394">
        <f t="shared" si="4"/>
        <v>3800.1107007919995</v>
      </c>
      <c r="M14" s="363">
        <f t="shared" si="5"/>
        <v>-11228.46</v>
      </c>
      <c r="N14" s="363">
        <f t="shared" ca="1" si="6"/>
        <v>-11228.46</v>
      </c>
      <c r="O14" s="59"/>
      <c r="P14" s="195" t="str">
        <f t="shared" si="59"/>
        <v/>
      </c>
      <c r="Q14" s="336">
        <f t="shared" si="7"/>
        <v>0</v>
      </c>
      <c r="R14" s="335"/>
      <c r="S14" s="329">
        <f t="shared" ca="1" si="60"/>
        <v>0</v>
      </c>
      <c r="T14" s="302" t="str">
        <f t="shared" si="61"/>
        <v/>
      </c>
      <c r="U14" s="302" t="str">
        <f t="shared" si="62"/>
        <v/>
      </c>
      <c r="V14" s="300">
        <f>IFERROR(VLOOKUP($U14,HomeBroker!$A$30:$F$60,2,0),0)</f>
        <v>0</v>
      </c>
      <c r="W14" s="332">
        <f>IFERROR(VLOOKUP($U14,HomeBroker!$A$30:$F$60,3,0),0)</f>
        <v>0</v>
      </c>
      <c r="X14" s="389">
        <f>IFERROR(VLOOKUP($U14,HomeBroker!$A$30:$F$60,6,0),0)</f>
        <v>0</v>
      </c>
      <c r="Y14" s="331">
        <f>IFERROR(VLOOKUP($U14,HomeBroker!$A$30:$F$60,4,0),0)</f>
        <v>0</v>
      </c>
      <c r="Z14" s="300">
        <f>IFERROR(VLOOKUP($U14,HomeBroker!$A$30:$F$60,5,0),0)</f>
        <v>0</v>
      </c>
      <c r="AA14" s="303">
        <f>IFERROR(VLOOKUP($U14,HomeBroker!$A$30:$N$60,13,0),0)</f>
        <v>0</v>
      </c>
      <c r="AB14" s="196" t="str">
        <f t="shared" si="63"/>
        <v/>
      </c>
      <c r="AC14" s="337">
        <f t="shared" si="9"/>
        <v>0</v>
      </c>
      <c r="AD14" s="335"/>
      <c r="AE14" s="330">
        <f t="shared" ca="1" si="64"/>
        <v>0</v>
      </c>
      <c r="AF14" s="302" t="str">
        <f t="shared" si="65"/>
        <v/>
      </c>
      <c r="AG14" s="302" t="str">
        <f t="shared" si="66"/>
        <v/>
      </c>
      <c r="AH14" s="310">
        <f>IFERROR(VLOOKUP($AG14,HomeBroker!$A$30:$F$60,2,0),0)</f>
        <v>0</v>
      </c>
      <c r="AI14" s="332">
        <f>IFERROR(VLOOKUP($AG14,HomeBroker!$A$30:$F$60,3,0),0)</f>
        <v>0</v>
      </c>
      <c r="AJ14" s="389">
        <f>IFERROR(VLOOKUP($AG14,HomeBroker!$A$30:$F$60,6,0),0)</f>
        <v>0</v>
      </c>
      <c r="AK14" s="332">
        <f>IFERROR(VLOOKUP($AG14,HomeBroker!$A$30:$F$60,4,0),0)</f>
        <v>0</v>
      </c>
      <c r="AL14" s="310">
        <f>IFERROR(VLOOKUP($AG14,HomeBroker!$A$30:$F$60,5,0),0)</f>
        <v>0</v>
      </c>
      <c r="AM14" s="334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3800.1107007919995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-11228.46</v>
      </c>
      <c r="EU14" s="69"/>
      <c r="EV14" s="114">
        <f t="shared" si="55"/>
        <v>3800.1107007919995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-11228.46</v>
      </c>
    </row>
    <row r="15" spans="1:193" ht="15">
      <c r="A15" s="326" t="s">
        <v>400</v>
      </c>
      <c r="B15" s="200"/>
      <c r="C15" s="197"/>
      <c r="D15" s="338"/>
      <c r="E15" s="339">
        <f t="shared" si="0"/>
        <v>0</v>
      </c>
      <c r="F15" s="340">
        <f t="shared" si="1"/>
        <v>0</v>
      </c>
      <c r="G15" s="199" t="str">
        <f t="shared" si="2"/>
        <v/>
      </c>
      <c r="H15" s="344">
        <f t="shared" si="58"/>
        <v>0</v>
      </c>
      <c r="I15" s="461">
        <f t="shared" si="3"/>
        <v>0</v>
      </c>
      <c r="J15" s="59"/>
      <c r="K15" s="315">
        <f t="shared" ref="K15:K17" si="68">IFERROR(-1+(L15/$L$18),"")</f>
        <v>-5.8808000000000082E-2</v>
      </c>
      <c r="L15" s="394">
        <f t="shared" si="4"/>
        <v>3877.6639803999997</v>
      </c>
      <c r="M15" s="364">
        <f t="shared" si="5"/>
        <v>-11228.46</v>
      </c>
      <c r="N15" s="364">
        <f t="shared" ca="1" si="6"/>
        <v>-11228.46</v>
      </c>
      <c r="O15" s="59"/>
      <c r="P15" s="195" t="str">
        <f t="shared" si="59"/>
        <v/>
      </c>
      <c r="Q15" s="336">
        <f t="shared" si="7"/>
        <v>0</v>
      </c>
      <c r="R15" s="335"/>
      <c r="S15" s="329">
        <f t="shared" ca="1" si="60"/>
        <v>0</v>
      </c>
      <c r="T15" s="302" t="str">
        <f t="shared" si="61"/>
        <v/>
      </c>
      <c r="U15" s="302" t="str">
        <f t="shared" si="62"/>
        <v/>
      </c>
      <c r="V15" s="300">
        <f>IFERROR(VLOOKUP($U15,HomeBroker!$A$30:$F$60,2,0),0)</f>
        <v>0</v>
      </c>
      <c r="W15" s="332">
        <f>IFERROR(VLOOKUP($U15,HomeBroker!$A$30:$F$60,3,0),0)</f>
        <v>0</v>
      </c>
      <c r="X15" s="389">
        <f>IFERROR(VLOOKUP($U15,HomeBroker!$A$30:$F$60,6,0),0)</f>
        <v>0</v>
      </c>
      <c r="Y15" s="331">
        <f>IFERROR(VLOOKUP($U15,HomeBroker!$A$30:$F$60,4,0),0)</f>
        <v>0</v>
      </c>
      <c r="Z15" s="300">
        <f>IFERROR(VLOOKUP($U15,HomeBroker!$A$30:$F$60,5,0),0)</f>
        <v>0</v>
      </c>
      <c r="AA15" s="303">
        <f>IFERROR(VLOOKUP($U15,HomeBroker!$A$30:$N$60,13,0),0)</f>
        <v>0</v>
      </c>
      <c r="AB15" s="196" t="str">
        <f t="shared" si="63"/>
        <v/>
      </c>
      <c r="AC15" s="337">
        <f t="shared" si="9"/>
        <v>0</v>
      </c>
      <c r="AD15" s="335"/>
      <c r="AE15" s="330">
        <f t="shared" ca="1" si="64"/>
        <v>0</v>
      </c>
      <c r="AF15" s="302" t="str">
        <f t="shared" si="65"/>
        <v/>
      </c>
      <c r="AG15" s="302" t="str">
        <f t="shared" si="66"/>
        <v/>
      </c>
      <c r="AH15" s="310">
        <f>IFERROR(VLOOKUP($AG15,HomeBroker!$A$30:$F$60,2,0),0)</f>
        <v>0</v>
      </c>
      <c r="AI15" s="332">
        <f>IFERROR(VLOOKUP($AG15,HomeBroker!$A$30:$F$60,3,0),0)</f>
        <v>0</v>
      </c>
      <c r="AJ15" s="389">
        <f>IFERROR(VLOOKUP($AG15,HomeBroker!$A$30:$F$60,6,0),0)</f>
        <v>0</v>
      </c>
      <c r="AK15" s="332">
        <f>IFERROR(VLOOKUP($AG15,HomeBroker!$A$30:$F$60,4,0),0)</f>
        <v>0</v>
      </c>
      <c r="AL15" s="310">
        <f>IFERROR(VLOOKUP($AG15,HomeBroker!$A$30:$F$60,5,0),0)</f>
        <v>0</v>
      </c>
      <c r="AM15" s="334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3877.6639803999997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-11228.46</v>
      </c>
      <c r="EU15" s="69"/>
      <c r="EV15" s="114">
        <f t="shared" si="55"/>
        <v>3877.6639803999997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-11228.46</v>
      </c>
    </row>
    <row r="16" spans="1:193" ht="15">
      <c r="A16" s="326" t="s">
        <v>400</v>
      </c>
      <c r="B16" s="200"/>
      <c r="C16" s="197"/>
      <c r="D16" s="338"/>
      <c r="E16" s="339">
        <f>+B16*D16*-100</f>
        <v>0</v>
      </c>
      <c r="F16" s="340">
        <f t="shared" si="1"/>
        <v>0</v>
      </c>
      <c r="G16" s="199" t="str">
        <f t="shared" si="2"/>
        <v/>
      </c>
      <c r="H16" s="344">
        <f>IFERROR(+G16*B16*-100,0)</f>
        <v>0</v>
      </c>
      <c r="I16" s="461">
        <f t="shared" si="3"/>
        <v>0</v>
      </c>
      <c r="J16" s="59"/>
      <c r="K16" s="315">
        <f t="shared" si="68"/>
        <v>-3.9599999999999969E-2</v>
      </c>
      <c r="L16" s="394">
        <f t="shared" si="4"/>
        <v>3956.7999799999998</v>
      </c>
      <c r="M16" s="363">
        <f t="shared" si="5"/>
        <v>-11228.46</v>
      </c>
      <c r="N16" s="363">
        <f t="shared" ca="1" si="6"/>
        <v>-11228.46</v>
      </c>
      <c r="O16" s="59"/>
      <c r="P16" s="195" t="str">
        <f t="shared" si="59"/>
        <v/>
      </c>
      <c r="Q16" s="336">
        <f t="shared" si="7"/>
        <v>0</v>
      </c>
      <c r="R16" s="335"/>
      <c r="S16" s="329">
        <f t="shared" ca="1" si="60"/>
        <v>0</v>
      </c>
      <c r="T16" s="302" t="str">
        <f t="shared" si="61"/>
        <v/>
      </c>
      <c r="U16" s="302" t="str">
        <f t="shared" si="62"/>
        <v/>
      </c>
      <c r="V16" s="300">
        <f>IFERROR(VLOOKUP($U16,HomeBroker!$A$30:$F$60,2,0),0)</f>
        <v>0</v>
      </c>
      <c r="W16" s="332">
        <f>IFERROR(VLOOKUP($U16,HomeBroker!$A$30:$F$60,3,0),0)</f>
        <v>0</v>
      </c>
      <c r="X16" s="389">
        <f>IFERROR(VLOOKUP($U16,HomeBroker!$A$30:$F$60,6,0),0)</f>
        <v>0</v>
      </c>
      <c r="Y16" s="331">
        <f>IFERROR(VLOOKUP($U16,HomeBroker!$A$30:$F$60,4,0),0)</f>
        <v>0</v>
      </c>
      <c r="Z16" s="300">
        <f>IFERROR(VLOOKUP($U16,HomeBroker!$A$30:$F$60,5,0),0)</f>
        <v>0</v>
      </c>
      <c r="AA16" s="303">
        <f>IFERROR(VLOOKUP($U16,HomeBroker!$A$30:$N$60,13,0),0)</f>
        <v>0</v>
      </c>
      <c r="AB16" s="196" t="str">
        <f t="shared" si="63"/>
        <v/>
      </c>
      <c r="AC16" s="337">
        <f t="shared" si="9"/>
        <v>0</v>
      </c>
      <c r="AD16" s="335"/>
      <c r="AE16" s="330">
        <f t="shared" ca="1" si="64"/>
        <v>0</v>
      </c>
      <c r="AF16" s="302" t="str">
        <f t="shared" si="65"/>
        <v/>
      </c>
      <c r="AG16" s="302" t="str">
        <f t="shared" si="66"/>
        <v/>
      </c>
      <c r="AH16" s="310">
        <f>IFERROR(VLOOKUP($AG16,HomeBroker!$A$30:$F$60,2,0),0)</f>
        <v>0</v>
      </c>
      <c r="AI16" s="332">
        <f>IFERROR(VLOOKUP($AG16,HomeBroker!$A$30:$F$60,3,0),0)</f>
        <v>0</v>
      </c>
      <c r="AJ16" s="389">
        <f>IFERROR(VLOOKUP($AG16,HomeBroker!$A$30:$F$60,6,0),0)</f>
        <v>0</v>
      </c>
      <c r="AK16" s="332">
        <f>IFERROR(VLOOKUP($AG16,HomeBroker!$A$30:$F$60,4,0),0)</f>
        <v>0</v>
      </c>
      <c r="AL16" s="310">
        <f>IFERROR(VLOOKUP($AG16,HomeBroker!$A$30:$F$60,5,0),0)</f>
        <v>0</v>
      </c>
      <c r="AM16" s="334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3956.7999799999998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-11228.46</v>
      </c>
      <c r="EU16" s="69"/>
      <c r="EV16" s="114">
        <f t="shared" si="55"/>
        <v>3956.7999799999998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-11228.46</v>
      </c>
    </row>
    <row r="17" spans="1:193" ht="15.75">
      <c r="A17" s="326" t="s">
        <v>400</v>
      </c>
      <c r="B17" s="201"/>
      <c r="C17" s="197"/>
      <c r="D17" s="338"/>
      <c r="E17" s="339">
        <f>+B17*D17*-100</f>
        <v>0</v>
      </c>
      <c r="F17" s="340">
        <f t="shared" si="1"/>
        <v>0</v>
      </c>
      <c r="G17" s="199" t="str">
        <f t="shared" si="2"/>
        <v/>
      </c>
      <c r="H17" s="344">
        <f>IFERROR(+G17*B17*-100,0)</f>
        <v>0</v>
      </c>
      <c r="I17" s="461">
        <f t="shared" si="3"/>
        <v>0</v>
      </c>
      <c r="J17" s="59"/>
      <c r="K17" s="315">
        <f t="shared" si="68"/>
        <v>-2.0000000000000018E-2</v>
      </c>
      <c r="L17" s="394">
        <f t="shared" si="4"/>
        <v>4037.5509999999999</v>
      </c>
      <c r="M17" s="363">
        <f t="shared" si="5"/>
        <v>-11228.46</v>
      </c>
      <c r="N17" s="363">
        <f t="shared" ca="1" si="6"/>
        <v>-11228.46</v>
      </c>
      <c r="O17" s="59"/>
      <c r="P17" s="195" t="str">
        <f t="shared" si="59"/>
        <v/>
      </c>
      <c r="Q17" s="336">
        <f t="shared" si="7"/>
        <v>0</v>
      </c>
      <c r="R17" s="335"/>
      <c r="S17" s="329">
        <f t="shared" ca="1" si="60"/>
        <v>0</v>
      </c>
      <c r="T17" s="302" t="str">
        <f t="shared" si="61"/>
        <v/>
      </c>
      <c r="U17" s="302" t="str">
        <f t="shared" si="62"/>
        <v/>
      </c>
      <c r="V17" s="300">
        <f>IFERROR(VLOOKUP($U17,HomeBroker!$A$30:$F$60,2,0),0)</f>
        <v>0</v>
      </c>
      <c r="W17" s="332">
        <f>IFERROR(VLOOKUP($U17,HomeBroker!$A$30:$F$60,3,0),0)</f>
        <v>0</v>
      </c>
      <c r="X17" s="389">
        <f>IFERROR(VLOOKUP($U17,HomeBroker!$A$30:$F$60,6,0),0)</f>
        <v>0</v>
      </c>
      <c r="Y17" s="331">
        <f>IFERROR(VLOOKUP($U17,HomeBroker!$A$30:$F$60,4,0),0)</f>
        <v>0</v>
      </c>
      <c r="Z17" s="300">
        <f>IFERROR(VLOOKUP($U17,HomeBroker!$A$30:$F$60,5,0),0)</f>
        <v>0</v>
      </c>
      <c r="AA17" s="303">
        <f>IFERROR(VLOOKUP($U17,HomeBroker!$A$30:$N$60,13,0),0)</f>
        <v>0</v>
      </c>
      <c r="AB17" s="196" t="str">
        <f t="shared" si="63"/>
        <v/>
      </c>
      <c r="AC17" s="337">
        <f t="shared" si="9"/>
        <v>0</v>
      </c>
      <c r="AD17" s="335"/>
      <c r="AE17" s="330">
        <f t="shared" ca="1" si="64"/>
        <v>0</v>
      </c>
      <c r="AF17" s="302" t="str">
        <f t="shared" si="65"/>
        <v/>
      </c>
      <c r="AG17" s="302" t="str">
        <f t="shared" si="66"/>
        <v/>
      </c>
      <c r="AH17" s="310">
        <f>IFERROR(VLOOKUP($AG17,HomeBroker!$A$30:$F$60,2,0),0)</f>
        <v>0</v>
      </c>
      <c r="AI17" s="332">
        <f>IFERROR(VLOOKUP($AG17,HomeBroker!$A$30:$F$60,3,0),0)</f>
        <v>0</v>
      </c>
      <c r="AJ17" s="389">
        <f>IFERROR(VLOOKUP($AG17,HomeBroker!$A$30:$F$60,6,0),0)</f>
        <v>0</v>
      </c>
      <c r="AK17" s="332">
        <f>IFERROR(VLOOKUP($AG17,HomeBroker!$A$30:$F$60,4,0),0)</f>
        <v>0</v>
      </c>
      <c r="AL17" s="310">
        <f>IFERROR(VLOOKUP($AG17,HomeBroker!$A$30:$F$60,5,0),0)</f>
        <v>0</v>
      </c>
      <c r="AM17" s="334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4037.5509999999999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-11228.46</v>
      </c>
      <c r="EU17" s="69"/>
      <c r="EV17" s="114">
        <f t="shared" si="55"/>
        <v>4037.5509999999999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-11228.46</v>
      </c>
    </row>
    <row r="18" spans="1:193" ht="15">
      <c r="A18" s="326" t="s">
        <v>400</v>
      </c>
      <c r="B18" s="200"/>
      <c r="C18" s="197"/>
      <c r="D18" s="338"/>
      <c r="E18" s="339">
        <f>+B18*D18*-100</f>
        <v>0</v>
      </c>
      <c r="F18" s="340">
        <f t="shared" si="1"/>
        <v>0</v>
      </c>
      <c r="G18" s="199" t="str">
        <f t="shared" si="2"/>
        <v/>
      </c>
      <c r="H18" s="344">
        <f>IFERROR(+G18*B18*-100,0)</f>
        <v>0</v>
      </c>
      <c r="I18" s="461">
        <f t="shared" si="3"/>
        <v>0</v>
      </c>
      <c r="J18" s="59"/>
      <c r="K18" s="128">
        <v>0</v>
      </c>
      <c r="L18" s="390">
        <f>IF($N$45&lt;&gt;"",$N$45,$B$76)</f>
        <v>4119.95</v>
      </c>
      <c r="M18" s="364">
        <f t="shared" si="5"/>
        <v>36091.54</v>
      </c>
      <c r="N18" s="364">
        <f t="shared" ca="1" si="6"/>
        <v>-11228.46</v>
      </c>
      <c r="O18" s="59"/>
      <c r="P18" s="195" t="str">
        <f t="shared" si="59"/>
        <v/>
      </c>
      <c r="Q18" s="309">
        <f t="shared" ref="Q18:Q42" si="69">SUMIFS(AU:AU,AV:AV,R18)</f>
        <v>0</v>
      </c>
      <c r="R18" s="335"/>
      <c r="S18" s="329">
        <f t="shared" ca="1" si="60"/>
        <v>0</v>
      </c>
      <c r="T18" s="302" t="str">
        <f t="shared" si="61"/>
        <v/>
      </c>
      <c r="U18" s="302" t="str">
        <f t="shared" si="62"/>
        <v/>
      </c>
      <c r="V18" s="300">
        <f>IFERROR(VLOOKUP($U18,HomeBroker!$A$30:$F$60,2,0),0)</f>
        <v>0</v>
      </c>
      <c r="W18" s="332">
        <f>IFERROR(VLOOKUP($U18,HomeBroker!$A$30:$F$60,3,0),0)</f>
        <v>0</v>
      </c>
      <c r="X18" s="389">
        <f>IFERROR(VLOOKUP($U18,HomeBroker!$A$30:$F$60,6,0),0)</f>
        <v>0</v>
      </c>
      <c r="Y18" s="331">
        <f>IFERROR(VLOOKUP($U18,HomeBroker!$A$30:$F$60,4,0),0)</f>
        <v>0</v>
      </c>
      <c r="Z18" s="300">
        <f>IFERROR(VLOOKUP($U18,HomeBroker!$A$30:$F$60,5,0),0)</f>
        <v>0</v>
      </c>
      <c r="AA18" s="303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35"/>
      <c r="AE18" s="301">
        <f t="shared" ca="1" si="64"/>
        <v>0</v>
      </c>
      <c r="AF18" s="302" t="str">
        <f t="shared" si="65"/>
        <v/>
      </c>
      <c r="AG18" s="302" t="str">
        <f t="shared" si="66"/>
        <v/>
      </c>
      <c r="AH18" s="310">
        <f>IFERROR(VLOOKUP($AG18,HomeBroker!$A$30:$F$60,2,0),0)</f>
        <v>0</v>
      </c>
      <c r="AI18" s="332">
        <f>IFERROR(VLOOKUP($AG18,HomeBroker!$A$30:$F$60,3,0),0)</f>
        <v>0</v>
      </c>
      <c r="AJ18" s="389">
        <f>IFERROR(VLOOKUP($AG18,HomeBroker!$A$30:$F$60,6,0),0)</f>
        <v>0</v>
      </c>
      <c r="AK18" s="332">
        <f>IFERROR(VLOOKUP($AG18,HomeBroker!$A$30:$F$60,4,0),0)</f>
        <v>0</v>
      </c>
      <c r="AL18" s="310">
        <f>IFERROR(VLOOKUP($AG18,HomeBroker!$A$30:$F$60,5,0),0)</f>
        <v>0</v>
      </c>
      <c r="AM18" s="334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4119.95</v>
      </c>
      <c r="DF18" s="115">
        <f t="shared" si="18"/>
        <v>23659.999999999854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23659.999999999854</v>
      </c>
      <c r="EQ18" s="116"/>
      <c r="ER18" s="123"/>
      <c r="ES18" s="119"/>
      <c r="ET18" s="129">
        <f t="shared" si="54"/>
        <v>36091.54</v>
      </c>
      <c r="EU18" s="69"/>
      <c r="EV18" s="114">
        <f t="shared" si="55"/>
        <v>4119.95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-11228.46</v>
      </c>
    </row>
    <row r="19" spans="1:193" ht="15">
      <c r="A19" s="326" t="s">
        <v>400</v>
      </c>
      <c r="B19" s="200"/>
      <c r="C19" s="197"/>
      <c r="D19" s="338"/>
      <c r="E19" s="339">
        <f t="shared" si="0"/>
        <v>0</v>
      </c>
      <c r="F19" s="340">
        <f t="shared" si="1"/>
        <v>0</v>
      </c>
      <c r="G19" s="199" t="str">
        <f t="shared" si="2"/>
        <v/>
      </c>
      <c r="H19" s="344">
        <f t="shared" si="58"/>
        <v>0</v>
      </c>
      <c r="I19" s="461">
        <f t="shared" si="3"/>
        <v>0</v>
      </c>
      <c r="J19" s="59"/>
      <c r="K19" s="314">
        <f>IFERROR(+L19/$L$18-1,"")</f>
        <v>2.0000000000000018E-2</v>
      </c>
      <c r="L19" s="394">
        <f t="shared" ref="L19:L34" si="71">+L18*(1+$N$42)</f>
        <v>4202.3490000000002</v>
      </c>
      <c r="M19" s="363">
        <f t="shared" si="5"/>
        <v>102010.74</v>
      </c>
      <c r="N19" s="363">
        <f t="shared" ca="1" si="6"/>
        <v>-11228.46</v>
      </c>
      <c r="O19" s="59"/>
      <c r="P19" s="195" t="str">
        <f t="shared" si="59"/>
        <v/>
      </c>
      <c r="Q19" s="309">
        <f t="shared" si="69"/>
        <v>0</v>
      </c>
      <c r="R19" s="335"/>
      <c r="S19" s="329">
        <f t="shared" ca="1" si="60"/>
        <v>0</v>
      </c>
      <c r="T19" s="302" t="str">
        <f t="shared" si="61"/>
        <v/>
      </c>
      <c r="U19" s="302" t="str">
        <f t="shared" si="62"/>
        <v/>
      </c>
      <c r="V19" s="300">
        <f>IFERROR(VLOOKUP($U19,HomeBroker!$A$30:$F$60,2,0),0)</f>
        <v>0</v>
      </c>
      <c r="W19" s="332">
        <f>IFERROR(VLOOKUP($U19,HomeBroker!$A$30:$F$60,3,0),0)</f>
        <v>0</v>
      </c>
      <c r="X19" s="389">
        <f>IFERROR(VLOOKUP($U19,HomeBroker!$A$30:$F$60,6,0),0)</f>
        <v>0</v>
      </c>
      <c r="Y19" s="331">
        <f>IFERROR(VLOOKUP($U19,HomeBroker!$A$30:$F$60,4,0),0)</f>
        <v>0</v>
      </c>
      <c r="Z19" s="300">
        <f>IFERROR(VLOOKUP($U19,HomeBroker!$A$30:$F$60,5,0),0)</f>
        <v>0</v>
      </c>
      <c r="AA19" s="303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35"/>
      <c r="AE19" s="301">
        <f t="shared" ca="1" si="64"/>
        <v>0</v>
      </c>
      <c r="AF19" s="302" t="str">
        <f t="shared" si="65"/>
        <v/>
      </c>
      <c r="AG19" s="302" t="str">
        <f t="shared" si="66"/>
        <v/>
      </c>
      <c r="AH19" s="310">
        <f>IFERROR(VLOOKUP($AG19,HomeBroker!$A$30:$F$60,2,0),0)</f>
        <v>0</v>
      </c>
      <c r="AI19" s="332">
        <f>IFERROR(VLOOKUP($AG19,HomeBroker!$A$30:$F$60,3,0),0)</f>
        <v>0</v>
      </c>
      <c r="AJ19" s="389">
        <f>IFERROR(VLOOKUP($AG19,HomeBroker!$A$30:$F$60,6,0),0)</f>
        <v>0</v>
      </c>
      <c r="AK19" s="332">
        <f>IFERROR(VLOOKUP($AG19,HomeBroker!$A$30:$F$60,4,0),0)</f>
        <v>0</v>
      </c>
      <c r="AL19" s="310">
        <f>IFERROR(VLOOKUP($AG19,HomeBroker!$A$30:$F$60,5,0),0)</f>
        <v>0</v>
      </c>
      <c r="AM19" s="334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4202.3490000000002</v>
      </c>
      <c r="DF19" s="115">
        <f t="shared" si="18"/>
        <v>56619.599999999991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56619.599999999991</v>
      </c>
      <c r="EQ19" s="116"/>
      <c r="ER19" s="123"/>
      <c r="ES19" s="119"/>
      <c r="ET19" s="120">
        <f t="shared" si="54"/>
        <v>102010.74</v>
      </c>
      <c r="EU19" s="69"/>
      <c r="EV19" s="114">
        <f t="shared" si="55"/>
        <v>4202.3490000000002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-11228.46</v>
      </c>
    </row>
    <row r="20" spans="1:193" ht="15">
      <c r="A20" s="326" t="s">
        <v>400</v>
      </c>
      <c r="B20" s="200"/>
      <c r="C20" s="197"/>
      <c r="D20" s="338"/>
      <c r="E20" s="339">
        <f t="shared" si="0"/>
        <v>0</v>
      </c>
      <c r="F20" s="340">
        <f t="shared" si="1"/>
        <v>0</v>
      </c>
      <c r="G20" s="199" t="str">
        <f t="shared" si="2"/>
        <v/>
      </c>
      <c r="H20" s="344">
        <f t="shared" si="58"/>
        <v>0</v>
      </c>
      <c r="I20" s="461">
        <f t="shared" si="3"/>
        <v>0</v>
      </c>
      <c r="J20" s="59"/>
      <c r="K20" s="315">
        <f t="shared" ref="K20:K23" si="72">IFERROR(+L20/$L$18-1,"")</f>
        <v>4.0400000000000214E-2</v>
      </c>
      <c r="L20" s="394">
        <f t="shared" si="71"/>
        <v>4286.3959800000002</v>
      </c>
      <c r="M20" s="363">
        <f t="shared" si="5"/>
        <v>169248.32</v>
      </c>
      <c r="N20" s="363">
        <f t="shared" ca="1" si="6"/>
        <v>-11228.46</v>
      </c>
      <c r="O20" s="59"/>
      <c r="P20" s="195" t="str">
        <f t="shared" si="59"/>
        <v/>
      </c>
      <c r="Q20" s="309">
        <f t="shared" si="69"/>
        <v>0</v>
      </c>
      <c r="R20" s="335"/>
      <c r="S20" s="329">
        <f t="shared" ca="1" si="60"/>
        <v>0</v>
      </c>
      <c r="T20" s="302" t="str">
        <f t="shared" si="61"/>
        <v/>
      </c>
      <c r="U20" s="302" t="str">
        <f t="shared" si="62"/>
        <v/>
      </c>
      <c r="V20" s="300">
        <f>IFERROR(VLOOKUP($U20,HomeBroker!$A$30:$F$60,2,0),0)</f>
        <v>0</v>
      </c>
      <c r="W20" s="332">
        <f>IFERROR(VLOOKUP($U20,HomeBroker!$A$30:$F$60,3,0),0)</f>
        <v>0</v>
      </c>
      <c r="X20" s="389">
        <f>IFERROR(VLOOKUP($U20,HomeBroker!$A$30:$F$60,6,0),0)</f>
        <v>0</v>
      </c>
      <c r="Y20" s="331">
        <f>IFERROR(VLOOKUP($U20,HomeBroker!$A$30:$F$60,4,0),0)</f>
        <v>0</v>
      </c>
      <c r="Z20" s="300">
        <f>IFERROR(VLOOKUP($U20,HomeBroker!$A$30:$F$60,5,0),0)</f>
        <v>0</v>
      </c>
      <c r="AA20" s="303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35"/>
      <c r="AE20" s="301">
        <f t="shared" ca="1" si="64"/>
        <v>0</v>
      </c>
      <c r="AF20" s="302" t="str">
        <f t="shared" si="65"/>
        <v/>
      </c>
      <c r="AG20" s="302" t="str">
        <f t="shared" si="66"/>
        <v/>
      </c>
      <c r="AH20" s="310">
        <f>IFERROR(VLOOKUP($AG20,HomeBroker!$A$30:$F$60,2,0),0)</f>
        <v>0</v>
      </c>
      <c r="AI20" s="332">
        <f>IFERROR(VLOOKUP($AG20,HomeBroker!$A$30:$F$60,3,0),0)</f>
        <v>0</v>
      </c>
      <c r="AJ20" s="389">
        <f>IFERROR(VLOOKUP($AG20,HomeBroker!$A$30:$F$60,6,0),0)</f>
        <v>0</v>
      </c>
      <c r="AK20" s="332">
        <f>IFERROR(VLOOKUP($AG20,HomeBroker!$A$30:$F$60,4,0),0)</f>
        <v>0</v>
      </c>
      <c r="AL20" s="310">
        <f>IFERROR(VLOOKUP($AG20,HomeBroker!$A$30:$F$60,5,0),0)</f>
        <v>0</v>
      </c>
      <c r="AM20" s="334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4286.3959800000002</v>
      </c>
      <c r="DF20" s="115">
        <f t="shared" si="18"/>
        <v>90238.392000000022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90238.392000000022</v>
      </c>
      <c r="EQ20" s="116"/>
      <c r="ER20" s="123"/>
      <c r="ES20" s="119"/>
      <c r="ET20" s="120">
        <f t="shared" si="54"/>
        <v>169248.32</v>
      </c>
      <c r="EU20" s="69"/>
      <c r="EV20" s="114">
        <f t="shared" si="55"/>
        <v>4286.3959800000002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-11228.46</v>
      </c>
    </row>
    <row r="21" spans="1:193" ht="15">
      <c r="A21" s="326" t="s">
        <v>400</v>
      </c>
      <c r="B21" s="200"/>
      <c r="C21" s="197"/>
      <c r="D21" s="338"/>
      <c r="E21" s="339">
        <f t="shared" si="0"/>
        <v>0</v>
      </c>
      <c r="F21" s="340">
        <f t="shared" si="1"/>
        <v>0</v>
      </c>
      <c r="G21" s="199" t="str">
        <f t="shared" si="2"/>
        <v/>
      </c>
      <c r="H21" s="344">
        <f t="shared" si="58"/>
        <v>0</v>
      </c>
      <c r="I21" s="461">
        <f t="shared" si="3"/>
        <v>0</v>
      </c>
      <c r="J21" s="59"/>
      <c r="K21" s="315">
        <f t="shared" si="72"/>
        <v>6.1208000000000151E-2</v>
      </c>
      <c r="L21" s="394">
        <f t="shared" si="71"/>
        <v>4372.1238996000002</v>
      </c>
      <c r="M21" s="364">
        <f t="shared" si="5"/>
        <v>237830.66</v>
      </c>
      <c r="N21" s="364">
        <f t="shared" ca="1" si="6"/>
        <v>-11228.46</v>
      </c>
      <c r="O21" s="59"/>
      <c r="P21" s="195" t="str">
        <f t="shared" si="59"/>
        <v/>
      </c>
      <c r="Q21" s="309">
        <f t="shared" si="69"/>
        <v>0</v>
      </c>
      <c r="R21" s="335"/>
      <c r="S21" s="329">
        <f t="shared" ca="1" si="60"/>
        <v>0</v>
      </c>
      <c r="T21" s="302" t="str">
        <f t="shared" si="61"/>
        <v/>
      </c>
      <c r="U21" s="302" t="str">
        <f t="shared" si="62"/>
        <v/>
      </c>
      <c r="V21" s="300">
        <f>IFERROR(VLOOKUP($U21,HomeBroker!$A$30:$F$60,2,0),0)</f>
        <v>0</v>
      </c>
      <c r="W21" s="332">
        <f>IFERROR(VLOOKUP($U21,HomeBroker!$A$30:$F$60,3,0),0)</f>
        <v>0</v>
      </c>
      <c r="X21" s="389">
        <f>IFERROR(VLOOKUP($U21,HomeBroker!$A$30:$F$60,6,0),0)</f>
        <v>0</v>
      </c>
      <c r="Y21" s="331">
        <f>IFERROR(VLOOKUP($U21,HomeBroker!$A$30:$F$60,4,0),0)</f>
        <v>0</v>
      </c>
      <c r="Z21" s="300">
        <f>IFERROR(VLOOKUP($U21,HomeBroker!$A$30:$F$60,5,0),0)</f>
        <v>0</v>
      </c>
      <c r="AA21" s="303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35"/>
      <c r="AE21" s="301">
        <f t="shared" ca="1" si="64"/>
        <v>0</v>
      </c>
      <c r="AF21" s="302" t="str">
        <f t="shared" si="65"/>
        <v/>
      </c>
      <c r="AG21" s="302" t="str">
        <f t="shared" si="66"/>
        <v/>
      </c>
      <c r="AH21" s="310">
        <f>IFERROR(VLOOKUP($AG21,HomeBroker!$A$30:$F$60,2,0),0)</f>
        <v>0</v>
      </c>
      <c r="AI21" s="332">
        <f>IFERROR(VLOOKUP($AG21,HomeBroker!$A$30:$F$60,3,0),0)</f>
        <v>0</v>
      </c>
      <c r="AJ21" s="389">
        <f>IFERROR(VLOOKUP($AG21,HomeBroker!$A$30:$F$60,6,0),0)</f>
        <v>0</v>
      </c>
      <c r="AK21" s="332">
        <f>IFERROR(VLOOKUP($AG21,HomeBroker!$A$30:$F$60,4,0),0)</f>
        <v>0</v>
      </c>
      <c r="AL21" s="310">
        <f>IFERROR(VLOOKUP($AG21,HomeBroker!$A$30:$F$60,5,0),0)</f>
        <v>0</v>
      </c>
      <c r="AM21" s="334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4372.1238996000002</v>
      </c>
      <c r="DF21" s="115">
        <f t="shared" si="18"/>
        <v>124529.55984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124529.55984</v>
      </c>
      <c r="EQ21" s="116"/>
      <c r="ER21" s="123"/>
      <c r="ES21" s="119"/>
      <c r="ET21" s="120">
        <f t="shared" si="54"/>
        <v>237830.66</v>
      </c>
      <c r="EU21" s="69"/>
      <c r="EV21" s="114">
        <f t="shared" si="55"/>
        <v>4372.1238996000002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-11228.46</v>
      </c>
    </row>
    <row r="22" spans="1:193" ht="15">
      <c r="A22" s="326" t="s">
        <v>400</v>
      </c>
      <c r="B22" s="200"/>
      <c r="C22" s="197"/>
      <c r="D22" s="338"/>
      <c r="E22" s="339">
        <f t="shared" si="0"/>
        <v>0</v>
      </c>
      <c r="F22" s="340">
        <f t="shared" si="1"/>
        <v>0</v>
      </c>
      <c r="G22" s="199" t="str">
        <f t="shared" si="2"/>
        <v/>
      </c>
      <c r="H22" s="344">
        <f t="shared" si="58"/>
        <v>0</v>
      </c>
      <c r="I22" s="461">
        <f t="shared" si="3"/>
        <v>0</v>
      </c>
      <c r="J22" s="59"/>
      <c r="K22" s="315">
        <f t="shared" si="72"/>
        <v>8.2432160000000199E-2</v>
      </c>
      <c r="L22" s="394">
        <f t="shared" si="71"/>
        <v>4459.5663775920002</v>
      </c>
      <c r="M22" s="363">
        <f t="shared" si="5"/>
        <v>307784.64</v>
      </c>
      <c r="N22" s="363">
        <f t="shared" ca="1" si="6"/>
        <v>-11228.46</v>
      </c>
      <c r="O22" s="59"/>
      <c r="P22" s="195" t="str">
        <f t="shared" si="59"/>
        <v/>
      </c>
      <c r="Q22" s="309">
        <f t="shared" si="69"/>
        <v>0</v>
      </c>
      <c r="R22" s="335"/>
      <c r="S22" s="329">
        <f t="shared" ca="1" si="60"/>
        <v>0</v>
      </c>
      <c r="T22" s="302" t="str">
        <f t="shared" si="61"/>
        <v/>
      </c>
      <c r="U22" s="302" t="str">
        <f t="shared" si="62"/>
        <v/>
      </c>
      <c r="V22" s="300">
        <f>IFERROR(VLOOKUP($U22,HomeBroker!$A$30:$F$60,2,0),0)</f>
        <v>0</v>
      </c>
      <c r="W22" s="332">
        <f>IFERROR(VLOOKUP($U22,HomeBroker!$A$30:$F$60,3,0),0)</f>
        <v>0</v>
      </c>
      <c r="X22" s="389">
        <f>IFERROR(VLOOKUP($U22,HomeBroker!$A$30:$F$60,6,0),0)</f>
        <v>0</v>
      </c>
      <c r="Y22" s="331">
        <f>IFERROR(VLOOKUP($U22,HomeBroker!$A$30:$F$60,4,0),0)</f>
        <v>0</v>
      </c>
      <c r="Z22" s="300">
        <f>IFERROR(VLOOKUP($U22,HomeBroker!$A$30:$F$60,5,0),0)</f>
        <v>0</v>
      </c>
      <c r="AA22" s="303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35"/>
      <c r="AE22" s="301">
        <f t="shared" ca="1" si="64"/>
        <v>0</v>
      </c>
      <c r="AF22" s="302" t="str">
        <f t="shared" si="65"/>
        <v/>
      </c>
      <c r="AG22" s="302" t="str">
        <f t="shared" si="66"/>
        <v/>
      </c>
      <c r="AH22" s="310">
        <f>IFERROR(VLOOKUP($AG22,HomeBroker!$A$30:$F$60,2,0),0)</f>
        <v>0</v>
      </c>
      <c r="AI22" s="332">
        <f>IFERROR(VLOOKUP($AG22,HomeBroker!$A$30:$F$60,3,0),0)</f>
        <v>0</v>
      </c>
      <c r="AJ22" s="389">
        <f>IFERROR(VLOOKUP($AG22,HomeBroker!$A$30:$F$60,6,0),0)</f>
        <v>0</v>
      </c>
      <c r="AK22" s="332">
        <f>IFERROR(VLOOKUP($AG22,HomeBroker!$A$30:$F$60,4,0),0)</f>
        <v>0</v>
      </c>
      <c r="AL22" s="310">
        <f>IFERROR(VLOOKUP($AG22,HomeBroker!$A$30:$F$60,5,0),0)</f>
        <v>0</v>
      </c>
      <c r="AM22" s="334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4459.5663775920002</v>
      </c>
      <c r="DF22" s="115">
        <f t="shared" si="18"/>
        <v>159506.55103680003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159506.55103680003</v>
      </c>
      <c r="EQ22" s="116"/>
      <c r="ER22" s="123"/>
      <c r="ES22" s="119"/>
      <c r="ET22" s="120">
        <f t="shared" si="54"/>
        <v>307784.64</v>
      </c>
      <c r="EU22" s="69"/>
      <c r="EV22" s="114">
        <f t="shared" si="55"/>
        <v>4459.5663775920002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-11228.46</v>
      </c>
    </row>
    <row r="23" spans="1:193" ht="15">
      <c r="A23" s="326" t="s">
        <v>400</v>
      </c>
      <c r="B23" s="200"/>
      <c r="C23" s="197"/>
      <c r="D23" s="338"/>
      <c r="E23" s="339">
        <f t="shared" si="0"/>
        <v>0</v>
      </c>
      <c r="F23" s="340">
        <f t="shared" si="1"/>
        <v>0</v>
      </c>
      <c r="G23" s="199" t="str">
        <f t="shared" si="2"/>
        <v/>
      </c>
      <c r="H23" s="344">
        <f t="shared" si="58"/>
        <v>0</v>
      </c>
      <c r="I23" s="461">
        <f t="shared" si="3"/>
        <v>0</v>
      </c>
      <c r="J23" s="59"/>
      <c r="K23" s="315">
        <f t="shared" si="72"/>
        <v>0.10408080320000002</v>
      </c>
      <c r="L23" s="394">
        <f t="shared" si="71"/>
        <v>4548.7577051438402</v>
      </c>
      <c r="M23" s="363">
        <f t="shared" si="5"/>
        <v>379137.7</v>
      </c>
      <c r="N23" s="363">
        <f t="shared" ca="1" si="6"/>
        <v>-11228.46</v>
      </c>
      <c r="O23" s="59"/>
      <c r="P23" s="195" t="str">
        <f t="shared" si="59"/>
        <v/>
      </c>
      <c r="Q23" s="309">
        <f t="shared" si="69"/>
        <v>0</v>
      </c>
      <c r="R23" s="191"/>
      <c r="S23" s="329">
        <f t="shared" ca="1" si="60"/>
        <v>0</v>
      </c>
      <c r="T23" s="302" t="str">
        <f t="shared" si="61"/>
        <v/>
      </c>
      <c r="U23" s="302" t="str">
        <f t="shared" si="62"/>
        <v/>
      </c>
      <c r="V23" s="300">
        <f>IFERROR(VLOOKUP($U23,HomeBroker!$A$30:$F$60,2,0),0)</f>
        <v>0</v>
      </c>
      <c r="W23" s="332">
        <f>IFERROR(VLOOKUP($U23,HomeBroker!$A$30:$F$60,3,0),0)</f>
        <v>0</v>
      </c>
      <c r="X23" s="389">
        <f>IFERROR(VLOOKUP($U23,HomeBroker!$A$30:$F$60,6,0),0)</f>
        <v>0</v>
      </c>
      <c r="Y23" s="331">
        <f>IFERROR(VLOOKUP($U23,HomeBroker!$A$30:$F$60,4,0),0)</f>
        <v>0</v>
      </c>
      <c r="Z23" s="300">
        <f>IFERROR(VLOOKUP($U23,HomeBroker!$A$30:$F$60,5,0),0)</f>
        <v>0</v>
      </c>
      <c r="AA23" s="303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301">
        <f t="shared" ca="1" si="64"/>
        <v>0</v>
      </c>
      <c r="AF23" s="302" t="str">
        <f t="shared" si="65"/>
        <v/>
      </c>
      <c r="AG23" s="302" t="str">
        <f t="shared" si="66"/>
        <v/>
      </c>
      <c r="AH23" s="310">
        <f>IFERROR(VLOOKUP($AG23,HomeBroker!$A$30:$F$60,2,0),0)</f>
        <v>0</v>
      </c>
      <c r="AI23" s="332">
        <f>IFERROR(VLOOKUP($AG23,HomeBroker!$A$30:$F$60,3,0),0)</f>
        <v>0</v>
      </c>
      <c r="AJ23" s="389">
        <f>IFERROR(VLOOKUP($AG23,HomeBroker!$A$30:$F$60,6,0),0)</f>
        <v>0</v>
      </c>
      <c r="AK23" s="332">
        <f>IFERROR(VLOOKUP($AG23,HomeBroker!$A$30:$F$60,4,0),0)</f>
        <v>0</v>
      </c>
      <c r="AL23" s="310">
        <f>IFERROR(VLOOKUP($AG23,HomeBroker!$A$30:$F$60,5,0),0)</f>
        <v>0</v>
      </c>
      <c r="AM23" s="334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4548.7577051438402</v>
      </c>
      <c r="DF23" s="115">
        <f t="shared" si="18"/>
        <v>195183.082057536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195183.082057536</v>
      </c>
      <c r="EQ23" s="116"/>
      <c r="ER23" s="123"/>
      <c r="ES23" s="119"/>
      <c r="ET23" s="120">
        <f t="shared" si="54"/>
        <v>379137.7</v>
      </c>
      <c r="EU23" s="69"/>
      <c r="EV23" s="114">
        <f t="shared" si="55"/>
        <v>4548.7577051438402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-11228.46</v>
      </c>
    </row>
    <row r="24" spans="1:193" ht="15">
      <c r="A24" s="326" t="s">
        <v>400</v>
      </c>
      <c r="B24" s="200"/>
      <c r="C24" s="197"/>
      <c r="D24" s="338"/>
      <c r="E24" s="339">
        <f t="shared" si="0"/>
        <v>0</v>
      </c>
      <c r="F24" s="340">
        <f t="shared" si="1"/>
        <v>0</v>
      </c>
      <c r="G24" s="199" t="str">
        <f t="shared" si="2"/>
        <v/>
      </c>
      <c r="H24" s="344">
        <f t="shared" si="58"/>
        <v>0</v>
      </c>
      <c r="I24" s="461">
        <f t="shared" si="3"/>
        <v>0</v>
      </c>
      <c r="J24" s="59"/>
      <c r="K24" s="312">
        <f>IFERROR(+L24/$L$18-1,"")</f>
        <v>0.12616241926400029</v>
      </c>
      <c r="L24" s="393">
        <f t="shared" si="71"/>
        <v>4639.7328592467175</v>
      </c>
      <c r="M24" s="364">
        <f t="shared" si="5"/>
        <v>451917.83</v>
      </c>
      <c r="N24" s="364">
        <f t="shared" ca="1" si="6"/>
        <v>-11228.46</v>
      </c>
      <c r="O24" s="59"/>
      <c r="P24" s="195" t="str">
        <f t="shared" si="59"/>
        <v/>
      </c>
      <c r="Q24" s="309">
        <f t="shared" si="69"/>
        <v>0</v>
      </c>
      <c r="R24" s="191"/>
      <c r="S24" s="329">
        <f t="shared" ca="1" si="60"/>
        <v>0</v>
      </c>
      <c r="T24" s="302" t="str">
        <f t="shared" si="61"/>
        <v/>
      </c>
      <c r="U24" s="302" t="str">
        <f t="shared" si="62"/>
        <v/>
      </c>
      <c r="V24" s="300">
        <f>IFERROR(VLOOKUP($U24,HomeBroker!$A$30:$F$60,2,0),0)</f>
        <v>0</v>
      </c>
      <c r="W24" s="332">
        <f>IFERROR(VLOOKUP($U24,HomeBroker!$A$30:$F$60,3,0),0)</f>
        <v>0</v>
      </c>
      <c r="X24" s="389">
        <f>IFERROR(VLOOKUP($U24,HomeBroker!$A$30:$F$60,6,0),0)</f>
        <v>0</v>
      </c>
      <c r="Y24" s="331">
        <f>IFERROR(VLOOKUP($U24,HomeBroker!$A$30:$F$60,4,0),0)</f>
        <v>0</v>
      </c>
      <c r="Z24" s="300">
        <f>IFERROR(VLOOKUP($U24,HomeBroker!$A$30:$F$60,5,0),0)</f>
        <v>0</v>
      </c>
      <c r="AA24" s="303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301">
        <f t="shared" ca="1" si="64"/>
        <v>0</v>
      </c>
      <c r="AF24" s="302" t="str">
        <f t="shared" si="65"/>
        <v/>
      </c>
      <c r="AG24" s="302" t="str">
        <f t="shared" si="66"/>
        <v/>
      </c>
      <c r="AH24" s="310">
        <f>IFERROR(VLOOKUP($AG24,HomeBroker!$A$30:$F$60,2,0),0)</f>
        <v>0</v>
      </c>
      <c r="AI24" s="332">
        <f>IFERROR(VLOOKUP($AG24,HomeBroker!$A$30:$F$60,3,0),0)</f>
        <v>0</v>
      </c>
      <c r="AJ24" s="389">
        <f>IFERROR(VLOOKUP($AG24,HomeBroker!$A$30:$F$60,6,0),0)</f>
        <v>0</v>
      </c>
      <c r="AK24" s="332">
        <f>IFERROR(VLOOKUP($AG24,HomeBroker!$A$30:$F$60,4,0),0)</f>
        <v>0</v>
      </c>
      <c r="AL24" s="310">
        <f>IFERROR(VLOOKUP($AG24,HomeBroker!$A$30:$F$60,5,0),0)</f>
        <v>0</v>
      </c>
      <c r="AM24" s="334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4639.7328592467175</v>
      </c>
      <c r="DF24" s="115">
        <f t="shared" si="18"/>
        <v>231573.14369868691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231573.14369868691</v>
      </c>
      <c r="EQ24" s="116"/>
      <c r="ER24" s="123"/>
      <c r="ES24" s="119"/>
      <c r="ET24" s="120">
        <f t="shared" si="54"/>
        <v>451917.83</v>
      </c>
      <c r="EU24" s="69"/>
      <c r="EV24" s="114">
        <f t="shared" si="55"/>
        <v>4639.7328592467175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-11228.46</v>
      </c>
    </row>
    <row r="25" spans="1:193" ht="15">
      <c r="A25" s="326" t="s">
        <v>400</v>
      </c>
      <c r="B25" s="200"/>
      <c r="C25" s="197"/>
      <c r="D25" s="338"/>
      <c r="E25" s="339">
        <f t="shared" si="0"/>
        <v>0</v>
      </c>
      <c r="F25" s="340">
        <f t="shared" si="1"/>
        <v>0</v>
      </c>
      <c r="G25" s="199" t="str">
        <f t="shared" si="2"/>
        <v/>
      </c>
      <c r="H25" s="344">
        <f t="shared" si="58"/>
        <v>0</v>
      </c>
      <c r="I25" s="461">
        <f t="shared" si="3"/>
        <v>0</v>
      </c>
      <c r="J25" s="59"/>
      <c r="K25" s="313"/>
      <c r="L25" s="393">
        <f t="shared" si="71"/>
        <v>4732.5275164316517</v>
      </c>
      <c r="M25" s="363">
        <f t="shared" si="5"/>
        <v>526153.55000000005</v>
      </c>
      <c r="N25" s="363">
        <f t="shared" ca="1" si="6"/>
        <v>-11228.46</v>
      </c>
      <c r="O25" s="59"/>
      <c r="P25" s="195" t="str">
        <f t="shared" si="59"/>
        <v/>
      </c>
      <c r="Q25" s="309">
        <f t="shared" si="69"/>
        <v>0</v>
      </c>
      <c r="R25" s="191"/>
      <c r="S25" s="329">
        <f t="shared" ca="1" si="60"/>
        <v>0</v>
      </c>
      <c r="T25" s="302" t="str">
        <f t="shared" si="61"/>
        <v/>
      </c>
      <c r="U25" s="302" t="str">
        <f t="shared" si="62"/>
        <v/>
      </c>
      <c r="V25" s="300">
        <f>IFERROR(VLOOKUP($U25,HomeBroker!$A$30:$F$60,2,0),0)</f>
        <v>0</v>
      </c>
      <c r="W25" s="332">
        <f>IFERROR(VLOOKUP($U25,HomeBroker!$A$30:$F$60,3,0),0)</f>
        <v>0</v>
      </c>
      <c r="X25" s="389">
        <f>IFERROR(VLOOKUP($U25,HomeBroker!$A$30:$F$60,6,0),0)</f>
        <v>0</v>
      </c>
      <c r="Y25" s="331">
        <f>IFERROR(VLOOKUP($U25,HomeBroker!$A$30:$F$60,4,0),0)</f>
        <v>0</v>
      </c>
      <c r="Z25" s="300">
        <f>IFERROR(VLOOKUP($U25,HomeBroker!$A$30:$F$60,5,0),0)</f>
        <v>0</v>
      </c>
      <c r="AA25" s="303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301">
        <f t="shared" ca="1" si="64"/>
        <v>0</v>
      </c>
      <c r="AF25" s="302" t="str">
        <f t="shared" si="65"/>
        <v/>
      </c>
      <c r="AG25" s="302" t="str">
        <f t="shared" si="66"/>
        <v/>
      </c>
      <c r="AH25" s="310">
        <f>IFERROR(VLOOKUP($AG25,HomeBroker!$A$30:$F$60,2,0),0)</f>
        <v>0</v>
      </c>
      <c r="AI25" s="332">
        <f>IFERROR(VLOOKUP($AG25,HomeBroker!$A$30:$F$60,3,0),0)</f>
        <v>0</v>
      </c>
      <c r="AJ25" s="389">
        <f>IFERROR(VLOOKUP($AG25,HomeBroker!$A$30:$F$60,6,0),0)</f>
        <v>0</v>
      </c>
      <c r="AK25" s="332">
        <f>IFERROR(VLOOKUP($AG25,HomeBroker!$A$30:$F$60,4,0),0)</f>
        <v>0</v>
      </c>
      <c r="AL25" s="310">
        <f>IFERROR(VLOOKUP($AG25,HomeBroker!$A$30:$F$60,5,0),0)</f>
        <v>0</v>
      </c>
      <c r="AM25" s="334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4732.5275164316517</v>
      </c>
      <c r="DF25" s="115">
        <f t="shared" si="18"/>
        <v>268691.00657266064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268691.00657266064</v>
      </c>
      <c r="EQ25" s="116"/>
      <c r="ER25" s="123"/>
      <c r="ES25" s="119"/>
      <c r="ET25" s="120">
        <f t="shared" si="54"/>
        <v>526153.55000000005</v>
      </c>
      <c r="EU25" s="69"/>
      <c r="EV25" s="114">
        <f t="shared" si="55"/>
        <v>4732.5275164316517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-11228.46</v>
      </c>
    </row>
    <row r="26" spans="1:193" ht="15">
      <c r="A26" s="326" t="s">
        <v>400</v>
      </c>
      <c r="B26" s="200"/>
      <c r="C26" s="197"/>
      <c r="D26" s="338"/>
      <c r="E26" s="339">
        <f t="shared" si="0"/>
        <v>0</v>
      </c>
      <c r="F26" s="340">
        <f t="shared" si="1"/>
        <v>0</v>
      </c>
      <c r="G26" s="199" t="str">
        <f t="shared" si="2"/>
        <v/>
      </c>
      <c r="H26" s="344">
        <f t="shared" si="58"/>
        <v>0</v>
      </c>
      <c r="I26" s="461">
        <f t="shared" si="3"/>
        <v>0</v>
      </c>
      <c r="J26" s="59"/>
      <c r="K26" s="313"/>
      <c r="L26" s="393">
        <f t="shared" si="71"/>
        <v>4827.1780667602852</v>
      </c>
      <c r="M26" s="363">
        <f t="shared" si="5"/>
        <v>601873.99</v>
      </c>
      <c r="N26" s="363">
        <f t="shared" ca="1" si="6"/>
        <v>-11228.46</v>
      </c>
      <c r="O26" s="59"/>
      <c r="P26" s="195" t="str">
        <f t="shared" si="59"/>
        <v/>
      </c>
      <c r="Q26" s="309">
        <f t="shared" si="69"/>
        <v>0</v>
      </c>
      <c r="R26" s="191"/>
      <c r="S26" s="329">
        <f t="shared" ca="1" si="60"/>
        <v>0</v>
      </c>
      <c r="T26" s="302" t="str">
        <f t="shared" si="61"/>
        <v/>
      </c>
      <c r="U26" s="302" t="str">
        <f t="shared" si="62"/>
        <v/>
      </c>
      <c r="V26" s="300">
        <f>IFERROR(VLOOKUP($U26,HomeBroker!$A$30:$F$60,2,0),0)</f>
        <v>0</v>
      </c>
      <c r="W26" s="332">
        <f>IFERROR(VLOOKUP($U26,HomeBroker!$A$30:$F$60,3,0),0)</f>
        <v>0</v>
      </c>
      <c r="X26" s="389">
        <f>IFERROR(VLOOKUP($U26,HomeBroker!$A$30:$F$60,6,0),0)</f>
        <v>0</v>
      </c>
      <c r="Y26" s="331">
        <f>IFERROR(VLOOKUP($U26,HomeBroker!$A$30:$F$60,4,0),0)</f>
        <v>0</v>
      </c>
      <c r="Z26" s="300">
        <f>IFERROR(VLOOKUP($U26,HomeBroker!$A$30:$F$60,5,0),0)</f>
        <v>0</v>
      </c>
      <c r="AA26" s="303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301">
        <f t="shared" ca="1" si="64"/>
        <v>0</v>
      </c>
      <c r="AF26" s="302" t="str">
        <f t="shared" si="65"/>
        <v/>
      </c>
      <c r="AG26" s="302" t="str">
        <f t="shared" si="66"/>
        <v/>
      </c>
      <c r="AH26" s="310">
        <f>IFERROR(VLOOKUP($AG26,HomeBroker!$A$30:$F$60,2,0),0)</f>
        <v>0</v>
      </c>
      <c r="AI26" s="332">
        <f>IFERROR(VLOOKUP($AG26,HomeBroker!$A$30:$F$60,3,0),0)</f>
        <v>0</v>
      </c>
      <c r="AJ26" s="389">
        <f>IFERROR(VLOOKUP($AG26,HomeBroker!$A$30:$F$60,6,0),0)</f>
        <v>0</v>
      </c>
      <c r="AK26" s="332">
        <f>IFERROR(VLOOKUP($AG26,HomeBroker!$A$30:$F$60,4,0),0)</f>
        <v>0</v>
      </c>
      <c r="AL26" s="310">
        <f>IFERROR(VLOOKUP($AG26,HomeBroker!$A$30:$F$60,5,0),0)</f>
        <v>0</v>
      </c>
      <c r="AM26" s="334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4827.1780667602852</v>
      </c>
      <c r="DF26" s="115">
        <f t="shared" si="18"/>
        <v>306551.226704114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306551.226704114</v>
      </c>
      <c r="EQ26" s="116"/>
      <c r="ER26" s="123"/>
      <c r="ES26" s="119"/>
      <c r="ET26" s="120">
        <f t="shared" si="54"/>
        <v>601873.99</v>
      </c>
      <c r="EU26" s="69"/>
      <c r="EV26" s="114">
        <f t="shared" si="55"/>
        <v>4827.1780667602852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-11228.46</v>
      </c>
    </row>
    <row r="27" spans="1:193" ht="15">
      <c r="A27" s="326" t="s">
        <v>400</v>
      </c>
      <c r="B27" s="202"/>
      <c r="C27" s="197"/>
      <c r="D27" s="338"/>
      <c r="E27" s="339">
        <f t="shared" si="0"/>
        <v>0</v>
      </c>
      <c r="F27" s="340">
        <f t="shared" si="1"/>
        <v>0</v>
      </c>
      <c r="G27" s="199" t="str">
        <f t="shared" si="2"/>
        <v/>
      </c>
      <c r="H27" s="344">
        <f t="shared" si="58"/>
        <v>0</v>
      </c>
      <c r="I27" s="461">
        <f t="shared" si="3"/>
        <v>0</v>
      </c>
      <c r="J27" s="59"/>
      <c r="K27" s="313"/>
      <c r="L27" s="393">
        <f t="shared" si="71"/>
        <v>4923.7216280954908</v>
      </c>
      <c r="M27" s="364">
        <f t="shared" si="5"/>
        <v>679108.84</v>
      </c>
      <c r="N27" s="364">
        <f t="shared" ca="1" si="6"/>
        <v>-11228.46</v>
      </c>
      <c r="O27" s="59"/>
      <c r="P27" s="195" t="str">
        <f t="shared" si="59"/>
        <v/>
      </c>
      <c r="Q27" s="309">
        <f t="shared" si="69"/>
        <v>0</v>
      </c>
      <c r="R27" s="191"/>
      <c r="S27" s="329">
        <f t="shared" ca="1" si="60"/>
        <v>0</v>
      </c>
      <c r="T27" s="302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02" t="str">
        <f t="shared" si="62"/>
        <v/>
      </c>
      <c r="V27" s="300">
        <f>IFERROR(VLOOKUP($U27,HomeBroker!$A$30:$F$60,2,0),0)</f>
        <v>0</v>
      </c>
      <c r="W27" s="332">
        <f>IFERROR(VLOOKUP($U27,HomeBroker!$A$30:$F$60,3,0),0)</f>
        <v>0</v>
      </c>
      <c r="X27" s="389">
        <f>IFERROR(VLOOKUP($U27,HomeBroker!$A$30:$F$60,6,0),0)</f>
        <v>0</v>
      </c>
      <c r="Y27" s="331">
        <f>IFERROR(VLOOKUP($U27,HomeBroker!$A$30:$F$60,4,0),0)</f>
        <v>0</v>
      </c>
      <c r="Z27" s="300">
        <f>IFERROR(VLOOKUP($U27,HomeBroker!$A$30:$F$60,5,0),0)</f>
        <v>0</v>
      </c>
      <c r="AA27" s="303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301">
        <f t="shared" ca="1" si="64"/>
        <v>0</v>
      </c>
      <c r="AF27" s="302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02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10">
        <f>IFERROR(VLOOKUP($AG27,HomeBroker!$A$30:$F$60,2,0),0)</f>
        <v>0</v>
      </c>
      <c r="AI27" s="332">
        <f>IFERROR(VLOOKUP($AG27,HomeBroker!$A$30:$F$60,3,0),0)</f>
        <v>0</v>
      </c>
      <c r="AJ27" s="389">
        <f>IFERROR(VLOOKUP($AG27,HomeBroker!$A$30:$F$60,6,0),0)</f>
        <v>0</v>
      </c>
      <c r="AK27" s="332">
        <f>IFERROR(VLOOKUP($AG27,HomeBroker!$A$30:$F$60,4,0),0)</f>
        <v>0</v>
      </c>
      <c r="AL27" s="310">
        <f>IFERROR(VLOOKUP($AG27,HomeBroker!$A$30:$F$60,5,0),0)</f>
        <v>0</v>
      </c>
      <c r="AM27" s="334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4923.7216280954908</v>
      </c>
      <c r="DF27" s="115">
        <f t="shared" si="18"/>
        <v>345168.65123819624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345168.65123819624</v>
      </c>
      <c r="EQ27" s="116"/>
      <c r="ER27" s="123"/>
      <c r="ES27" s="119"/>
      <c r="ET27" s="120">
        <f t="shared" si="54"/>
        <v>679108.84</v>
      </c>
      <c r="EU27" s="69"/>
      <c r="EV27" s="114">
        <f t="shared" si="55"/>
        <v>4923.7216280954908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-11228.46</v>
      </c>
    </row>
    <row r="28" spans="1:193" ht="15">
      <c r="A28" s="326" t="s">
        <v>400</v>
      </c>
      <c r="B28" s="200"/>
      <c r="C28" s="197"/>
      <c r="D28" s="338"/>
      <c r="E28" s="339">
        <f t="shared" si="0"/>
        <v>0</v>
      </c>
      <c r="F28" s="340">
        <f t="shared" si="1"/>
        <v>0</v>
      </c>
      <c r="G28" s="199" t="str">
        <f t="shared" si="2"/>
        <v/>
      </c>
      <c r="H28" s="344">
        <f t="shared" si="58"/>
        <v>0</v>
      </c>
      <c r="I28" s="461">
        <f t="shared" si="3"/>
        <v>0</v>
      </c>
      <c r="J28" s="59"/>
      <c r="K28" s="316"/>
      <c r="L28" s="393">
        <f t="shared" si="71"/>
        <v>5022.1960606574003</v>
      </c>
      <c r="M28" s="363">
        <f t="shared" si="5"/>
        <v>757888.39</v>
      </c>
      <c r="N28" s="363">
        <f t="shared" ca="1" si="6"/>
        <v>-11228.46</v>
      </c>
      <c r="O28" s="59"/>
      <c r="P28" s="195" t="str">
        <f t="shared" si="59"/>
        <v/>
      </c>
      <c r="Q28" s="309">
        <f t="shared" si="69"/>
        <v>0</v>
      </c>
      <c r="R28" s="191"/>
      <c r="S28" s="329">
        <f t="shared" ca="1" si="60"/>
        <v>0</v>
      </c>
      <c r="T28" s="302" t="str">
        <f t="shared" si="73"/>
        <v/>
      </c>
      <c r="U28" s="302" t="str">
        <f t="shared" si="62"/>
        <v/>
      </c>
      <c r="V28" s="300">
        <f>IFERROR(VLOOKUP($U28,HomeBroker!$A$30:$F$60,2,0),0)</f>
        <v>0</v>
      </c>
      <c r="W28" s="332">
        <f>IFERROR(VLOOKUP($U28,HomeBroker!$A$30:$F$60,3,0),0)</f>
        <v>0</v>
      </c>
      <c r="X28" s="389">
        <f>IFERROR(VLOOKUP($U28,HomeBroker!$A$30:$F$60,6,0),0)</f>
        <v>0</v>
      </c>
      <c r="Y28" s="331">
        <f>IFERROR(VLOOKUP($U28,HomeBroker!$A$30:$F$60,4,0),0)</f>
        <v>0</v>
      </c>
      <c r="Z28" s="300">
        <f>IFERROR(VLOOKUP($U28,HomeBroker!$A$30:$F$60,5,0),0)</f>
        <v>0</v>
      </c>
      <c r="AA28" s="303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301">
        <f t="shared" ca="1" si="64"/>
        <v>0</v>
      </c>
      <c r="AF28" s="302" t="str">
        <f t="shared" si="74"/>
        <v/>
      </c>
      <c r="AG28" s="302" t="str">
        <f t="shared" si="75"/>
        <v/>
      </c>
      <c r="AH28" s="310">
        <f>IFERROR(VLOOKUP($AG28,HomeBroker!$A$30:$F$60,2,0),0)</f>
        <v>0</v>
      </c>
      <c r="AI28" s="332">
        <f>IFERROR(VLOOKUP($AG28,HomeBroker!$A$30:$F$60,3,0),0)</f>
        <v>0</v>
      </c>
      <c r="AJ28" s="389">
        <f>IFERROR(VLOOKUP($AG28,HomeBroker!$A$30:$F$60,6,0),0)</f>
        <v>0</v>
      </c>
      <c r="AK28" s="332">
        <f>IFERROR(VLOOKUP($AG28,HomeBroker!$A$30:$F$60,4,0),0)</f>
        <v>0</v>
      </c>
      <c r="AL28" s="310">
        <f>IFERROR(VLOOKUP($AG28,HomeBroker!$A$30:$F$60,5,0),0)</f>
        <v>0</v>
      </c>
      <c r="AM28" s="334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5022.1960606574003</v>
      </c>
      <c r="DF28" s="115">
        <f t="shared" si="18"/>
        <v>384558.42426296003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384558.42426296003</v>
      </c>
      <c r="EQ28" s="116"/>
      <c r="ER28" s="123"/>
      <c r="ES28" s="119"/>
      <c r="ET28" s="120">
        <f t="shared" si="54"/>
        <v>757888.39</v>
      </c>
      <c r="EU28" s="69"/>
      <c r="EV28" s="114">
        <f t="shared" si="55"/>
        <v>5022.1960606574003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-11228.46</v>
      </c>
    </row>
    <row r="29" spans="1:193" ht="15">
      <c r="A29" s="326" t="s">
        <v>400</v>
      </c>
      <c r="B29" s="200"/>
      <c r="C29" s="197"/>
      <c r="D29" s="338"/>
      <c r="E29" s="339">
        <f t="shared" si="0"/>
        <v>0</v>
      </c>
      <c r="F29" s="340">
        <f t="shared" si="1"/>
        <v>0</v>
      </c>
      <c r="G29" s="199" t="str">
        <f t="shared" si="2"/>
        <v/>
      </c>
      <c r="H29" s="344">
        <f t="shared" si="58"/>
        <v>0</v>
      </c>
      <c r="I29" s="461">
        <f t="shared" si="3"/>
        <v>0</v>
      </c>
      <c r="J29" s="59"/>
      <c r="K29" s="103">
        <f>IFERROR(+L29/$L$18-1,"")</f>
        <v>0.24337430839465246</v>
      </c>
      <c r="L29" s="395">
        <f t="shared" si="71"/>
        <v>5122.6399818705486</v>
      </c>
      <c r="M29" s="363">
        <f t="shared" si="5"/>
        <v>838243.53</v>
      </c>
      <c r="N29" s="363">
        <f t="shared" ca="1" si="6"/>
        <v>-11228.46</v>
      </c>
      <c r="O29" s="59"/>
      <c r="P29" s="195" t="str">
        <f t="shared" si="59"/>
        <v/>
      </c>
      <c r="Q29" s="309">
        <f t="shared" si="69"/>
        <v>0</v>
      </c>
      <c r="R29" s="191"/>
      <c r="S29" s="329">
        <f t="shared" ca="1" si="60"/>
        <v>0</v>
      </c>
      <c r="T29" s="302" t="str">
        <f t="shared" si="73"/>
        <v/>
      </c>
      <c r="U29" s="302" t="str">
        <f t="shared" si="62"/>
        <v/>
      </c>
      <c r="V29" s="300">
        <f>IFERROR(VLOOKUP($U29,HomeBroker!$A$30:$F$60,2,0),0)</f>
        <v>0</v>
      </c>
      <c r="W29" s="332">
        <f>IFERROR(VLOOKUP($U29,HomeBroker!$A$30:$F$60,3,0),0)</f>
        <v>0</v>
      </c>
      <c r="X29" s="389">
        <f>IFERROR(VLOOKUP($U29,HomeBroker!$A$30:$F$60,6,0),0)</f>
        <v>0</v>
      </c>
      <c r="Y29" s="331">
        <f>IFERROR(VLOOKUP($U29,HomeBroker!$A$30:$F$60,4,0),0)</f>
        <v>0</v>
      </c>
      <c r="Z29" s="300">
        <f>IFERROR(VLOOKUP($U29,HomeBroker!$A$30:$F$60,5,0),0)</f>
        <v>0</v>
      </c>
      <c r="AA29" s="303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301">
        <f t="shared" ca="1" si="64"/>
        <v>0</v>
      </c>
      <c r="AF29" s="302" t="str">
        <f t="shared" si="74"/>
        <v/>
      </c>
      <c r="AG29" s="302" t="str">
        <f t="shared" si="75"/>
        <v/>
      </c>
      <c r="AH29" s="310">
        <f>IFERROR(VLOOKUP($AG29,HomeBroker!$A$30:$F$60,2,0),0)</f>
        <v>0</v>
      </c>
      <c r="AI29" s="332">
        <f>IFERROR(VLOOKUP($AG29,HomeBroker!$A$30:$F$60,3,0),0)</f>
        <v>0</v>
      </c>
      <c r="AJ29" s="389">
        <f>IFERROR(VLOOKUP($AG29,HomeBroker!$A$30:$F$60,6,0),0)</f>
        <v>0</v>
      </c>
      <c r="AK29" s="332">
        <f>IFERROR(VLOOKUP($AG29,HomeBroker!$A$30:$F$60,4,0),0)</f>
        <v>0</v>
      </c>
      <c r="AL29" s="310">
        <f>IFERROR(VLOOKUP($AG29,HomeBroker!$A$30:$F$60,5,0),0)</f>
        <v>0</v>
      </c>
      <c r="AM29" s="334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5122.6399818705486</v>
      </c>
      <c r="DF29" s="115">
        <f t="shared" si="18"/>
        <v>424735.99274821935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424735.99274821935</v>
      </c>
      <c r="EQ29" s="116"/>
      <c r="ER29" s="123"/>
      <c r="ES29" s="119"/>
      <c r="ET29" s="120">
        <f t="shared" si="54"/>
        <v>838243.53</v>
      </c>
      <c r="EU29" s="69"/>
      <c r="EV29" s="114">
        <f t="shared" si="55"/>
        <v>5122.6399818705486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-11228.46</v>
      </c>
    </row>
    <row r="30" spans="1:193" ht="15">
      <c r="A30" s="326" t="s">
        <v>400</v>
      </c>
      <c r="B30" s="200"/>
      <c r="C30" s="197"/>
      <c r="D30" s="338"/>
      <c r="E30" s="339">
        <f t="shared" si="0"/>
        <v>0</v>
      </c>
      <c r="F30" s="340">
        <f t="shared" si="1"/>
        <v>0</v>
      </c>
      <c r="G30" s="199" t="str">
        <f t="shared" si="2"/>
        <v/>
      </c>
      <c r="H30" s="344">
        <f t="shared" si="58"/>
        <v>0</v>
      </c>
      <c r="I30" s="461">
        <f t="shared" si="3"/>
        <v>0</v>
      </c>
      <c r="J30" s="59"/>
      <c r="K30" s="103"/>
      <c r="L30" s="395">
        <f t="shared" si="71"/>
        <v>5225.0927815079594</v>
      </c>
      <c r="M30" s="364">
        <f t="shared" si="5"/>
        <v>920205.77</v>
      </c>
      <c r="N30" s="364">
        <f t="shared" ca="1" si="6"/>
        <v>-11228.46</v>
      </c>
      <c r="O30" s="59"/>
      <c r="P30" s="195" t="str">
        <f t="shared" si="59"/>
        <v/>
      </c>
      <c r="Q30" s="309">
        <f t="shared" si="69"/>
        <v>0</v>
      </c>
      <c r="R30" s="191"/>
      <c r="S30" s="329">
        <f t="shared" ca="1" si="60"/>
        <v>0</v>
      </c>
      <c r="T30" s="302" t="str">
        <f t="shared" si="73"/>
        <v/>
      </c>
      <c r="U30" s="302" t="str">
        <f t="shared" si="62"/>
        <v/>
      </c>
      <c r="V30" s="300">
        <f>IFERROR(VLOOKUP($U30,HomeBroker!$A$30:$F$60,2,0),0)</f>
        <v>0</v>
      </c>
      <c r="W30" s="332">
        <f>IFERROR(VLOOKUP($U30,HomeBroker!$A$30:$F$60,3,0),0)</f>
        <v>0</v>
      </c>
      <c r="X30" s="389">
        <f>IFERROR(VLOOKUP($U30,HomeBroker!$A$30:$F$60,6,0),0)</f>
        <v>0</v>
      </c>
      <c r="Y30" s="331">
        <f>IFERROR(VLOOKUP($U30,HomeBroker!$A$30:$F$60,4,0),0)</f>
        <v>0</v>
      </c>
      <c r="Z30" s="300">
        <f>IFERROR(VLOOKUP($U30,HomeBroker!$A$30:$F$60,5,0),0)</f>
        <v>0</v>
      </c>
      <c r="AA30" s="303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301">
        <f t="shared" ca="1" si="64"/>
        <v>0</v>
      </c>
      <c r="AF30" s="302" t="str">
        <f t="shared" si="74"/>
        <v/>
      </c>
      <c r="AG30" s="302" t="str">
        <f t="shared" si="75"/>
        <v/>
      </c>
      <c r="AH30" s="310">
        <f>IFERROR(VLOOKUP($AG30,HomeBroker!$A$30:$F$60,2,0),0)</f>
        <v>0</v>
      </c>
      <c r="AI30" s="332">
        <f>IFERROR(VLOOKUP($AG30,HomeBroker!$A$30:$F$60,3,0),0)</f>
        <v>0</v>
      </c>
      <c r="AJ30" s="389">
        <f>IFERROR(VLOOKUP($AG30,HomeBroker!$A$30:$F$60,6,0),0)</f>
        <v>0</v>
      </c>
      <c r="AK30" s="332">
        <f>IFERROR(VLOOKUP($AG30,HomeBroker!$A$30:$F$60,4,0),0)</f>
        <v>0</v>
      </c>
      <c r="AL30" s="310">
        <f>IFERROR(VLOOKUP($AG30,HomeBroker!$A$30:$F$60,5,0),0)</f>
        <v>0</v>
      </c>
      <c r="AM30" s="334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5225.0927815079594</v>
      </c>
      <c r="DF30" s="115">
        <f t="shared" si="18"/>
        <v>465717.11260318372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465717.11260318372</v>
      </c>
      <c r="EQ30" s="116"/>
      <c r="ER30" s="123"/>
      <c r="ES30" s="119"/>
      <c r="ET30" s="120">
        <f t="shared" si="54"/>
        <v>920205.77</v>
      </c>
      <c r="EU30" s="69"/>
      <c r="EV30" s="114">
        <f t="shared" si="55"/>
        <v>5225.0927815079594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-11228.46</v>
      </c>
    </row>
    <row r="31" spans="1:193" ht="15">
      <c r="A31" s="326" t="s">
        <v>400</v>
      </c>
      <c r="B31" s="200"/>
      <c r="C31" s="197"/>
      <c r="D31" s="338"/>
      <c r="E31" s="339">
        <f t="shared" si="0"/>
        <v>0</v>
      </c>
      <c r="F31" s="340">
        <f t="shared" si="1"/>
        <v>0</v>
      </c>
      <c r="G31" s="199" t="str">
        <f t="shared" si="2"/>
        <v/>
      </c>
      <c r="H31" s="344">
        <f t="shared" si="58"/>
        <v>0</v>
      </c>
      <c r="I31" s="461">
        <f t="shared" si="3"/>
        <v>0</v>
      </c>
      <c r="J31" s="59"/>
      <c r="K31" s="103"/>
      <c r="L31" s="395">
        <f t="shared" si="71"/>
        <v>5329.5946371381187</v>
      </c>
      <c r="M31" s="363">
        <f t="shared" si="5"/>
        <v>1003807.25</v>
      </c>
      <c r="N31" s="363">
        <f t="shared" ca="1" si="6"/>
        <v>-11228.46</v>
      </c>
      <c r="O31" s="59"/>
      <c r="P31" s="195" t="str">
        <f t="shared" si="59"/>
        <v/>
      </c>
      <c r="Q31" s="309">
        <f t="shared" si="69"/>
        <v>0</v>
      </c>
      <c r="R31" s="191"/>
      <c r="S31" s="329">
        <f t="shared" ca="1" si="60"/>
        <v>0</v>
      </c>
      <c r="T31" s="302" t="str">
        <f t="shared" si="73"/>
        <v/>
      </c>
      <c r="U31" s="302" t="str">
        <f t="shared" si="62"/>
        <v/>
      </c>
      <c r="V31" s="300">
        <f>IFERROR(VLOOKUP($U31,HomeBroker!$A$30:$F$60,2,0),0)</f>
        <v>0</v>
      </c>
      <c r="W31" s="332">
        <f>IFERROR(VLOOKUP($U31,HomeBroker!$A$30:$F$60,3,0),0)</f>
        <v>0</v>
      </c>
      <c r="X31" s="389">
        <f>IFERROR(VLOOKUP($U31,HomeBroker!$A$30:$F$60,6,0),0)</f>
        <v>0</v>
      </c>
      <c r="Y31" s="331">
        <f>IFERROR(VLOOKUP($U31,HomeBroker!$A$30:$F$60,4,0),0)</f>
        <v>0</v>
      </c>
      <c r="Z31" s="300">
        <f>IFERROR(VLOOKUP($U31,HomeBroker!$A$30:$F$60,5,0),0)</f>
        <v>0</v>
      </c>
      <c r="AA31" s="303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301">
        <f t="shared" ca="1" si="64"/>
        <v>0</v>
      </c>
      <c r="AF31" s="302" t="str">
        <f t="shared" si="74"/>
        <v/>
      </c>
      <c r="AG31" s="302" t="str">
        <f t="shared" si="75"/>
        <v/>
      </c>
      <c r="AH31" s="310">
        <f>IFERROR(VLOOKUP($AG31,HomeBroker!$A$30:$F$60,2,0),0)</f>
        <v>0</v>
      </c>
      <c r="AI31" s="332">
        <f>IFERROR(VLOOKUP($AG31,HomeBroker!$A$30:$F$60,3,0),0)</f>
        <v>0</v>
      </c>
      <c r="AJ31" s="389">
        <f>IFERROR(VLOOKUP($AG31,HomeBroker!$A$30:$F$60,6,0),0)</f>
        <v>0</v>
      </c>
      <c r="AK31" s="332">
        <f>IFERROR(VLOOKUP($AG31,HomeBroker!$A$30:$F$60,4,0),0)</f>
        <v>0</v>
      </c>
      <c r="AL31" s="310">
        <f>IFERROR(VLOOKUP($AG31,HomeBroker!$A$30:$F$60,5,0),0)</f>
        <v>0</v>
      </c>
      <c r="AM31" s="334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5329.5946371381187</v>
      </c>
      <c r="DF31" s="115">
        <f t="shared" si="18"/>
        <v>507517.85485524742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507517.85485524742</v>
      </c>
      <c r="EQ31" s="116"/>
      <c r="ER31" s="123"/>
      <c r="ES31" s="119"/>
      <c r="ET31" s="120">
        <f t="shared" si="54"/>
        <v>1003807.25</v>
      </c>
      <c r="EU31" s="69"/>
      <c r="EV31" s="114">
        <f t="shared" si="55"/>
        <v>5329.5946371381187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-11228.46</v>
      </c>
    </row>
    <row r="32" spans="1:193" ht="15">
      <c r="A32" s="326" t="s">
        <v>400</v>
      </c>
      <c r="B32" s="200"/>
      <c r="C32" s="197"/>
      <c r="D32" s="338"/>
      <c r="E32" s="339">
        <f t="shared" si="0"/>
        <v>0</v>
      </c>
      <c r="F32" s="340">
        <f t="shared" si="1"/>
        <v>0</v>
      </c>
      <c r="G32" s="199" t="str">
        <f t="shared" si="2"/>
        <v/>
      </c>
      <c r="H32" s="344">
        <f t="shared" si="58"/>
        <v>0</v>
      </c>
      <c r="I32" s="461">
        <f t="shared" si="3"/>
        <v>0</v>
      </c>
      <c r="J32" s="59"/>
      <c r="K32" s="103"/>
      <c r="L32" s="395">
        <f t="shared" si="71"/>
        <v>5436.1865298808816</v>
      </c>
      <c r="M32" s="363">
        <f t="shared" si="5"/>
        <v>1089080.76</v>
      </c>
      <c r="N32" s="363">
        <f t="shared" ca="1" si="6"/>
        <v>-11228.46</v>
      </c>
      <c r="O32" s="59"/>
      <c r="P32" s="195" t="str">
        <f t="shared" si="59"/>
        <v/>
      </c>
      <c r="Q32" s="309">
        <f t="shared" si="69"/>
        <v>0</v>
      </c>
      <c r="R32" s="191"/>
      <c r="S32" s="329">
        <f t="shared" ca="1" si="60"/>
        <v>0</v>
      </c>
      <c r="T32" s="302" t="str">
        <f t="shared" si="73"/>
        <v/>
      </c>
      <c r="U32" s="302" t="str">
        <f t="shared" si="62"/>
        <v/>
      </c>
      <c r="V32" s="300">
        <f>IFERROR(VLOOKUP($U32,HomeBroker!$A$30:$F$60,2,0),0)</f>
        <v>0</v>
      </c>
      <c r="W32" s="332">
        <f>IFERROR(VLOOKUP($U32,HomeBroker!$A$30:$F$60,3,0),0)</f>
        <v>0</v>
      </c>
      <c r="X32" s="389">
        <f>IFERROR(VLOOKUP($U32,HomeBroker!$A$30:$F$60,6,0),0)</f>
        <v>0</v>
      </c>
      <c r="Y32" s="331">
        <f>IFERROR(VLOOKUP($U32,HomeBroker!$A$30:$F$60,4,0),0)</f>
        <v>0</v>
      </c>
      <c r="Z32" s="300">
        <f>IFERROR(VLOOKUP($U32,HomeBroker!$A$30:$F$60,5,0),0)</f>
        <v>0</v>
      </c>
      <c r="AA32" s="303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301">
        <f t="shared" ca="1" si="64"/>
        <v>0</v>
      </c>
      <c r="AF32" s="302" t="str">
        <f t="shared" si="74"/>
        <v/>
      </c>
      <c r="AG32" s="302" t="str">
        <f t="shared" si="75"/>
        <v/>
      </c>
      <c r="AH32" s="310">
        <f>IFERROR(VLOOKUP($AG32,HomeBroker!$A$30:$F$60,2,0),0)</f>
        <v>0</v>
      </c>
      <c r="AI32" s="332">
        <f>IFERROR(VLOOKUP($AG32,HomeBroker!$A$30:$F$60,3,0),0)</f>
        <v>0</v>
      </c>
      <c r="AJ32" s="389">
        <f>IFERROR(VLOOKUP($AG32,HomeBroker!$A$30:$F$60,6,0),0)</f>
        <v>0</v>
      </c>
      <c r="AK32" s="332">
        <f>IFERROR(VLOOKUP($AG32,HomeBroker!$A$30:$F$60,4,0),0)</f>
        <v>0</v>
      </c>
      <c r="AL32" s="310">
        <f>IFERROR(VLOOKUP($AG32,HomeBroker!$A$30:$F$60,5,0),0)</f>
        <v>0</v>
      </c>
      <c r="AM32" s="334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5436.1865298808816</v>
      </c>
      <c r="DF32" s="115">
        <f t="shared" si="18"/>
        <v>550154.61195235257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550154.61195235257</v>
      </c>
      <c r="EQ32" s="116"/>
      <c r="ER32" s="123"/>
      <c r="ES32" s="119"/>
      <c r="ET32" s="120">
        <f t="shared" si="54"/>
        <v>1089080.76</v>
      </c>
      <c r="EU32" s="69"/>
      <c r="EV32" s="114">
        <f t="shared" si="55"/>
        <v>5436.1865298808816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-11228.46</v>
      </c>
    </row>
    <row r="33" spans="1:193" ht="15">
      <c r="A33" s="326" t="s">
        <v>400</v>
      </c>
      <c r="B33" s="200"/>
      <c r="C33" s="197"/>
      <c r="D33" s="338"/>
      <c r="E33" s="339">
        <f t="shared" si="0"/>
        <v>0</v>
      </c>
      <c r="F33" s="340">
        <f t="shared" si="1"/>
        <v>0</v>
      </c>
      <c r="G33" s="199" t="str">
        <f t="shared" si="2"/>
        <v/>
      </c>
      <c r="H33" s="344">
        <f t="shared" si="58"/>
        <v>0</v>
      </c>
      <c r="I33" s="461">
        <f t="shared" si="3"/>
        <v>0</v>
      </c>
      <c r="J33" s="59"/>
      <c r="K33" s="103"/>
      <c r="L33" s="395">
        <f t="shared" si="71"/>
        <v>5544.9102604784994</v>
      </c>
      <c r="M33" s="364">
        <f t="shared" si="5"/>
        <v>1176059.75</v>
      </c>
      <c r="N33" s="364">
        <f t="shared" ca="1" si="6"/>
        <v>-11228.46</v>
      </c>
      <c r="O33" s="59"/>
      <c r="P33" s="195" t="str">
        <f t="shared" si="59"/>
        <v/>
      </c>
      <c r="Q33" s="309">
        <f t="shared" si="69"/>
        <v>0</v>
      </c>
      <c r="R33" s="191"/>
      <c r="S33" s="329">
        <f t="shared" ca="1" si="60"/>
        <v>0</v>
      </c>
      <c r="T33" s="302" t="str">
        <f t="shared" si="73"/>
        <v/>
      </c>
      <c r="U33" s="302" t="str">
        <f t="shared" si="62"/>
        <v/>
      </c>
      <c r="V33" s="300">
        <f>IFERROR(VLOOKUP($U33,HomeBroker!$A$30:$F$60,2,0),0)</f>
        <v>0</v>
      </c>
      <c r="W33" s="332">
        <f>IFERROR(VLOOKUP($U33,HomeBroker!$A$30:$F$60,3,0),0)</f>
        <v>0</v>
      </c>
      <c r="X33" s="389">
        <f>IFERROR(VLOOKUP($U33,HomeBroker!$A$30:$F$60,6,0),0)</f>
        <v>0</v>
      </c>
      <c r="Y33" s="331">
        <f>IFERROR(VLOOKUP($U33,HomeBroker!$A$30:$F$60,4,0),0)</f>
        <v>0</v>
      </c>
      <c r="Z33" s="300">
        <f>IFERROR(VLOOKUP($U33,HomeBroker!$A$30:$F$60,5,0),0)</f>
        <v>0</v>
      </c>
      <c r="AA33" s="303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301">
        <f t="shared" ca="1" si="64"/>
        <v>0</v>
      </c>
      <c r="AF33" s="302" t="str">
        <f t="shared" si="74"/>
        <v/>
      </c>
      <c r="AG33" s="302" t="str">
        <f t="shared" si="75"/>
        <v/>
      </c>
      <c r="AH33" s="310">
        <f>IFERROR(VLOOKUP($AG33,HomeBroker!$A$30:$F$60,2,0),0)</f>
        <v>0</v>
      </c>
      <c r="AI33" s="332">
        <f>IFERROR(VLOOKUP($AG33,HomeBroker!$A$30:$F$60,3,0),0)</f>
        <v>0</v>
      </c>
      <c r="AJ33" s="389">
        <f>IFERROR(VLOOKUP($AG33,HomeBroker!$A$30:$F$60,6,0),0)</f>
        <v>0</v>
      </c>
      <c r="AK33" s="332">
        <f>IFERROR(VLOOKUP($AG33,HomeBroker!$A$30:$F$60,4,0),0)</f>
        <v>0</v>
      </c>
      <c r="AL33" s="310">
        <f>IFERROR(VLOOKUP($AG33,HomeBroker!$A$30:$F$60,5,0),0)</f>
        <v>0</v>
      </c>
      <c r="AM33" s="334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5544.9102604784994</v>
      </c>
      <c r="DF33" s="115">
        <f t="shared" si="18"/>
        <v>593644.10419139965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593644.10419139965</v>
      </c>
      <c r="EQ33" s="116"/>
      <c r="ER33" s="123"/>
      <c r="ES33" s="119"/>
      <c r="ET33" s="120">
        <f t="shared" si="54"/>
        <v>1176059.75</v>
      </c>
      <c r="EU33" s="69"/>
      <c r="EV33" s="114">
        <f t="shared" si="55"/>
        <v>5544.9102604784994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-11228.46</v>
      </c>
    </row>
    <row r="34" spans="1:193" ht="15.75" thickBot="1">
      <c r="A34" s="326" t="s">
        <v>400</v>
      </c>
      <c r="B34" s="200"/>
      <c r="C34" s="197"/>
      <c r="D34" s="338"/>
      <c r="E34" s="339">
        <f t="shared" si="0"/>
        <v>0</v>
      </c>
      <c r="F34" s="340">
        <f t="shared" si="1"/>
        <v>0</v>
      </c>
      <c r="G34" s="199" t="str">
        <f t="shared" si="2"/>
        <v/>
      </c>
      <c r="H34" s="344">
        <f t="shared" si="58"/>
        <v>0</v>
      </c>
      <c r="I34" s="461">
        <f t="shared" si="3"/>
        <v>0</v>
      </c>
      <c r="J34" s="59"/>
      <c r="K34" s="130"/>
      <c r="L34" s="396">
        <f t="shared" si="71"/>
        <v>5655.8084656880692</v>
      </c>
      <c r="M34" s="365">
        <f t="shared" si="5"/>
        <v>1264778.31</v>
      </c>
      <c r="N34" s="365">
        <f t="shared" ca="1" si="6"/>
        <v>-11228.46</v>
      </c>
      <c r="O34" s="131"/>
      <c r="P34" s="195" t="str">
        <f t="shared" si="59"/>
        <v/>
      </c>
      <c r="Q34" s="309">
        <f t="shared" si="69"/>
        <v>0</v>
      </c>
      <c r="R34" s="191"/>
      <c r="S34" s="329">
        <f t="shared" ca="1" si="60"/>
        <v>0</v>
      </c>
      <c r="T34" s="302" t="str">
        <f t="shared" si="73"/>
        <v/>
      </c>
      <c r="U34" s="302" t="str">
        <f t="shared" si="62"/>
        <v/>
      </c>
      <c r="V34" s="300">
        <f>IFERROR(VLOOKUP($U34,HomeBroker!$A$30:$F$60,2,0),0)</f>
        <v>0</v>
      </c>
      <c r="W34" s="332">
        <f>IFERROR(VLOOKUP($U34,HomeBroker!$A$30:$F$60,3,0),0)</f>
        <v>0</v>
      </c>
      <c r="X34" s="389">
        <f>IFERROR(VLOOKUP($U34,HomeBroker!$A$30:$F$60,6,0),0)</f>
        <v>0</v>
      </c>
      <c r="Y34" s="331">
        <f>IFERROR(VLOOKUP($U34,HomeBroker!$A$30:$F$60,4,0),0)</f>
        <v>0</v>
      </c>
      <c r="Z34" s="300">
        <f>IFERROR(VLOOKUP($U34,HomeBroker!$A$30:$F$60,5,0),0)</f>
        <v>0</v>
      </c>
      <c r="AA34" s="303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301">
        <f t="shared" ca="1" si="64"/>
        <v>0</v>
      </c>
      <c r="AF34" s="302" t="str">
        <f t="shared" si="74"/>
        <v/>
      </c>
      <c r="AG34" s="302" t="str">
        <f t="shared" si="75"/>
        <v/>
      </c>
      <c r="AH34" s="310">
        <f>IFERROR(VLOOKUP($AG34,HomeBroker!$A$30:$F$60,2,0),0)</f>
        <v>0</v>
      </c>
      <c r="AI34" s="332">
        <f>IFERROR(VLOOKUP($AG34,HomeBroker!$A$30:$F$60,3,0),0)</f>
        <v>0</v>
      </c>
      <c r="AJ34" s="389">
        <f>IFERROR(VLOOKUP($AG34,HomeBroker!$A$30:$F$60,6,0),0)</f>
        <v>0</v>
      </c>
      <c r="AK34" s="332">
        <f>IFERROR(VLOOKUP($AG34,HomeBroker!$A$30:$F$60,4,0),0)</f>
        <v>0</v>
      </c>
      <c r="AL34" s="310">
        <f>IFERROR(VLOOKUP($AG34,HomeBroker!$A$30:$F$60,5,0),0)</f>
        <v>0</v>
      </c>
      <c r="AM34" s="334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5655.8084656880692</v>
      </c>
      <c r="DF34" s="115">
        <f t="shared" si="18"/>
        <v>638003.38627522765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638003.38627522765</v>
      </c>
      <c r="EQ34" s="116"/>
      <c r="ER34" s="132"/>
      <c r="ES34" s="133"/>
      <c r="ET34" s="134">
        <f t="shared" si="54"/>
        <v>1264778.31</v>
      </c>
      <c r="EU34" s="69"/>
      <c r="EV34" s="114">
        <f t="shared" si="55"/>
        <v>5655.8084656880692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-11228.46</v>
      </c>
    </row>
    <row r="35" spans="1:193" ht="15">
      <c r="A35" s="326" t="s">
        <v>400</v>
      </c>
      <c r="B35" s="200"/>
      <c r="C35" s="197"/>
      <c r="D35" s="338"/>
      <c r="E35" s="339">
        <f t="shared" si="0"/>
        <v>0</v>
      </c>
      <c r="F35" s="340">
        <f t="shared" ref="F35:F66" si="76">IF(B35&gt;0,+B35*D35*(1+($N$53+0.002)*1.21)*-100,B35*D35*(1-($N$53+0.002)*1.21)*-100)</f>
        <v>0</v>
      </c>
      <c r="G35" s="199" t="str">
        <f t="shared" si="2"/>
        <v/>
      </c>
      <c r="H35" s="344">
        <f t="shared" si="58"/>
        <v>0</v>
      </c>
      <c r="I35" s="46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309">
        <f t="shared" si="69"/>
        <v>0</v>
      </c>
      <c r="R35" s="191"/>
      <c r="S35" s="329">
        <f t="shared" ca="1" si="60"/>
        <v>0</v>
      </c>
      <c r="T35" s="302" t="str">
        <f t="shared" si="73"/>
        <v/>
      </c>
      <c r="U35" s="302" t="str">
        <f t="shared" si="62"/>
        <v/>
      </c>
      <c r="V35" s="300">
        <f>IFERROR(VLOOKUP($U35,HomeBroker!$A$30:$F$60,2,0),0)</f>
        <v>0</v>
      </c>
      <c r="W35" s="332">
        <f>IFERROR(VLOOKUP($U35,HomeBroker!$A$30:$F$60,3,0),0)</f>
        <v>0</v>
      </c>
      <c r="X35" s="389">
        <f>IFERROR(VLOOKUP($U35,HomeBroker!$A$30:$F$60,6,0),0)</f>
        <v>0</v>
      </c>
      <c r="Y35" s="331">
        <f>IFERROR(VLOOKUP($U35,HomeBroker!$A$30:$F$60,4,0),0)</f>
        <v>0</v>
      </c>
      <c r="Z35" s="300">
        <f>IFERROR(VLOOKUP($U35,HomeBroker!$A$30:$F$60,5,0),0)</f>
        <v>0</v>
      </c>
      <c r="AA35" s="303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301">
        <f t="shared" ca="1" si="64"/>
        <v>0</v>
      </c>
      <c r="AF35" s="302" t="str">
        <f t="shared" si="74"/>
        <v/>
      </c>
      <c r="AG35" s="302" t="str">
        <f t="shared" si="75"/>
        <v/>
      </c>
      <c r="AH35" s="310">
        <f>IFERROR(VLOOKUP($AG35,HomeBroker!$A$30:$F$60,2,0),0)</f>
        <v>0</v>
      </c>
      <c r="AI35" s="332">
        <f>IFERROR(VLOOKUP($AG35,HomeBroker!$A$30:$F$60,3,0),0)</f>
        <v>0</v>
      </c>
      <c r="AJ35" s="389">
        <f>IFERROR(VLOOKUP($AG35,HomeBroker!$A$30:$F$60,6,0),0)</f>
        <v>0</v>
      </c>
      <c r="AK35" s="332">
        <f>IFERROR(VLOOKUP($AG35,HomeBroker!$A$30:$F$60,4,0),0)</f>
        <v>0</v>
      </c>
      <c r="AL35" s="310">
        <f>IFERROR(VLOOKUP($AG35,HomeBroker!$A$30:$F$60,5,0),0)</f>
        <v>0</v>
      </c>
      <c r="AM35" s="334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26" t="s">
        <v>400</v>
      </c>
      <c r="B36" s="200"/>
      <c r="C36" s="197"/>
      <c r="D36" s="338"/>
      <c r="E36" s="339">
        <f t="shared" si="0"/>
        <v>0</v>
      </c>
      <c r="F36" s="340">
        <f t="shared" si="76"/>
        <v>0</v>
      </c>
      <c r="G36" s="199" t="str">
        <f t="shared" si="2"/>
        <v/>
      </c>
      <c r="H36" s="344">
        <f t="shared" si="58"/>
        <v>0</v>
      </c>
      <c r="I36" s="461">
        <f t="shared" si="3"/>
        <v>0</v>
      </c>
      <c r="J36" s="59"/>
      <c r="K36" s="670" t="s">
        <v>441</v>
      </c>
      <c r="L36" s="667"/>
      <c r="M36" s="668"/>
      <c r="N36" s="317">
        <f>SUM(AY:AY)+SUM(BE:BE)+SUM(BJ:BJ)+$F$76</f>
        <v>-11228.459199999999</v>
      </c>
      <c r="O36" s="59"/>
      <c r="P36" s="195" t="str">
        <f t="shared" si="59"/>
        <v/>
      </c>
      <c r="Q36" s="309">
        <f t="shared" si="69"/>
        <v>0</v>
      </c>
      <c r="R36" s="191"/>
      <c r="S36" s="329">
        <f t="shared" ca="1" si="60"/>
        <v>0</v>
      </c>
      <c r="T36" s="302" t="str">
        <f t="shared" si="73"/>
        <v/>
      </c>
      <c r="U36" s="302" t="str">
        <f t="shared" si="62"/>
        <v/>
      </c>
      <c r="V36" s="300">
        <f>IFERROR(VLOOKUP($U36,HomeBroker!$A$30:$F$60,2,0),0)</f>
        <v>0</v>
      </c>
      <c r="W36" s="332">
        <f>IFERROR(VLOOKUP($U36,HomeBroker!$A$30:$F$60,3,0),0)</f>
        <v>0</v>
      </c>
      <c r="X36" s="389">
        <f>IFERROR(VLOOKUP($U36,HomeBroker!$A$30:$F$60,6,0),0)</f>
        <v>0</v>
      </c>
      <c r="Y36" s="331">
        <f>IFERROR(VLOOKUP($U36,HomeBroker!$A$30:$F$60,4,0),0)</f>
        <v>0</v>
      </c>
      <c r="Z36" s="300">
        <f>IFERROR(VLOOKUP($U36,HomeBroker!$A$30:$F$60,5,0),0)</f>
        <v>0</v>
      </c>
      <c r="AA36" s="303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301">
        <f t="shared" ca="1" si="64"/>
        <v>0</v>
      </c>
      <c r="AF36" s="302" t="str">
        <f t="shared" si="74"/>
        <v/>
      </c>
      <c r="AG36" s="302" t="str">
        <f t="shared" si="75"/>
        <v/>
      </c>
      <c r="AH36" s="310">
        <f>IFERROR(VLOOKUP($AG36,HomeBroker!$A$30:$F$60,2,0),0)</f>
        <v>0</v>
      </c>
      <c r="AI36" s="332">
        <f>IFERROR(VLOOKUP($AG36,HomeBroker!$A$30:$F$60,3,0),0)</f>
        <v>0</v>
      </c>
      <c r="AJ36" s="389">
        <f>IFERROR(VLOOKUP($AG36,HomeBroker!$A$30:$F$60,6,0),0)</f>
        <v>0</v>
      </c>
      <c r="AK36" s="332">
        <f>IFERROR(VLOOKUP($AG36,HomeBroker!$A$30:$F$60,4,0),0)</f>
        <v>0</v>
      </c>
      <c r="AL36" s="310">
        <f>IFERROR(VLOOKUP($AG36,HomeBroker!$A$30:$F$60,5,0),0)</f>
        <v>0</v>
      </c>
      <c r="AM36" s="334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3042.867774443931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3042.867774443931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27" t="s">
        <v>400</v>
      </c>
      <c r="B37" s="319"/>
      <c r="C37" s="320"/>
      <c r="D37" s="341"/>
      <c r="E37" s="342">
        <f t="shared" si="0"/>
        <v>0</v>
      </c>
      <c r="F37" s="343">
        <f t="shared" si="76"/>
        <v>0</v>
      </c>
      <c r="G37" s="321" t="str">
        <f t="shared" si="2"/>
        <v/>
      </c>
      <c r="H37" s="345">
        <f t="shared" si="58"/>
        <v>0</v>
      </c>
      <c r="I37" s="462">
        <f t="shared" si="3"/>
        <v>0</v>
      </c>
      <c r="J37" s="59"/>
      <c r="K37" s="670" t="s">
        <v>442</v>
      </c>
      <c r="L37" s="667"/>
      <c r="M37" s="668"/>
      <c r="N37" s="31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180771.54080000002</v>
      </c>
      <c r="O37" s="59"/>
      <c r="P37" s="195" t="str">
        <f t="shared" si="59"/>
        <v/>
      </c>
      <c r="Q37" s="309">
        <f t="shared" si="69"/>
        <v>0</v>
      </c>
      <c r="R37" s="191"/>
      <c r="S37" s="329">
        <f t="shared" ca="1" si="60"/>
        <v>0</v>
      </c>
      <c r="T37" s="302" t="str">
        <f t="shared" si="73"/>
        <v/>
      </c>
      <c r="U37" s="302" t="str">
        <f t="shared" si="62"/>
        <v/>
      </c>
      <c r="V37" s="300">
        <f>IFERROR(VLOOKUP($U37,HomeBroker!$A$30:$F$60,2,0),0)</f>
        <v>0</v>
      </c>
      <c r="W37" s="332">
        <f>IFERROR(VLOOKUP($U37,HomeBroker!$A$30:$F$60,3,0),0)</f>
        <v>0</v>
      </c>
      <c r="X37" s="389">
        <f>IFERROR(VLOOKUP($U37,HomeBroker!$A$30:$F$60,6,0),0)</f>
        <v>0</v>
      </c>
      <c r="Y37" s="331">
        <f>IFERROR(VLOOKUP($U37,HomeBroker!$A$30:$F$60,4,0),0)</f>
        <v>0</v>
      </c>
      <c r="Z37" s="300">
        <f>IFERROR(VLOOKUP($U37,HomeBroker!$A$30:$F$60,5,0),0)</f>
        <v>0</v>
      </c>
      <c r="AA37" s="303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301">
        <f t="shared" ca="1" si="64"/>
        <v>0</v>
      </c>
      <c r="AF37" s="302" t="str">
        <f t="shared" si="74"/>
        <v/>
      </c>
      <c r="AG37" s="302" t="str">
        <f t="shared" si="75"/>
        <v/>
      </c>
      <c r="AH37" s="310">
        <f>IFERROR(VLOOKUP($AG37,HomeBroker!$A$30:$F$60,2,0),0)</f>
        <v>0</v>
      </c>
      <c r="AI37" s="332">
        <f>IFERROR(VLOOKUP($AG37,HomeBroker!$A$30:$F$60,3,0),0)</f>
        <v>0</v>
      </c>
      <c r="AJ37" s="389">
        <f>IFERROR(VLOOKUP($AG37,HomeBroker!$A$30:$F$60,6,0),0)</f>
        <v>0</v>
      </c>
      <c r="AK37" s="332">
        <f>IFERROR(VLOOKUP($AG37,HomeBroker!$A$30:$F$60,4,0),0)</f>
        <v>0</v>
      </c>
      <c r="AL37" s="310">
        <f>IFERROR(VLOOKUP($AG37,HomeBroker!$A$30:$F$60,5,0),0)</f>
        <v>0</v>
      </c>
      <c r="AM37" s="334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3104.9671167795213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3104.9671167795213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28" t="s">
        <v>400</v>
      </c>
      <c r="B38" s="141"/>
      <c r="C38" s="197"/>
      <c r="D38" s="198"/>
      <c r="E38" s="346">
        <f t="shared" si="0"/>
        <v>0</v>
      </c>
      <c r="F38" s="347">
        <f t="shared" si="76"/>
        <v>0</v>
      </c>
      <c r="G38" s="199" t="str">
        <f>IFERROR(VLOOKUP(C38,$AD$3:$AM$50,7,0),"")</f>
        <v/>
      </c>
      <c r="H38" s="356">
        <f t="shared" si="58"/>
        <v>0</v>
      </c>
      <c r="I38" s="464">
        <f t="shared" si="3"/>
        <v>0</v>
      </c>
      <c r="J38" s="59"/>
      <c r="K38" s="671" t="s">
        <v>443</v>
      </c>
      <c r="L38" s="667"/>
      <c r="M38" s="668"/>
      <c r="N38" s="142">
        <f>SUM(Q3:Q42)</f>
        <v>4</v>
      </c>
      <c r="O38" s="59"/>
      <c r="P38" s="195" t="str">
        <f t="shared" si="59"/>
        <v/>
      </c>
      <c r="Q38" s="309">
        <f t="shared" si="69"/>
        <v>0</v>
      </c>
      <c r="R38" s="191"/>
      <c r="S38" s="329">
        <f t="shared" ca="1" si="60"/>
        <v>0</v>
      </c>
      <c r="T38" s="302" t="str">
        <f t="shared" si="73"/>
        <v/>
      </c>
      <c r="U38" s="302" t="str">
        <f t="shared" si="62"/>
        <v/>
      </c>
      <c r="V38" s="300">
        <f>IFERROR(VLOOKUP($U38,HomeBroker!$A$30:$F$60,2,0),0)</f>
        <v>0</v>
      </c>
      <c r="W38" s="332">
        <f>IFERROR(VLOOKUP($U38,HomeBroker!$A$30:$F$60,3,0),0)</f>
        <v>0</v>
      </c>
      <c r="X38" s="389">
        <f>IFERROR(VLOOKUP($U38,HomeBroker!$A$30:$F$60,6,0),0)</f>
        <v>0</v>
      </c>
      <c r="Y38" s="331">
        <f>IFERROR(VLOOKUP($U38,HomeBroker!$A$30:$F$60,4,0),0)</f>
        <v>0</v>
      </c>
      <c r="Z38" s="300">
        <f>IFERROR(VLOOKUP($U38,HomeBroker!$A$30:$F$60,5,0),0)</f>
        <v>0</v>
      </c>
      <c r="AA38" s="303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301">
        <f t="shared" ca="1" si="64"/>
        <v>0</v>
      </c>
      <c r="AF38" s="302" t="str">
        <f t="shared" si="74"/>
        <v/>
      </c>
      <c r="AG38" s="302" t="str">
        <f t="shared" si="75"/>
        <v/>
      </c>
      <c r="AH38" s="310">
        <f>IFERROR(VLOOKUP($AG38,HomeBroker!$A$30:$F$60,2,0),0)</f>
        <v>0</v>
      </c>
      <c r="AI38" s="332">
        <f>IFERROR(VLOOKUP($AG38,HomeBroker!$A$30:$F$60,3,0),0)</f>
        <v>0</v>
      </c>
      <c r="AJ38" s="389">
        <f>IFERROR(VLOOKUP($AG38,HomeBroker!$A$30:$F$60,6,0),0)</f>
        <v>0</v>
      </c>
      <c r="AK38" s="332">
        <f>IFERROR(VLOOKUP($AG38,HomeBroker!$A$30:$F$60,4,0),0)</f>
        <v>0</v>
      </c>
      <c r="AL38" s="310">
        <f>IFERROR(VLOOKUP($AG38,HomeBroker!$A$30:$F$60,5,0),0)</f>
        <v>0</v>
      </c>
      <c r="AM38" s="334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3168.3337926321647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3168.3337926321647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28" t="s">
        <v>400</v>
      </c>
      <c r="B39" s="141"/>
      <c r="C39" s="197"/>
      <c r="D39" s="198"/>
      <c r="E39" s="346">
        <f t="shared" si="0"/>
        <v>0</v>
      </c>
      <c r="F39" s="347">
        <f t="shared" si="76"/>
        <v>0</v>
      </c>
      <c r="G39" s="199" t="str">
        <f>IFERROR(VLOOKUP(C39,$AD$3:$AM$50,7,0),"")</f>
        <v/>
      </c>
      <c r="H39" s="356">
        <f t="shared" si="58"/>
        <v>0</v>
      </c>
      <c r="I39" s="464">
        <f t="shared" si="3"/>
        <v>0</v>
      </c>
      <c r="J39" s="59"/>
      <c r="K39" s="672" t="s">
        <v>444</v>
      </c>
      <c r="L39" s="667"/>
      <c r="M39" s="668"/>
      <c r="N39" s="147">
        <f>SUM(AC3:AC42)</f>
        <v>0</v>
      </c>
      <c r="O39" s="59"/>
      <c r="P39" s="195" t="str">
        <f t="shared" si="59"/>
        <v/>
      </c>
      <c r="Q39" s="309">
        <f t="shared" si="69"/>
        <v>0</v>
      </c>
      <c r="R39" s="191"/>
      <c r="S39" s="329">
        <f t="shared" ca="1" si="60"/>
        <v>0</v>
      </c>
      <c r="T39" s="302" t="str">
        <f t="shared" si="73"/>
        <v/>
      </c>
      <c r="U39" s="302" t="str">
        <f t="shared" si="62"/>
        <v/>
      </c>
      <c r="V39" s="300">
        <f>IFERROR(VLOOKUP($U39,HomeBroker!$A$30:$F$60,2,0),0)</f>
        <v>0</v>
      </c>
      <c r="W39" s="332">
        <f>IFERROR(VLOOKUP($U39,HomeBroker!$A$30:$F$60,3,0),0)</f>
        <v>0</v>
      </c>
      <c r="X39" s="389">
        <f>IFERROR(VLOOKUP($U39,HomeBroker!$A$30:$F$60,6,0),0)</f>
        <v>0</v>
      </c>
      <c r="Y39" s="331">
        <f>IFERROR(VLOOKUP($U39,HomeBroker!$A$30:$F$60,4,0),0)</f>
        <v>0</v>
      </c>
      <c r="Z39" s="300">
        <f>IFERROR(VLOOKUP($U39,HomeBroker!$A$30:$F$60,5,0),0)</f>
        <v>0</v>
      </c>
      <c r="AA39" s="303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301">
        <f t="shared" ca="1" si="64"/>
        <v>0</v>
      </c>
      <c r="AF39" s="302" t="str">
        <f t="shared" si="74"/>
        <v/>
      </c>
      <c r="AG39" s="302" t="str">
        <f t="shared" si="75"/>
        <v/>
      </c>
      <c r="AH39" s="310">
        <f>IFERROR(VLOOKUP($AG39,HomeBroker!$A$30:$F$60,2,0),0)</f>
        <v>0</v>
      </c>
      <c r="AI39" s="332">
        <f>IFERROR(VLOOKUP($AG39,HomeBroker!$A$30:$F$60,3,0),0)</f>
        <v>0</v>
      </c>
      <c r="AJ39" s="389">
        <f>IFERROR(VLOOKUP($AG39,HomeBroker!$A$30:$F$60,6,0),0)</f>
        <v>0</v>
      </c>
      <c r="AK39" s="332">
        <f>IFERROR(VLOOKUP($AG39,HomeBroker!$A$30:$F$60,4,0),0)</f>
        <v>0</v>
      </c>
      <c r="AL39" s="310">
        <f>IFERROR(VLOOKUP($AG39,HomeBroker!$A$30:$F$60,5,0),0)</f>
        <v>0</v>
      </c>
      <c r="AM39" s="334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3232.9936659511886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3232.9936659511886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28" t="s">
        <v>400</v>
      </c>
      <c r="B40" s="141"/>
      <c r="C40" s="197"/>
      <c r="D40" s="198"/>
      <c r="E40" s="346">
        <f t="shared" si="0"/>
        <v>0</v>
      </c>
      <c r="F40" s="347">
        <f t="shared" si="76"/>
        <v>0</v>
      </c>
      <c r="G40" s="199" t="str">
        <f t="shared" ref="G40:G72" si="124">IFERROR(VLOOKUP(C40,$AD$3:$AM$42,7,0),"")</f>
        <v/>
      </c>
      <c r="H40" s="356">
        <f t="shared" si="58"/>
        <v>0</v>
      </c>
      <c r="I40" s="464">
        <f t="shared" si="3"/>
        <v>0</v>
      </c>
      <c r="J40" s="59"/>
      <c r="K40" s="666" t="s">
        <v>0</v>
      </c>
      <c r="L40" s="667"/>
      <c r="M40" s="668"/>
      <c r="N40" s="148">
        <f>AB43+SUM(B73:B75)</f>
        <v>0</v>
      </c>
      <c r="O40" s="59"/>
      <c r="P40" s="195" t="str">
        <f t="shared" si="59"/>
        <v/>
      </c>
      <c r="Q40" s="309">
        <f t="shared" si="69"/>
        <v>0</v>
      </c>
      <c r="R40" s="191"/>
      <c r="S40" s="329">
        <f t="shared" ca="1" si="60"/>
        <v>0</v>
      </c>
      <c r="T40" s="302" t="str">
        <f t="shared" si="73"/>
        <v/>
      </c>
      <c r="U40" s="302" t="str">
        <f t="shared" si="62"/>
        <v/>
      </c>
      <c r="V40" s="300">
        <f>IFERROR(VLOOKUP($U40,HomeBroker!$A$30:$F$60,2,0),0)</f>
        <v>0</v>
      </c>
      <c r="W40" s="332">
        <f>IFERROR(VLOOKUP($U40,HomeBroker!$A$30:$F$60,3,0),0)</f>
        <v>0</v>
      </c>
      <c r="X40" s="389">
        <f>IFERROR(VLOOKUP($U40,HomeBroker!$A$30:$F$60,6,0),0)</f>
        <v>0</v>
      </c>
      <c r="Y40" s="331">
        <f>IFERROR(VLOOKUP($U40,HomeBroker!$A$30:$F$60,4,0),0)</f>
        <v>0</v>
      </c>
      <c r="Z40" s="300">
        <f>IFERROR(VLOOKUP($U40,HomeBroker!$A$30:$F$60,5,0),0)</f>
        <v>0</v>
      </c>
      <c r="AA40" s="303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301">
        <f t="shared" ca="1" si="64"/>
        <v>0</v>
      </c>
      <c r="AF40" s="302" t="str">
        <f t="shared" si="74"/>
        <v/>
      </c>
      <c r="AG40" s="302" t="str">
        <f t="shared" si="75"/>
        <v/>
      </c>
      <c r="AH40" s="310">
        <f>IFERROR(VLOOKUP($AG40,HomeBroker!$A$30:$F$60,2,0),0)</f>
        <v>0</v>
      </c>
      <c r="AI40" s="332">
        <f>IFERROR(VLOOKUP($AG40,HomeBroker!$A$30:$F$60,3,0),0)</f>
        <v>0</v>
      </c>
      <c r="AJ40" s="389">
        <f>IFERROR(VLOOKUP($AG40,HomeBroker!$A$30:$F$60,6,0),0)</f>
        <v>0</v>
      </c>
      <c r="AK40" s="332">
        <f>IFERROR(VLOOKUP($AG40,HomeBroker!$A$30:$F$60,4,0),0)</f>
        <v>0</v>
      </c>
      <c r="AL40" s="310">
        <f>IFERROR(VLOOKUP($AG40,HomeBroker!$A$30:$F$60,5,0),0)</f>
        <v>0</v>
      </c>
      <c r="AM40" s="334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3298.9731285216212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3298.9731285216212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28" t="s">
        <v>400</v>
      </c>
      <c r="B41" s="141"/>
      <c r="C41" s="197"/>
      <c r="D41" s="198"/>
      <c r="E41" s="346">
        <f t="shared" si="0"/>
        <v>0</v>
      </c>
      <c r="F41" s="347">
        <f t="shared" si="76"/>
        <v>0</v>
      </c>
      <c r="G41" s="199" t="str">
        <f t="shared" si="124"/>
        <v/>
      </c>
      <c r="H41" s="356">
        <f t="shared" si="58"/>
        <v>0</v>
      </c>
      <c r="I41" s="46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309">
        <f t="shared" si="69"/>
        <v>0</v>
      </c>
      <c r="R41" s="191"/>
      <c r="S41" s="329">
        <f t="shared" ca="1" si="60"/>
        <v>0</v>
      </c>
      <c r="T41" s="302" t="str">
        <f t="shared" si="73"/>
        <v/>
      </c>
      <c r="U41" s="302" t="str">
        <f t="shared" si="62"/>
        <v/>
      </c>
      <c r="V41" s="300">
        <f>IFERROR(VLOOKUP($U41,HomeBroker!$A$30:$F$60,2,0),0)</f>
        <v>0</v>
      </c>
      <c r="W41" s="332">
        <f>IFERROR(VLOOKUP($U41,HomeBroker!$A$30:$F$60,3,0),0)</f>
        <v>0</v>
      </c>
      <c r="X41" s="389">
        <f>IFERROR(VLOOKUP($U41,HomeBroker!$A$30:$F$60,6,0),0)</f>
        <v>0</v>
      </c>
      <c r="Y41" s="331">
        <f>IFERROR(VLOOKUP($U41,HomeBroker!$A$30:$F$60,4,0),0)</f>
        <v>0</v>
      </c>
      <c r="Z41" s="300">
        <f>IFERROR(VLOOKUP($U41,HomeBroker!$A$30:$F$60,5,0),0)</f>
        <v>0</v>
      </c>
      <c r="AA41" s="303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301">
        <f t="shared" ca="1" si="64"/>
        <v>0</v>
      </c>
      <c r="AF41" s="302" t="str">
        <f t="shared" si="74"/>
        <v/>
      </c>
      <c r="AG41" s="302" t="str">
        <f t="shared" si="75"/>
        <v/>
      </c>
      <c r="AH41" s="310">
        <f>IFERROR(VLOOKUP($AG41,HomeBroker!$A$30:$F$60,2,0),0)</f>
        <v>0</v>
      </c>
      <c r="AI41" s="332">
        <f>IFERROR(VLOOKUP($AG41,HomeBroker!$A$30:$F$60,3,0),0)</f>
        <v>0</v>
      </c>
      <c r="AJ41" s="389">
        <f>IFERROR(VLOOKUP($AG41,HomeBroker!$A$30:$F$60,6,0),0)</f>
        <v>0</v>
      </c>
      <c r="AK41" s="332">
        <f>IFERROR(VLOOKUP($AG41,HomeBroker!$A$30:$F$60,4,0),0)</f>
        <v>0</v>
      </c>
      <c r="AL41" s="310">
        <f>IFERROR(VLOOKUP($AG41,HomeBroker!$A$30:$F$60,5,0),0)</f>
        <v>0</v>
      </c>
      <c r="AM41" s="334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3366.2991107363482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3366.2991107363482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28" t="s">
        <v>400</v>
      </c>
      <c r="B42" s="141"/>
      <c r="C42" s="197"/>
      <c r="D42" s="198"/>
      <c r="E42" s="346">
        <f t="shared" si="0"/>
        <v>0</v>
      </c>
      <c r="F42" s="347">
        <f t="shared" si="76"/>
        <v>0</v>
      </c>
      <c r="G42" s="199" t="str">
        <f t="shared" si="124"/>
        <v/>
      </c>
      <c r="H42" s="356">
        <f t="shared" si="58"/>
        <v>0</v>
      </c>
      <c r="I42" s="464">
        <f t="shared" si="3"/>
        <v>0</v>
      </c>
      <c r="J42" s="59"/>
      <c r="K42" s="669" t="s">
        <v>445</v>
      </c>
      <c r="L42" s="667"/>
      <c r="M42" s="668"/>
      <c r="N42" s="150">
        <v>0.02</v>
      </c>
      <c r="O42" s="59"/>
      <c r="P42" s="195" t="str">
        <f t="shared" si="59"/>
        <v/>
      </c>
      <c r="Q42" s="309">
        <f t="shared" si="69"/>
        <v>0</v>
      </c>
      <c r="R42" s="191"/>
      <c r="S42" s="329">
        <f t="shared" ca="1" si="60"/>
        <v>0</v>
      </c>
      <c r="T42" s="302" t="str">
        <f t="shared" si="73"/>
        <v/>
      </c>
      <c r="U42" s="302" t="str">
        <f t="shared" si="62"/>
        <v/>
      </c>
      <c r="V42" s="300">
        <f>IFERROR(VLOOKUP($U42,HomeBroker!$A$30:$F$60,2,0),0)</f>
        <v>0</v>
      </c>
      <c r="W42" s="332">
        <f>IFERROR(VLOOKUP($U42,HomeBroker!$A$30:$F$60,3,0),0)</f>
        <v>0</v>
      </c>
      <c r="X42" s="389">
        <f>IFERROR(VLOOKUP($U42,HomeBroker!$A$30:$F$60,6,0),0)</f>
        <v>0</v>
      </c>
      <c r="Y42" s="331">
        <f>IFERROR(VLOOKUP($U42,HomeBroker!$A$30:$F$60,4,0),0)</f>
        <v>0</v>
      </c>
      <c r="Z42" s="300">
        <f>IFERROR(VLOOKUP($U42,HomeBroker!$A$30:$F$60,5,0),0)</f>
        <v>0</v>
      </c>
      <c r="AA42" s="303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301">
        <f t="shared" ca="1" si="64"/>
        <v>0</v>
      </c>
      <c r="AF42" s="302" t="str">
        <f t="shared" si="74"/>
        <v/>
      </c>
      <c r="AG42" s="302" t="str">
        <f t="shared" si="75"/>
        <v/>
      </c>
      <c r="AH42" s="310">
        <f>IFERROR(VLOOKUP($AG42,HomeBroker!$A$30:$F$60,2,0),0)</f>
        <v>0</v>
      </c>
      <c r="AI42" s="332">
        <f>IFERROR(VLOOKUP($AG42,HomeBroker!$A$30:$F$60,3,0),0)</f>
        <v>0</v>
      </c>
      <c r="AJ42" s="389">
        <f>IFERROR(VLOOKUP($AG42,HomeBroker!$A$30:$F$60,6,0),0)</f>
        <v>0</v>
      </c>
      <c r="AK42" s="332">
        <f>IFERROR(VLOOKUP($AG42,HomeBroker!$A$30:$F$60,4,0),0)</f>
        <v>0</v>
      </c>
      <c r="AL42" s="310">
        <f>IFERROR(VLOOKUP($AG42,HomeBroker!$A$30:$F$60,5,0),0)</f>
        <v>0</v>
      </c>
      <c r="AM42" s="334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3434.9990925881107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3434.9990925881107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28" t="s">
        <v>400</v>
      </c>
      <c r="B43" s="141"/>
      <c r="C43" s="197"/>
      <c r="D43" s="198"/>
      <c r="E43" s="346">
        <f t="shared" si="0"/>
        <v>0</v>
      </c>
      <c r="F43" s="347">
        <f t="shared" si="76"/>
        <v>0</v>
      </c>
      <c r="G43" s="199" t="str">
        <f t="shared" si="124"/>
        <v/>
      </c>
      <c r="H43" s="356">
        <f t="shared" si="58"/>
        <v>0</v>
      </c>
      <c r="I43" s="46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635</v>
      </c>
      <c r="O43" s="59"/>
      <c r="P43" s="673"/>
      <c r="Q43" s="674"/>
      <c r="R43" s="674"/>
      <c r="S43" s="674"/>
      <c r="T43" s="674"/>
      <c r="U43" s="674"/>
      <c r="V43" s="674"/>
      <c r="W43" s="674"/>
      <c r="X43" s="674"/>
      <c r="Y43" s="674"/>
      <c r="Z43" s="674"/>
      <c r="AA43" s="675"/>
      <c r="AB43" s="679"/>
      <c r="AC43" s="679"/>
      <c r="AD43" s="679"/>
      <c r="AE43" s="679"/>
      <c r="AF43" s="679"/>
      <c r="AG43" s="679"/>
      <c r="AH43" s="679"/>
      <c r="AI43" s="679"/>
      <c r="AJ43" s="679"/>
      <c r="AK43" s="679"/>
      <c r="AL43" s="679"/>
      <c r="AM43" s="680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3505.1011148858274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3505.1011148858274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28" t="s">
        <v>400</v>
      </c>
      <c r="B44" s="141"/>
      <c r="C44" s="197"/>
      <c r="D44" s="198"/>
      <c r="E44" s="346">
        <f t="shared" si="0"/>
        <v>0</v>
      </c>
      <c r="F44" s="347">
        <f t="shared" si="76"/>
        <v>0</v>
      </c>
      <c r="G44" s="199" t="str">
        <f t="shared" si="124"/>
        <v/>
      </c>
      <c r="H44" s="356">
        <f t="shared" si="58"/>
        <v>0</v>
      </c>
      <c r="I44" s="464">
        <f t="shared" si="3"/>
        <v>0</v>
      </c>
      <c r="J44" s="59"/>
      <c r="K44" s="683" t="s">
        <v>449</v>
      </c>
      <c r="L44" s="667"/>
      <c r="M44" s="668"/>
      <c r="N44" s="154"/>
      <c r="O44" s="59"/>
      <c r="P44" s="676"/>
      <c r="Q44" s="677"/>
      <c r="R44" s="677"/>
      <c r="S44" s="677"/>
      <c r="T44" s="677"/>
      <c r="U44" s="677"/>
      <c r="V44" s="677"/>
      <c r="W44" s="677"/>
      <c r="X44" s="677"/>
      <c r="Y44" s="677"/>
      <c r="Z44" s="677"/>
      <c r="AA44" s="678"/>
      <c r="AB44" s="681"/>
      <c r="AC44" s="681"/>
      <c r="AD44" s="681"/>
      <c r="AE44" s="681"/>
      <c r="AF44" s="681"/>
      <c r="AG44" s="681"/>
      <c r="AH44" s="681"/>
      <c r="AI44" s="681"/>
      <c r="AJ44" s="681"/>
      <c r="AK44" s="681"/>
      <c r="AL44" s="681"/>
      <c r="AM44" s="682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3576.6337906998237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3576.6337906998237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28" t="s">
        <v>400</v>
      </c>
      <c r="B45" s="141"/>
      <c r="C45" s="197"/>
      <c r="D45" s="198"/>
      <c r="E45" s="346">
        <f t="shared" si="0"/>
        <v>0</v>
      </c>
      <c r="F45" s="347">
        <f t="shared" si="76"/>
        <v>0</v>
      </c>
      <c r="G45" s="199" t="str">
        <f t="shared" si="124"/>
        <v/>
      </c>
      <c r="H45" s="356">
        <f t="shared" si="58"/>
        <v>0</v>
      </c>
      <c r="I45" s="464">
        <f t="shared" si="3"/>
        <v>0</v>
      </c>
      <c r="J45" s="59"/>
      <c r="K45" s="684" t="s">
        <v>450</v>
      </c>
      <c r="L45" s="667"/>
      <c r="M45" s="668"/>
      <c r="N45" s="322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3649.6263170406364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3649.6263170406364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28" t="s">
        <v>400</v>
      </c>
      <c r="B46" s="141"/>
      <c r="C46" s="197"/>
      <c r="D46" s="198"/>
      <c r="E46" s="346">
        <f t="shared" si="0"/>
        <v>0</v>
      </c>
      <c r="F46" s="347">
        <f t="shared" si="76"/>
        <v>0</v>
      </c>
      <c r="G46" s="199" t="str">
        <f t="shared" si="124"/>
        <v/>
      </c>
      <c r="H46" s="356">
        <f t="shared" si="58"/>
        <v>0</v>
      </c>
      <c r="I46" s="464">
        <f t="shared" si="3"/>
        <v>0</v>
      </c>
      <c r="J46" s="59"/>
      <c r="K46" s="688" t="s">
        <v>451</v>
      </c>
      <c r="L46" s="667"/>
      <c r="M46" s="668"/>
      <c r="N46" s="45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3724.1084867761597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3724.1084867761597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28" t="s">
        <v>400</v>
      </c>
      <c r="B47" s="141"/>
      <c r="C47" s="197"/>
      <c r="D47" s="198"/>
      <c r="E47" s="346">
        <f t="shared" si="0"/>
        <v>0</v>
      </c>
      <c r="F47" s="347">
        <f t="shared" si="76"/>
        <v>0</v>
      </c>
      <c r="G47" s="199" t="str">
        <f t="shared" si="124"/>
        <v/>
      </c>
      <c r="H47" s="356">
        <f t="shared" si="58"/>
        <v>0</v>
      </c>
      <c r="I47" s="464">
        <f t="shared" si="3"/>
        <v>0</v>
      </c>
      <c r="J47" s="59"/>
      <c r="K47" s="692" t="s">
        <v>452</v>
      </c>
      <c r="L47" s="667"/>
      <c r="M47" s="668"/>
      <c r="N47" s="45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3800.1107007919995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3800.1107007919995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28" t="s">
        <v>400</v>
      </c>
      <c r="B48" s="141"/>
      <c r="C48" s="197"/>
      <c r="D48" s="198"/>
      <c r="E48" s="346">
        <f t="shared" si="0"/>
        <v>0</v>
      </c>
      <c r="F48" s="347">
        <f t="shared" si="76"/>
        <v>0</v>
      </c>
      <c r="G48" s="199" t="str">
        <f t="shared" si="124"/>
        <v/>
      </c>
      <c r="H48" s="356">
        <f t="shared" si="58"/>
        <v>0</v>
      </c>
      <c r="I48" s="464">
        <f t="shared" si="3"/>
        <v>0</v>
      </c>
      <c r="J48" s="59"/>
      <c r="K48" s="683" t="s">
        <v>453</v>
      </c>
      <c r="L48" s="667"/>
      <c r="M48" s="668"/>
      <c r="N48" s="455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3877.6639803999997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3877.6639803999997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28" t="s">
        <v>400</v>
      </c>
      <c r="B49" s="141"/>
      <c r="C49" s="197"/>
      <c r="D49" s="198"/>
      <c r="E49" s="346">
        <f t="shared" si="0"/>
        <v>0</v>
      </c>
      <c r="F49" s="347">
        <f t="shared" si="76"/>
        <v>0</v>
      </c>
      <c r="G49" s="199" t="str">
        <f t="shared" si="124"/>
        <v/>
      </c>
      <c r="H49" s="356">
        <f t="shared" si="58"/>
        <v>0</v>
      </c>
      <c r="I49" s="464">
        <f t="shared" si="3"/>
        <v>0</v>
      </c>
      <c r="J49" s="59"/>
      <c r="K49" s="693" t="s">
        <v>454</v>
      </c>
      <c r="L49" s="667"/>
      <c r="M49" s="668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3956.7999799999998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3956.7999799999998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28" t="s">
        <v>400</v>
      </c>
      <c r="B50" s="141"/>
      <c r="C50" s="197"/>
      <c r="D50" s="198"/>
      <c r="E50" s="346">
        <f t="shared" si="0"/>
        <v>0</v>
      </c>
      <c r="F50" s="347">
        <f t="shared" si="76"/>
        <v>0</v>
      </c>
      <c r="G50" s="199" t="str">
        <f t="shared" si="124"/>
        <v/>
      </c>
      <c r="H50" s="356">
        <f t="shared" si="58"/>
        <v>0</v>
      </c>
      <c r="I50" s="464">
        <f t="shared" si="3"/>
        <v>0</v>
      </c>
      <c r="J50" s="59"/>
      <c r="K50" s="693" t="s">
        <v>455</v>
      </c>
      <c r="L50" s="667"/>
      <c r="M50" s="668"/>
      <c r="N50" s="160">
        <f ca="1">N49-TODAY()-N44</f>
        <v>27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4037.5509999999999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4037.5509999999999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28" t="s">
        <v>400</v>
      </c>
      <c r="B51" s="141"/>
      <c r="C51" s="197"/>
      <c r="D51" s="198"/>
      <c r="E51" s="346">
        <f t="shared" si="0"/>
        <v>0</v>
      </c>
      <c r="F51" s="347">
        <f t="shared" si="76"/>
        <v>0</v>
      </c>
      <c r="G51" s="199" t="str">
        <f t="shared" si="124"/>
        <v/>
      </c>
      <c r="H51" s="356">
        <f t="shared" si="58"/>
        <v>0</v>
      </c>
      <c r="I51" s="464">
        <f t="shared" si="3"/>
        <v>0</v>
      </c>
      <c r="J51" s="59"/>
      <c r="K51" s="693" t="s">
        <v>456</v>
      </c>
      <c r="L51" s="667"/>
      <c r="M51" s="668"/>
      <c r="N51" s="161">
        <f ca="1">N50/365</f>
        <v>7.3972602739726029E-2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4119.95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4119.95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28" t="s">
        <v>400</v>
      </c>
      <c r="B52" s="141"/>
      <c r="C52" s="197"/>
      <c r="D52" s="198"/>
      <c r="E52" s="346">
        <f t="shared" si="0"/>
        <v>0</v>
      </c>
      <c r="F52" s="347">
        <f t="shared" si="76"/>
        <v>0</v>
      </c>
      <c r="G52" s="199" t="str">
        <f t="shared" si="124"/>
        <v/>
      </c>
      <c r="H52" s="356">
        <f t="shared" si="58"/>
        <v>0</v>
      </c>
      <c r="I52" s="464">
        <f t="shared" si="3"/>
        <v>0</v>
      </c>
      <c r="J52" s="59"/>
      <c r="K52" s="669" t="s">
        <v>0</v>
      </c>
      <c r="L52" s="667"/>
      <c r="M52" s="668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4202.3490000000002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4202.3490000000002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28" t="s">
        <v>400</v>
      </c>
      <c r="B53" s="141"/>
      <c r="C53" s="197"/>
      <c r="D53" s="198"/>
      <c r="E53" s="346">
        <f t="shared" si="0"/>
        <v>0</v>
      </c>
      <c r="F53" s="347">
        <f t="shared" si="76"/>
        <v>0</v>
      </c>
      <c r="G53" s="199" t="str">
        <f t="shared" si="124"/>
        <v/>
      </c>
      <c r="H53" s="356">
        <f t="shared" si="58"/>
        <v>0</v>
      </c>
      <c r="I53" s="464">
        <f t="shared" si="3"/>
        <v>0</v>
      </c>
      <c r="J53" s="59"/>
      <c r="K53" s="685" t="s">
        <v>1</v>
      </c>
      <c r="L53" s="686"/>
      <c r="M53" s="687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4286.3959800000002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4286.3959800000002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28" t="s">
        <v>400</v>
      </c>
      <c r="B54" s="141"/>
      <c r="C54" s="197"/>
      <c r="D54" s="198"/>
      <c r="E54" s="346">
        <f t="shared" si="0"/>
        <v>0</v>
      </c>
      <c r="F54" s="347">
        <f t="shared" si="76"/>
        <v>0</v>
      </c>
      <c r="G54" s="199" t="str">
        <f t="shared" si="124"/>
        <v/>
      </c>
      <c r="H54" s="356">
        <f t="shared" si="58"/>
        <v>0</v>
      </c>
      <c r="I54" s="46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4372.1238996000002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4372.1238996000002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28" t="s">
        <v>400</v>
      </c>
      <c r="B55" s="141"/>
      <c r="C55" s="197"/>
      <c r="D55" s="198"/>
      <c r="E55" s="346">
        <f t="shared" si="0"/>
        <v>0</v>
      </c>
      <c r="F55" s="347">
        <f t="shared" si="76"/>
        <v>0</v>
      </c>
      <c r="G55" s="199" t="str">
        <f t="shared" si="124"/>
        <v/>
      </c>
      <c r="H55" s="356">
        <f t="shared" si="58"/>
        <v>0</v>
      </c>
      <c r="I55" s="46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4459.5663775920002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4459.5663775920002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28" t="s">
        <v>400</v>
      </c>
      <c r="B56" s="141"/>
      <c r="C56" s="197"/>
      <c r="D56" s="198"/>
      <c r="E56" s="346">
        <f t="shared" si="0"/>
        <v>0</v>
      </c>
      <c r="F56" s="347">
        <f t="shared" si="76"/>
        <v>0</v>
      </c>
      <c r="G56" s="199" t="str">
        <f t="shared" si="124"/>
        <v/>
      </c>
      <c r="H56" s="356">
        <f t="shared" si="58"/>
        <v>0</v>
      </c>
      <c r="I56" s="46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4548.7577051438402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4548.7577051438402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28" t="s">
        <v>400</v>
      </c>
      <c r="B57" s="141"/>
      <c r="C57" s="197"/>
      <c r="D57" s="198"/>
      <c r="E57" s="346">
        <f t="shared" si="0"/>
        <v>0</v>
      </c>
      <c r="F57" s="347">
        <f t="shared" si="76"/>
        <v>0</v>
      </c>
      <c r="G57" s="199" t="str">
        <f t="shared" si="124"/>
        <v/>
      </c>
      <c r="H57" s="356">
        <f t="shared" si="58"/>
        <v>0</v>
      </c>
      <c r="I57" s="46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4639.7328592467175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4639.7328592467175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28" t="s">
        <v>400</v>
      </c>
      <c r="B58" s="141"/>
      <c r="C58" s="197"/>
      <c r="D58" s="198"/>
      <c r="E58" s="346">
        <f t="shared" si="0"/>
        <v>0</v>
      </c>
      <c r="F58" s="347">
        <f t="shared" si="76"/>
        <v>0</v>
      </c>
      <c r="G58" s="199" t="str">
        <f t="shared" si="124"/>
        <v/>
      </c>
      <c r="H58" s="356">
        <f t="shared" si="58"/>
        <v>0</v>
      </c>
      <c r="I58" s="46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4732.5275164316517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4732.5275164316517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28" t="s">
        <v>400</v>
      </c>
      <c r="B59" s="141"/>
      <c r="C59" s="197"/>
      <c r="D59" s="198"/>
      <c r="E59" s="346">
        <f t="shared" si="0"/>
        <v>0</v>
      </c>
      <c r="F59" s="347">
        <f t="shared" si="76"/>
        <v>0</v>
      </c>
      <c r="G59" s="199" t="str">
        <f t="shared" si="124"/>
        <v/>
      </c>
      <c r="H59" s="356">
        <f t="shared" si="58"/>
        <v>0</v>
      </c>
      <c r="I59" s="46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4827.1780667602852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4827.1780667602852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28" t="s">
        <v>400</v>
      </c>
      <c r="B60" s="141"/>
      <c r="C60" s="197"/>
      <c r="D60" s="198"/>
      <c r="E60" s="346">
        <f t="shared" si="0"/>
        <v>0</v>
      </c>
      <c r="F60" s="347">
        <f t="shared" si="76"/>
        <v>0</v>
      </c>
      <c r="G60" s="199" t="str">
        <f t="shared" si="124"/>
        <v/>
      </c>
      <c r="H60" s="356">
        <f t="shared" si="58"/>
        <v>0</v>
      </c>
      <c r="I60" s="46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4923.7216280954908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4923.7216280954908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28" t="s">
        <v>400</v>
      </c>
      <c r="B61" s="141"/>
      <c r="C61" s="197"/>
      <c r="D61" s="198"/>
      <c r="E61" s="346">
        <f t="shared" si="0"/>
        <v>0</v>
      </c>
      <c r="F61" s="347">
        <f t="shared" si="76"/>
        <v>0</v>
      </c>
      <c r="G61" s="199" t="str">
        <f t="shared" si="124"/>
        <v/>
      </c>
      <c r="H61" s="356">
        <f t="shared" si="58"/>
        <v>0</v>
      </c>
      <c r="I61" s="46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5022.1960606574003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5022.1960606574003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28" t="s">
        <v>400</v>
      </c>
      <c r="B62" s="141"/>
      <c r="C62" s="197"/>
      <c r="D62" s="198"/>
      <c r="E62" s="346">
        <f t="shared" si="0"/>
        <v>0</v>
      </c>
      <c r="F62" s="347">
        <f t="shared" si="76"/>
        <v>0</v>
      </c>
      <c r="G62" s="199" t="str">
        <f t="shared" si="124"/>
        <v/>
      </c>
      <c r="H62" s="356">
        <f t="shared" si="58"/>
        <v>0</v>
      </c>
      <c r="I62" s="46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5122.6399818705486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5122.6399818705486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28" t="s">
        <v>400</v>
      </c>
      <c r="B63" s="141"/>
      <c r="C63" s="197"/>
      <c r="D63" s="198"/>
      <c r="E63" s="346">
        <f t="shared" si="0"/>
        <v>0</v>
      </c>
      <c r="F63" s="347">
        <f t="shared" si="76"/>
        <v>0</v>
      </c>
      <c r="G63" s="199" t="str">
        <f t="shared" si="124"/>
        <v/>
      </c>
      <c r="H63" s="356">
        <f t="shared" si="58"/>
        <v>0</v>
      </c>
      <c r="I63" s="46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5225.0927815079594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5225.0927815079594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28" t="s">
        <v>400</v>
      </c>
      <c r="B64" s="141"/>
      <c r="C64" s="197"/>
      <c r="D64" s="198"/>
      <c r="E64" s="346">
        <f t="shared" si="0"/>
        <v>0</v>
      </c>
      <c r="F64" s="347">
        <f t="shared" si="76"/>
        <v>0</v>
      </c>
      <c r="G64" s="199" t="str">
        <f t="shared" si="124"/>
        <v/>
      </c>
      <c r="H64" s="356">
        <f t="shared" si="58"/>
        <v>0</v>
      </c>
      <c r="I64" s="46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5329.5946371381187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5329.5946371381187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28" t="s">
        <v>400</v>
      </c>
      <c r="B65" s="141"/>
      <c r="C65" s="197"/>
      <c r="D65" s="198"/>
      <c r="E65" s="346">
        <f t="shared" si="0"/>
        <v>0</v>
      </c>
      <c r="F65" s="347">
        <f t="shared" si="76"/>
        <v>0</v>
      </c>
      <c r="G65" s="199" t="str">
        <f t="shared" si="124"/>
        <v/>
      </c>
      <c r="H65" s="356">
        <f t="shared" si="58"/>
        <v>0</v>
      </c>
      <c r="I65" s="46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5436.1865298808816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5436.1865298808816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28" t="s">
        <v>400</v>
      </c>
      <c r="B66" s="141"/>
      <c r="C66" s="197"/>
      <c r="D66" s="198"/>
      <c r="E66" s="346">
        <f t="shared" si="0"/>
        <v>0</v>
      </c>
      <c r="F66" s="347">
        <f t="shared" si="76"/>
        <v>0</v>
      </c>
      <c r="G66" s="199" t="str">
        <f t="shared" si="124"/>
        <v/>
      </c>
      <c r="H66" s="356">
        <f t="shared" si="58"/>
        <v>0</v>
      </c>
      <c r="I66" s="46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5544.9102604784994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5544.9102604784994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28" t="s">
        <v>400</v>
      </c>
      <c r="B67" s="141"/>
      <c r="C67" s="197"/>
      <c r="D67" s="198"/>
      <c r="E67" s="346">
        <f t="shared" si="0"/>
        <v>0</v>
      </c>
      <c r="F67" s="347">
        <f t="shared" ref="F67:F72" si="125">IF(B67&gt;0,+B67*D67*(1+($N$53+0.002)*1.21)*-100,B67*D67*(1-($N$53+0.002)*1.21)*-100)</f>
        <v>0</v>
      </c>
      <c r="G67" s="199" t="str">
        <f t="shared" si="124"/>
        <v/>
      </c>
      <c r="H67" s="356">
        <f t="shared" si="58"/>
        <v>0</v>
      </c>
      <c r="I67" s="46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5655.8084656880692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5655.8084656880692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28" t="s">
        <v>400</v>
      </c>
      <c r="B68" s="141"/>
      <c r="C68" s="197"/>
      <c r="D68" s="198"/>
      <c r="E68" s="346">
        <f t="shared" si="0"/>
        <v>0</v>
      </c>
      <c r="F68" s="347">
        <f t="shared" si="125"/>
        <v>0</v>
      </c>
      <c r="G68" s="199" t="str">
        <f t="shared" si="124"/>
        <v/>
      </c>
      <c r="H68" s="356">
        <f>IFERROR(+G68*B68*-100,0)</f>
        <v>0</v>
      </c>
      <c r="I68" s="46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28" t="s">
        <v>400</v>
      </c>
      <c r="B69" s="141"/>
      <c r="C69" s="197"/>
      <c r="D69" s="198"/>
      <c r="E69" s="346">
        <f t="shared" si="0"/>
        <v>0</v>
      </c>
      <c r="F69" s="347">
        <f t="shared" si="125"/>
        <v>0</v>
      </c>
      <c r="G69" s="199" t="str">
        <f t="shared" si="124"/>
        <v/>
      </c>
      <c r="H69" s="356">
        <f>IFERROR(+G69*B69*-100,0)</f>
        <v>0</v>
      </c>
      <c r="I69" s="46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28" t="s">
        <v>400</v>
      </c>
      <c r="B70" s="141"/>
      <c r="C70" s="197"/>
      <c r="D70" s="198"/>
      <c r="E70" s="346">
        <f t="shared" si="0"/>
        <v>0</v>
      </c>
      <c r="F70" s="347">
        <f t="shared" si="125"/>
        <v>0</v>
      </c>
      <c r="G70" s="199" t="str">
        <f t="shared" si="124"/>
        <v/>
      </c>
      <c r="H70" s="356">
        <f>IFERROR(+G70*B70*-100,0)</f>
        <v>0</v>
      </c>
      <c r="I70" s="46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3042.867774443931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3042.867774443931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28" t="s">
        <v>400</v>
      </c>
      <c r="B71" s="141"/>
      <c r="C71" s="197"/>
      <c r="D71" s="198"/>
      <c r="E71" s="346">
        <f t="shared" si="0"/>
        <v>0</v>
      </c>
      <c r="F71" s="347">
        <f t="shared" si="125"/>
        <v>0</v>
      </c>
      <c r="G71" s="199" t="str">
        <f t="shared" si="124"/>
        <v/>
      </c>
      <c r="H71" s="356">
        <f>IFERROR(+G71*B71*-100,0)</f>
        <v>0</v>
      </c>
      <c r="I71" s="46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3104.9671167795213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3104.9671167795213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28" t="s">
        <v>400</v>
      </c>
      <c r="B72" s="175"/>
      <c r="C72" s="204"/>
      <c r="D72" s="205"/>
      <c r="E72" s="348">
        <f t="shared" si="0"/>
        <v>0</v>
      </c>
      <c r="F72" s="349">
        <f t="shared" si="125"/>
        <v>0</v>
      </c>
      <c r="G72" s="203" t="str">
        <f t="shared" si="124"/>
        <v/>
      </c>
      <c r="H72" s="357">
        <f>IFERROR(+G72*B72*-100,0)</f>
        <v>0</v>
      </c>
      <c r="I72" s="46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3168.3337926321647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3168.3337926321647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689" t="s">
        <v>402</v>
      </c>
      <c r="B73" s="176"/>
      <c r="C73" s="177"/>
      <c r="D73" s="178"/>
      <c r="E73" s="350">
        <f>-C73*B73</f>
        <v>0</v>
      </c>
      <c r="F73" s="351">
        <f>IF(B73&gt;0,-C73*(1+($N$52+0.0008)*1.21)*B73,-C73*(1-($N$52+0.0008)*1.21)*B73)</f>
        <v>0</v>
      </c>
      <c r="G73" s="207">
        <f>B76</f>
        <v>4119.95</v>
      </c>
      <c r="H73" s="358">
        <f>-G73*B73</f>
        <v>0</v>
      </c>
      <c r="I73" s="46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3232.9936659511886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3232.9936659511886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690"/>
      <c r="B74" s="141"/>
      <c r="C74" s="122"/>
      <c r="D74" s="179"/>
      <c r="E74" s="352">
        <f>-C74*B74</f>
        <v>0</v>
      </c>
      <c r="F74" s="353">
        <f>IF(B74&gt;0,-C74*(1+($N$52+0.0008)*1.21)*B74,-C74*(1-($N$52+0.0008)*1.21)*B74)</f>
        <v>0</v>
      </c>
      <c r="G74" s="207">
        <f>G73</f>
        <v>4119.95</v>
      </c>
      <c r="H74" s="358">
        <f>-G74*B74</f>
        <v>0</v>
      </c>
      <c r="I74" s="46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3298.9731285216212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3298.9731285216212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691"/>
      <c r="B75" s="175"/>
      <c r="C75" s="180"/>
      <c r="D75" s="181"/>
      <c r="E75" s="354">
        <f>-C75*B75</f>
        <v>0</v>
      </c>
      <c r="F75" s="355">
        <f>IF(B75&gt;0,-C75*(1+($N$52+0.0008)*1.21)*B75,-C75*(1-($N$52+0.0008)*1.21)*B75)</f>
        <v>0</v>
      </c>
      <c r="G75" s="208">
        <f>G74</f>
        <v>4119.95</v>
      </c>
      <c r="H75" s="359">
        <f>-G75*B75</f>
        <v>0</v>
      </c>
      <c r="I75" s="46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3366.2991107363482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3366.2991107363482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25">
        <f>IFERROR(VLOOKUP("GGAL - 48hs",HomeBroker!$A$18:$F$104,6,0),0)</f>
        <v>4119.95</v>
      </c>
      <c r="C76" s="183"/>
      <c r="D76" s="184" t="s">
        <v>458</v>
      </c>
      <c r="E76" s="323">
        <f>SUM(E3:E75)</f>
        <v>-11200</v>
      </c>
      <c r="F76" s="324">
        <f>SUM(F3:F75)</f>
        <v>-11228.459199999999</v>
      </c>
      <c r="G76" s="185"/>
      <c r="H76" s="186"/>
      <c r="I76" s="463">
        <f>SUM(I3:I75)</f>
        <v>84771.540800000002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3434.9990925881107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3434.9990925881107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3505.1011148858274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3505.1011148858274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3576.6337906998237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3576.6337906998237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3649.6263170406364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3649.6263170406364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3724.1084867761597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3724.1084867761597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3800.1107007919995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3800.1107007919995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3877.6639803999997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3877.6639803999997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3956.7999799999998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3956.7999799999998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4037.5509999999999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4037.5509999999999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4119.95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23659.999999999854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23659.999999999854</v>
      </c>
      <c r="EU85" s="69"/>
      <c r="EV85" s="114">
        <f t="shared" si="168"/>
        <v>4119.95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4202.3490000000002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56619.599999999991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56619.599999999991</v>
      </c>
      <c r="EU86" s="69"/>
      <c r="EV86" s="114">
        <f t="shared" si="168"/>
        <v>4202.3490000000002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4286.3959800000002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90238.392000000022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90238.392000000022</v>
      </c>
      <c r="EU87" s="69"/>
      <c r="EV87" s="114">
        <f t="shared" si="168"/>
        <v>4286.3959800000002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4372.1238996000002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124529.55984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124529.55984</v>
      </c>
      <c r="EU88" s="69"/>
      <c r="EV88" s="114">
        <f t="shared" si="168"/>
        <v>4372.1238996000002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4459.5663775920002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159506.55103680003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159506.55103680003</v>
      </c>
      <c r="EU89" s="69"/>
      <c r="EV89" s="114">
        <f t="shared" si="168"/>
        <v>4459.5663775920002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4548.7577051438402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195183.082057536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195183.082057536</v>
      </c>
      <c r="EU90" s="69"/>
      <c r="EV90" s="114">
        <f t="shared" si="168"/>
        <v>4548.7577051438402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4639.7328592467175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231573.14369868691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231573.14369868691</v>
      </c>
      <c r="EU91" s="69"/>
      <c r="EV91" s="114">
        <f t="shared" si="168"/>
        <v>4639.7328592467175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4732.5275164316517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268691.00657266064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268691.00657266064</v>
      </c>
      <c r="EU92" s="69"/>
      <c r="EV92" s="114">
        <f t="shared" si="168"/>
        <v>4732.5275164316517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4827.1780667602852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306551.226704114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306551.226704114</v>
      </c>
      <c r="EU93" s="69"/>
      <c r="EV93" s="114">
        <f t="shared" si="168"/>
        <v>4827.1780667602852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4923.7216280954908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345168.65123819624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345168.65123819624</v>
      </c>
      <c r="EU94" s="69"/>
      <c r="EV94" s="114">
        <f t="shared" si="168"/>
        <v>4923.7216280954908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5022.1960606574003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384558.42426296003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384558.42426296003</v>
      </c>
      <c r="EU95" s="69"/>
      <c r="EV95" s="114">
        <f t="shared" si="168"/>
        <v>5022.1960606574003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5122.6399818705486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424735.99274821935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424735.99274821935</v>
      </c>
      <c r="EU96" s="69"/>
      <c r="EV96" s="114">
        <f t="shared" si="168"/>
        <v>5122.6399818705486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5225.0927815079594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465717.11260318372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465717.11260318372</v>
      </c>
      <c r="EU97" s="69"/>
      <c r="EV97" s="114">
        <f t="shared" si="168"/>
        <v>5225.0927815079594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5329.5946371381187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507517.85485524742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507517.85485524742</v>
      </c>
      <c r="EU98" s="69"/>
      <c r="EV98" s="114">
        <f t="shared" si="168"/>
        <v>5329.5946371381187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5436.1865298808816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550154.61195235257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550154.61195235257</v>
      </c>
      <c r="EU99" s="69"/>
      <c r="EV99" s="114">
        <f t="shared" si="168"/>
        <v>5436.1865298808816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5544.9102604784994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593644.10419139965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593644.10419139965</v>
      </c>
      <c r="EU100" s="69"/>
      <c r="EV100" s="114">
        <f t="shared" si="168"/>
        <v>5544.9102604784994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5655.8084656880692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638003.38627522765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638003.38627522765</v>
      </c>
      <c r="EU101" s="69"/>
      <c r="EV101" s="114">
        <f t="shared" si="168"/>
        <v>5655.8084656880692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3042.867774443931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3042.867774443931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3104.9671167795213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3104.9671167795213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3168.3337926321647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3168.3337926321647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3232.9936659511886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3232.9936659511886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3298.9731285216212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3298.9731285216212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3366.2991107363482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3366.2991107363482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3434.9990925881107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3434.9990925881107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3505.1011148858274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3505.1011148858274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3576.6337906998237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3576.6337906998237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3649.6263170406364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3649.6263170406364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3724.1084867761597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3724.1084867761597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3800.1107007919995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3800.1107007919995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3877.6639803999997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3877.6639803999997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3956.7999799999998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3956.7999799999998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4037.5509999999999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4037.5509999999999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4119.95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4119.95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4202.3490000000002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4202.3490000000002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4286.3959800000002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4286.3959800000002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4372.1238996000002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4372.1238996000002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4459.5663775920002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4459.5663775920002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4548.7577051438402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4548.7577051438402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4639.7328592467175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4639.7328592467175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4732.5275164316517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4732.5275164316517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4827.1780667602852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4827.1780667602852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4923.7216280954908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4923.7216280954908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5022.1960606574003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5022.1960606574003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5122.6399818705486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5122.6399818705486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5225.0927815079594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5225.0927815079594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5329.5946371381187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5329.5946371381187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5436.1865298808816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5436.1865298808816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5544.9102604784994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5544.9102604784994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5655.8084656880692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5655.8084656880692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9" priority="465">
      <formula>AC3&gt;0</formula>
    </cfRule>
  </conditionalFormatting>
  <conditionalFormatting sqref="AD3 AD27:AD42">
    <cfRule type="expression" dxfId="488" priority="466">
      <formula>AC3&lt;0</formula>
    </cfRule>
  </conditionalFormatting>
  <conditionalFormatting sqref="M3:N34">
    <cfRule type="cellIs" dxfId="487" priority="467" operator="greaterThan">
      <formula>0</formula>
    </cfRule>
  </conditionalFormatting>
  <conditionalFormatting sqref="M3:N34">
    <cfRule type="cellIs" dxfId="486" priority="468" operator="lessThan">
      <formula>0</formula>
    </cfRule>
  </conditionalFormatting>
  <conditionalFormatting sqref="B73:B74 B17:B18 B20:B30 AC3:AC17">
    <cfRule type="cellIs" dxfId="485" priority="469" operator="greaterThan">
      <formula>0</formula>
    </cfRule>
  </conditionalFormatting>
  <conditionalFormatting sqref="B73:B74 B17:B18 B20:B30 AC3:AC17">
    <cfRule type="cellIs" dxfId="484" priority="470" operator="lessThan">
      <formula>0</formula>
    </cfRule>
  </conditionalFormatting>
  <conditionalFormatting sqref="BA61:BA76">
    <cfRule type="cellIs" dxfId="483" priority="471" operator="greaterThan">
      <formula>0</formula>
    </cfRule>
  </conditionalFormatting>
  <conditionalFormatting sqref="BA61:BA76">
    <cfRule type="cellIs" dxfId="482" priority="472" operator="lessThan">
      <formula>0</formula>
    </cfRule>
  </conditionalFormatting>
  <conditionalFormatting sqref="BA6:BA8">
    <cfRule type="cellIs" dxfId="481" priority="473" operator="greaterThan">
      <formula>0</formula>
    </cfRule>
  </conditionalFormatting>
  <conditionalFormatting sqref="BA6:BA8">
    <cfRule type="cellIs" dxfId="480" priority="474" operator="lessThan">
      <formula>0</formula>
    </cfRule>
  </conditionalFormatting>
  <conditionalFormatting sqref="B43 B17:B18 B41 B20:B30 Q3 AC3:AC42">
    <cfRule type="cellIs" dxfId="479" priority="475" operator="greaterThan">
      <formula>0</formula>
    </cfRule>
  </conditionalFormatting>
  <conditionalFormatting sqref="B43 B17:B18 B41 B20:B30 Q3 AC3:AC42">
    <cfRule type="cellIs" dxfId="478" priority="476" operator="lessThan">
      <formula>0</formula>
    </cfRule>
  </conditionalFormatting>
  <conditionalFormatting sqref="B30">
    <cfRule type="cellIs" dxfId="477" priority="477" operator="greaterThan">
      <formula>0</formula>
    </cfRule>
  </conditionalFormatting>
  <conditionalFormatting sqref="B30">
    <cfRule type="cellIs" dxfId="476" priority="478" operator="lessThan">
      <formula>0</formula>
    </cfRule>
  </conditionalFormatting>
  <conditionalFormatting sqref="B75">
    <cfRule type="cellIs" dxfId="475" priority="479" operator="greaterThan">
      <formula>0</formula>
    </cfRule>
  </conditionalFormatting>
  <conditionalFormatting sqref="B75">
    <cfRule type="cellIs" dxfId="474" priority="480" operator="lessThan">
      <formula>0</formula>
    </cfRule>
  </conditionalFormatting>
  <conditionalFormatting sqref="BA9">
    <cfRule type="cellIs" dxfId="473" priority="481" operator="greaterThan">
      <formula>0</formula>
    </cfRule>
  </conditionalFormatting>
  <conditionalFormatting sqref="BA9">
    <cfRule type="cellIs" dxfId="472" priority="482" operator="lessThan">
      <formula>0</formula>
    </cfRule>
  </conditionalFormatting>
  <conditionalFormatting sqref="AU14:AU16">
    <cfRule type="cellIs" dxfId="471" priority="483" operator="greaterThan">
      <formula>0</formula>
    </cfRule>
  </conditionalFormatting>
  <conditionalFormatting sqref="AU14:AU16">
    <cfRule type="cellIs" dxfId="470" priority="484" operator="lessThan">
      <formula>0</formula>
    </cfRule>
  </conditionalFormatting>
  <conditionalFormatting sqref="AU28">
    <cfRule type="cellIs" dxfId="469" priority="485" operator="greaterThan">
      <formula>0</formula>
    </cfRule>
  </conditionalFormatting>
  <conditionalFormatting sqref="AU28">
    <cfRule type="cellIs" dxfId="468" priority="486" operator="lessThan">
      <formula>0</formula>
    </cfRule>
  </conditionalFormatting>
  <conditionalFormatting sqref="BA27">
    <cfRule type="cellIs" dxfId="467" priority="487" operator="greaterThan">
      <formula>0</formula>
    </cfRule>
  </conditionalFormatting>
  <conditionalFormatting sqref="BA27">
    <cfRule type="cellIs" dxfId="466" priority="488" operator="lessThan">
      <formula>0</formula>
    </cfRule>
  </conditionalFormatting>
  <conditionalFormatting sqref="BA22">
    <cfRule type="cellIs" dxfId="465" priority="489" operator="greaterThan">
      <formula>0</formula>
    </cfRule>
  </conditionalFormatting>
  <conditionalFormatting sqref="BA22">
    <cfRule type="cellIs" dxfId="464" priority="490" operator="lessThan">
      <formula>0</formula>
    </cfRule>
  </conditionalFormatting>
  <conditionalFormatting sqref="AU16:AU42">
    <cfRule type="cellIs" dxfId="463" priority="491" operator="greaterThan">
      <formula>0</formula>
    </cfRule>
  </conditionalFormatting>
  <conditionalFormatting sqref="AU16:AU42">
    <cfRule type="cellIs" dxfId="462" priority="492" operator="lessThan">
      <formula>0</formula>
    </cfRule>
  </conditionalFormatting>
  <conditionalFormatting sqref="AU24:AU27">
    <cfRule type="cellIs" dxfId="461" priority="493" operator="greaterThan">
      <formula>0</formula>
    </cfRule>
  </conditionalFormatting>
  <conditionalFormatting sqref="AU24:AU27">
    <cfRule type="cellIs" dxfId="460" priority="494" operator="lessThan">
      <formula>0</formula>
    </cfRule>
  </conditionalFormatting>
  <conditionalFormatting sqref="BA10:BA11 BA16:BA18 BA20:BA42">
    <cfRule type="cellIs" dxfId="459" priority="495" operator="greaterThan">
      <formula>0</formula>
    </cfRule>
  </conditionalFormatting>
  <conditionalFormatting sqref="BA10:BA11 BA16:BA18 BA20:BA42">
    <cfRule type="cellIs" dxfId="458" priority="496" operator="lessThan">
      <formula>0</formula>
    </cfRule>
  </conditionalFormatting>
  <conditionalFormatting sqref="BA12:BA15">
    <cfRule type="cellIs" dxfId="457" priority="497" operator="greaterThan">
      <formula>0</formula>
    </cfRule>
  </conditionalFormatting>
  <conditionalFormatting sqref="BA12:BA15">
    <cfRule type="cellIs" dxfId="456" priority="498" operator="lessThan">
      <formula>0</formula>
    </cfRule>
  </conditionalFormatting>
  <conditionalFormatting sqref="BA19">
    <cfRule type="cellIs" dxfId="455" priority="499" operator="greaterThan">
      <formula>0</formula>
    </cfRule>
  </conditionalFormatting>
  <conditionalFormatting sqref="BA19">
    <cfRule type="cellIs" dxfId="454" priority="500" operator="lessThan">
      <formula>0</formula>
    </cfRule>
  </conditionalFormatting>
  <conditionalFormatting sqref="AU29:AU36">
    <cfRule type="cellIs" dxfId="453" priority="501" operator="greaterThan">
      <formula>0</formula>
    </cfRule>
  </conditionalFormatting>
  <conditionalFormatting sqref="AU29:AU36">
    <cfRule type="cellIs" dxfId="452" priority="502" operator="lessThan">
      <formula>0</formula>
    </cfRule>
  </conditionalFormatting>
  <conditionalFormatting sqref="BA23:BA24">
    <cfRule type="cellIs" dxfId="451" priority="503" operator="greaterThan">
      <formula>0</formula>
    </cfRule>
  </conditionalFormatting>
  <conditionalFormatting sqref="BA23:BA24">
    <cfRule type="cellIs" dxfId="450" priority="504" operator="lessThan">
      <formula>0</formula>
    </cfRule>
  </conditionalFormatting>
  <conditionalFormatting sqref="BA25:BA26">
    <cfRule type="cellIs" dxfId="449" priority="505" operator="greaterThan">
      <formula>0</formula>
    </cfRule>
  </conditionalFormatting>
  <conditionalFormatting sqref="BA25:BA26">
    <cfRule type="cellIs" dxfId="448" priority="506" operator="lessThan">
      <formula>0</formula>
    </cfRule>
  </conditionalFormatting>
  <conditionalFormatting sqref="AU61:AU76">
    <cfRule type="cellIs" dxfId="447" priority="507" operator="greaterThan">
      <formula>0</formula>
    </cfRule>
  </conditionalFormatting>
  <conditionalFormatting sqref="AU61:AU76">
    <cfRule type="cellIs" dxfId="446" priority="508" operator="lessThan">
      <formula>0</formula>
    </cfRule>
  </conditionalFormatting>
  <conditionalFormatting sqref="AU50:AU53 AU55:AU68">
    <cfRule type="cellIs" dxfId="445" priority="509" operator="greaterThan">
      <formula>0</formula>
    </cfRule>
  </conditionalFormatting>
  <conditionalFormatting sqref="AU50:AU53 AU55:AU68">
    <cfRule type="cellIs" dxfId="444" priority="510" operator="lessThan">
      <formula>0</formula>
    </cfRule>
  </conditionalFormatting>
  <conditionalFormatting sqref="AU50">
    <cfRule type="cellIs" dxfId="443" priority="511" operator="greaterThan">
      <formula>0</formula>
    </cfRule>
  </conditionalFormatting>
  <conditionalFormatting sqref="AU50">
    <cfRule type="cellIs" dxfId="442" priority="512" operator="lessThan">
      <formula>0</formula>
    </cfRule>
  </conditionalFormatting>
  <conditionalFormatting sqref="AU70">
    <cfRule type="cellIs" dxfId="441" priority="513" operator="greaterThan">
      <formula>0</formula>
    </cfRule>
  </conditionalFormatting>
  <conditionalFormatting sqref="AU70">
    <cfRule type="cellIs" dxfId="440" priority="514" operator="lessThan">
      <formula>0</formula>
    </cfRule>
  </conditionalFormatting>
  <conditionalFormatting sqref="AU35:AU47 AU50">
    <cfRule type="cellIs" dxfId="439" priority="515" operator="greaterThan">
      <formula>0</formula>
    </cfRule>
  </conditionalFormatting>
  <conditionalFormatting sqref="AU35:AU47 AU50">
    <cfRule type="cellIs" dxfId="438" priority="516" operator="lessThan">
      <formula>0</formula>
    </cfRule>
  </conditionalFormatting>
  <conditionalFormatting sqref="AU43:AU47 AU50">
    <cfRule type="cellIs" dxfId="437" priority="517" operator="greaterThan">
      <formula>0</formula>
    </cfRule>
  </conditionalFormatting>
  <conditionalFormatting sqref="AU43:AU47 AU50">
    <cfRule type="cellIs" dxfId="436" priority="518" operator="lessThan">
      <formula>0</formula>
    </cfRule>
  </conditionalFormatting>
  <conditionalFormatting sqref="AU69">
    <cfRule type="cellIs" dxfId="435" priority="519" operator="greaterThan">
      <formula>0</formula>
    </cfRule>
  </conditionalFormatting>
  <conditionalFormatting sqref="AU69">
    <cfRule type="cellIs" dxfId="434" priority="520" operator="lessThan">
      <formula>0</formula>
    </cfRule>
  </conditionalFormatting>
  <conditionalFormatting sqref="AU59">
    <cfRule type="cellIs" dxfId="433" priority="521" operator="greaterThan">
      <formula>0</formula>
    </cfRule>
  </conditionalFormatting>
  <conditionalFormatting sqref="AU59">
    <cfRule type="cellIs" dxfId="432" priority="522" operator="lessThan">
      <formula>0</formula>
    </cfRule>
  </conditionalFormatting>
  <conditionalFormatting sqref="AU47:AU50">
    <cfRule type="cellIs" dxfId="431" priority="523" operator="greaterThan">
      <formula>0</formula>
    </cfRule>
  </conditionalFormatting>
  <conditionalFormatting sqref="AU47:AU50">
    <cfRule type="cellIs" dxfId="430" priority="524" operator="lessThan">
      <formula>0</formula>
    </cfRule>
  </conditionalFormatting>
  <conditionalFormatting sqref="AU59">
    <cfRule type="cellIs" dxfId="429" priority="525" operator="greaterThan">
      <formula>0</formula>
    </cfRule>
  </conditionalFormatting>
  <conditionalFormatting sqref="AU59">
    <cfRule type="cellIs" dxfId="428" priority="526" operator="lessThan">
      <formula>0</formula>
    </cfRule>
  </conditionalFormatting>
  <conditionalFormatting sqref="AU60">
    <cfRule type="cellIs" dxfId="427" priority="527" operator="greaterThan">
      <formula>0</formula>
    </cfRule>
  </conditionalFormatting>
  <conditionalFormatting sqref="AU60">
    <cfRule type="cellIs" dxfId="426" priority="528" operator="lessThan">
      <formula>0</formula>
    </cfRule>
  </conditionalFormatting>
  <conditionalFormatting sqref="AU61:AU63">
    <cfRule type="cellIs" dxfId="425" priority="529" operator="greaterThan">
      <formula>0</formula>
    </cfRule>
  </conditionalFormatting>
  <conditionalFormatting sqref="AU61:AU63">
    <cfRule type="cellIs" dxfId="424" priority="530" operator="lessThan">
      <formula>0</formula>
    </cfRule>
  </conditionalFormatting>
  <conditionalFormatting sqref="AU63">
    <cfRule type="cellIs" dxfId="423" priority="531" operator="greaterThan">
      <formula>0</formula>
    </cfRule>
  </conditionalFormatting>
  <conditionalFormatting sqref="AU63">
    <cfRule type="cellIs" dxfId="422" priority="532" operator="lessThan">
      <formula>0</formula>
    </cfRule>
  </conditionalFormatting>
  <conditionalFormatting sqref="AU64:AU65">
    <cfRule type="cellIs" dxfId="421" priority="533" operator="greaterThan">
      <formula>0</formula>
    </cfRule>
  </conditionalFormatting>
  <conditionalFormatting sqref="AU64:AU65">
    <cfRule type="cellIs" dxfId="420" priority="534" operator="lessThan">
      <formula>0</formula>
    </cfRule>
  </conditionalFormatting>
  <conditionalFormatting sqref="AU52:AU54">
    <cfRule type="cellIs" dxfId="419" priority="535" operator="greaterThan">
      <formula>0</formula>
    </cfRule>
  </conditionalFormatting>
  <conditionalFormatting sqref="AU52:AU54">
    <cfRule type="cellIs" dxfId="418" priority="536" operator="lessThan">
      <formula>0</formula>
    </cfRule>
  </conditionalFormatting>
  <conditionalFormatting sqref="AU65">
    <cfRule type="cellIs" dxfId="417" priority="537" operator="greaterThan">
      <formula>0</formula>
    </cfRule>
  </conditionalFormatting>
  <conditionalFormatting sqref="AU65">
    <cfRule type="cellIs" dxfId="416" priority="538" operator="lessThan">
      <formula>0</formula>
    </cfRule>
  </conditionalFormatting>
  <conditionalFormatting sqref="AU64">
    <cfRule type="cellIs" dxfId="415" priority="539" operator="greaterThan">
      <formula>0</formula>
    </cfRule>
  </conditionalFormatting>
  <conditionalFormatting sqref="AU64">
    <cfRule type="cellIs" dxfId="414" priority="540" operator="lessThan">
      <formula>0</formula>
    </cfRule>
  </conditionalFormatting>
  <conditionalFormatting sqref="AU54">
    <cfRule type="cellIs" dxfId="413" priority="541" operator="greaterThan">
      <formula>0</formula>
    </cfRule>
  </conditionalFormatting>
  <conditionalFormatting sqref="AU54">
    <cfRule type="cellIs" dxfId="412" priority="542" operator="lessThan">
      <formula>0</formula>
    </cfRule>
  </conditionalFormatting>
  <conditionalFormatting sqref="AU54">
    <cfRule type="cellIs" dxfId="411" priority="543" operator="greaterThan">
      <formula>0</formula>
    </cfRule>
  </conditionalFormatting>
  <conditionalFormatting sqref="AU54">
    <cfRule type="cellIs" dxfId="410" priority="544" operator="lessThan">
      <formula>0</formula>
    </cfRule>
  </conditionalFormatting>
  <conditionalFormatting sqref="AU55:AU68">
    <cfRule type="cellIs" dxfId="409" priority="545" operator="greaterThan">
      <formula>0</formula>
    </cfRule>
  </conditionalFormatting>
  <conditionalFormatting sqref="AU55:AU68">
    <cfRule type="cellIs" dxfId="408" priority="546" operator="lessThan">
      <formula>0</formula>
    </cfRule>
  </conditionalFormatting>
  <conditionalFormatting sqref="AU56:AU58">
    <cfRule type="cellIs" dxfId="407" priority="547" operator="greaterThan">
      <formula>0</formula>
    </cfRule>
  </conditionalFormatting>
  <conditionalFormatting sqref="AU56:AU58">
    <cfRule type="cellIs" dxfId="406" priority="548" operator="lessThan">
      <formula>0</formula>
    </cfRule>
  </conditionalFormatting>
  <conditionalFormatting sqref="AU58">
    <cfRule type="cellIs" dxfId="405" priority="549" operator="greaterThan">
      <formula>0</formula>
    </cfRule>
  </conditionalFormatting>
  <conditionalFormatting sqref="AU58">
    <cfRule type="cellIs" dxfId="404" priority="550" operator="lessThan">
      <formula>0</formula>
    </cfRule>
  </conditionalFormatting>
  <conditionalFormatting sqref="AU59:AU60">
    <cfRule type="cellIs" dxfId="403" priority="551" operator="greaterThan">
      <formula>0</formula>
    </cfRule>
  </conditionalFormatting>
  <conditionalFormatting sqref="AU59:AU60">
    <cfRule type="cellIs" dxfId="402" priority="552" operator="lessThan">
      <formula>0</formula>
    </cfRule>
  </conditionalFormatting>
  <conditionalFormatting sqref="BA28:BA29 BA34:BA36 BA38:BA68">
    <cfRule type="cellIs" dxfId="401" priority="553" operator="greaterThan">
      <formula>0</formula>
    </cfRule>
  </conditionalFormatting>
  <conditionalFormatting sqref="BA28:BA29 BA34:BA36 BA38:BA68">
    <cfRule type="cellIs" dxfId="400" priority="554" operator="lessThan">
      <formula>0</formula>
    </cfRule>
  </conditionalFormatting>
  <conditionalFormatting sqref="BA30:BA33">
    <cfRule type="cellIs" dxfId="399" priority="555" operator="greaterThan">
      <formula>0</formula>
    </cfRule>
  </conditionalFormatting>
  <conditionalFormatting sqref="BA30:BA33">
    <cfRule type="cellIs" dxfId="398" priority="556" operator="lessThan">
      <formula>0</formula>
    </cfRule>
  </conditionalFormatting>
  <conditionalFormatting sqref="BA57">
    <cfRule type="cellIs" dxfId="397" priority="557" operator="greaterThan">
      <formula>0</formula>
    </cfRule>
  </conditionalFormatting>
  <conditionalFormatting sqref="BA57">
    <cfRule type="cellIs" dxfId="396" priority="558" operator="lessThan">
      <formula>0</formula>
    </cfRule>
  </conditionalFormatting>
  <conditionalFormatting sqref="BA37">
    <cfRule type="cellIs" dxfId="395" priority="559" operator="greaterThan">
      <formula>0</formula>
    </cfRule>
  </conditionalFormatting>
  <conditionalFormatting sqref="BA37">
    <cfRule type="cellIs" dxfId="394" priority="560" operator="lessThan">
      <formula>0</formula>
    </cfRule>
  </conditionalFormatting>
  <conditionalFormatting sqref="AU5:AU14">
    <cfRule type="cellIs" dxfId="393" priority="561" operator="greaterThan">
      <formula>0</formula>
    </cfRule>
  </conditionalFormatting>
  <conditionalFormatting sqref="AU5:AU14">
    <cfRule type="cellIs" dxfId="392" priority="562" operator="lessThan">
      <formula>0</formula>
    </cfRule>
  </conditionalFormatting>
  <conditionalFormatting sqref="AU13">
    <cfRule type="cellIs" dxfId="391" priority="563" operator="greaterThan">
      <formula>0</formula>
    </cfRule>
  </conditionalFormatting>
  <conditionalFormatting sqref="AU13">
    <cfRule type="cellIs" dxfId="390" priority="564" operator="lessThan">
      <formula>0</formula>
    </cfRule>
  </conditionalFormatting>
  <conditionalFormatting sqref="B65:B72">
    <cfRule type="cellIs" dxfId="389" priority="565" operator="greaterThan">
      <formula>0</formula>
    </cfRule>
  </conditionalFormatting>
  <conditionalFormatting sqref="B65:B72">
    <cfRule type="cellIs" dxfId="388" priority="566" operator="lessThan">
      <formula>0</formula>
    </cfRule>
  </conditionalFormatting>
  <conditionalFormatting sqref="BG3:BG76">
    <cfRule type="cellIs" dxfId="387" priority="567" operator="greaterThan">
      <formula>0</formula>
    </cfRule>
  </conditionalFormatting>
  <conditionalFormatting sqref="BG3:BG76">
    <cfRule type="cellIs" dxfId="386" priority="568" operator="lessThan">
      <formula>0</formula>
    </cfRule>
  </conditionalFormatting>
  <conditionalFormatting sqref="AU21">
    <cfRule type="cellIs" dxfId="385" priority="569" operator="greaterThan">
      <formula>0</formula>
    </cfRule>
  </conditionalFormatting>
  <conditionalFormatting sqref="AU21">
    <cfRule type="cellIs" dxfId="384" priority="570" operator="lessThan">
      <formula>0</formula>
    </cfRule>
  </conditionalFormatting>
  <conditionalFormatting sqref="AU21">
    <cfRule type="cellIs" dxfId="383" priority="571" operator="greaterThan">
      <formula>0</formula>
    </cfRule>
  </conditionalFormatting>
  <conditionalFormatting sqref="AU21">
    <cfRule type="cellIs" dxfId="382" priority="572" operator="lessThan">
      <formula>0</formula>
    </cfRule>
  </conditionalFormatting>
  <conditionalFormatting sqref="AU14">
    <cfRule type="cellIs" dxfId="381" priority="573" operator="greaterThan">
      <formula>0</formula>
    </cfRule>
  </conditionalFormatting>
  <conditionalFormatting sqref="AU14">
    <cfRule type="cellIs" dxfId="380" priority="574" operator="lessThan">
      <formula>0</formula>
    </cfRule>
  </conditionalFormatting>
  <conditionalFormatting sqref="AU22">
    <cfRule type="cellIs" dxfId="379" priority="575" operator="greaterThan">
      <formula>0</formula>
    </cfRule>
  </conditionalFormatting>
  <conditionalFormatting sqref="AU22">
    <cfRule type="cellIs" dxfId="378" priority="576" operator="lessThan">
      <formula>0</formula>
    </cfRule>
  </conditionalFormatting>
  <conditionalFormatting sqref="AU22">
    <cfRule type="cellIs" dxfId="377" priority="577" operator="greaterThan">
      <formula>0</formula>
    </cfRule>
  </conditionalFormatting>
  <conditionalFormatting sqref="AU22">
    <cfRule type="cellIs" dxfId="376" priority="578" operator="lessThan">
      <formula>0</formula>
    </cfRule>
  </conditionalFormatting>
  <conditionalFormatting sqref="B64">
    <cfRule type="cellIs" dxfId="375" priority="579" operator="greaterThan">
      <formula>0</formula>
    </cfRule>
  </conditionalFormatting>
  <conditionalFormatting sqref="B64">
    <cfRule type="cellIs" dxfId="374" priority="580" operator="lessThan">
      <formula>0</formula>
    </cfRule>
  </conditionalFormatting>
  <conditionalFormatting sqref="B41 B43:B72 AC3:AC42">
    <cfRule type="cellIs" dxfId="373" priority="581" operator="greaterThan">
      <formula>0</formula>
    </cfRule>
  </conditionalFormatting>
  <conditionalFormatting sqref="B41 B43:B72 AC3:AC42">
    <cfRule type="cellIs" dxfId="372" priority="582" operator="lessThan">
      <formula>0</formula>
    </cfRule>
  </conditionalFormatting>
  <conditionalFormatting sqref="B41 B43:B72">
    <cfRule type="cellIs" dxfId="371" priority="583" operator="greaterThan">
      <formula>0</formula>
    </cfRule>
  </conditionalFormatting>
  <conditionalFormatting sqref="B41 B43:B72">
    <cfRule type="cellIs" dxfId="370" priority="584" operator="lessThan">
      <formula>0</formula>
    </cfRule>
  </conditionalFormatting>
  <conditionalFormatting sqref="B29">
    <cfRule type="cellIs" dxfId="369" priority="585" operator="greaterThan">
      <formula>0</formula>
    </cfRule>
  </conditionalFormatting>
  <conditionalFormatting sqref="B29">
    <cfRule type="cellIs" dxfId="368" priority="586" operator="lessThan">
      <formula>0</formula>
    </cfRule>
  </conditionalFormatting>
  <conditionalFormatting sqref="AU3">
    <cfRule type="cellIs" dxfId="367" priority="587" operator="greaterThan">
      <formula>0</formula>
    </cfRule>
  </conditionalFormatting>
  <conditionalFormatting sqref="AU3">
    <cfRule type="cellIs" dxfId="366" priority="588" operator="lessThan">
      <formula>0</formula>
    </cfRule>
  </conditionalFormatting>
  <conditionalFormatting sqref="AU4">
    <cfRule type="cellIs" dxfId="365" priority="589" operator="greaterThan">
      <formula>0</formula>
    </cfRule>
  </conditionalFormatting>
  <conditionalFormatting sqref="AU4">
    <cfRule type="cellIs" dxfId="364" priority="590" operator="lessThan">
      <formula>0</formula>
    </cfRule>
  </conditionalFormatting>
  <conditionalFormatting sqref="BA3">
    <cfRule type="cellIs" dxfId="363" priority="591" operator="greaterThan">
      <formula>0</formula>
    </cfRule>
  </conditionalFormatting>
  <conditionalFormatting sqref="BA3">
    <cfRule type="cellIs" dxfId="362" priority="592" operator="lessThan">
      <formula>0</formula>
    </cfRule>
  </conditionalFormatting>
  <conditionalFormatting sqref="Q3 AC3:AC42">
    <cfRule type="cellIs" dxfId="361" priority="593" operator="greaterThan">
      <formula>0</formula>
    </cfRule>
  </conditionalFormatting>
  <conditionalFormatting sqref="Q3 AC3:AC42">
    <cfRule type="cellIs" dxfId="360" priority="594" operator="lessThan">
      <formula>0</formula>
    </cfRule>
  </conditionalFormatting>
  <conditionalFormatting sqref="N37">
    <cfRule type="cellIs" dxfId="359" priority="595" operator="lessThan">
      <formula>0</formula>
    </cfRule>
  </conditionalFormatting>
  <conditionalFormatting sqref="N37">
    <cfRule type="cellIs" dxfId="358" priority="596" operator="greaterThan">
      <formula>0</formula>
    </cfRule>
  </conditionalFormatting>
  <conditionalFormatting sqref="I3:I37">
    <cfRule type="cellIs" dxfId="357" priority="463" operator="lessThan">
      <formula>0</formula>
    </cfRule>
    <cfRule type="cellIs" dxfId="356" priority="464" operator="greaterThan">
      <formula>0</formula>
    </cfRule>
  </conditionalFormatting>
  <conditionalFormatting sqref="I41:I72">
    <cfRule type="cellIs" dxfId="355" priority="461" operator="lessThan">
      <formula>0</formula>
    </cfRule>
    <cfRule type="cellIs" dxfId="354" priority="462" operator="greaterThan">
      <formula>0</formula>
    </cfRule>
  </conditionalFormatting>
  <conditionalFormatting sqref="I76">
    <cfRule type="cellIs" dxfId="353" priority="459" operator="lessThan">
      <formula>0</formula>
    </cfRule>
    <cfRule type="cellIs" dxfId="352" priority="460" operator="greaterThan">
      <formula>0</formula>
    </cfRule>
  </conditionalFormatting>
  <conditionalFormatting sqref="B5:B6">
    <cfRule type="cellIs" dxfId="351" priority="455" operator="greaterThan">
      <formula>0</formula>
    </cfRule>
  </conditionalFormatting>
  <conditionalFormatting sqref="B5:B6">
    <cfRule type="cellIs" dxfId="350" priority="456" operator="lessThan">
      <formula>0</formula>
    </cfRule>
  </conditionalFormatting>
  <conditionalFormatting sqref="B5:B6">
    <cfRule type="cellIs" dxfId="349" priority="457" operator="greaterThan">
      <formula>0</formula>
    </cfRule>
  </conditionalFormatting>
  <conditionalFormatting sqref="B5:B6">
    <cfRule type="cellIs" dxfId="348" priority="458" operator="lessThan">
      <formula>0</formula>
    </cfRule>
  </conditionalFormatting>
  <conditionalFormatting sqref="AB43">
    <cfRule type="cellIs" dxfId="347" priority="450" operator="greaterThan">
      <formula>0</formula>
    </cfRule>
  </conditionalFormatting>
  <conditionalFormatting sqref="AB43">
    <cfRule type="cellIs" dxfId="346" priority="451" operator="lessThan">
      <formula>0</formula>
    </cfRule>
  </conditionalFormatting>
  <conditionalFormatting sqref="N38">
    <cfRule type="cellIs" dxfId="345" priority="449" operator="lessThan">
      <formula>0</formula>
    </cfRule>
  </conditionalFormatting>
  <conditionalFormatting sqref="N39">
    <cfRule type="cellIs" dxfId="344" priority="448" operator="lessThan">
      <formula>0</formula>
    </cfRule>
  </conditionalFormatting>
  <conditionalFormatting sqref="AA3:AA42">
    <cfRule type="cellIs" dxfId="343" priority="446" operator="equal">
      <formula>0</formula>
    </cfRule>
  </conditionalFormatting>
  <conditionalFormatting sqref="B42">
    <cfRule type="cellIs" dxfId="342" priority="438" operator="greaterThan">
      <formula>0</formula>
    </cfRule>
  </conditionalFormatting>
  <conditionalFormatting sqref="B42">
    <cfRule type="cellIs" dxfId="341" priority="439" operator="lessThan">
      <formula>0</formula>
    </cfRule>
  </conditionalFormatting>
  <conditionalFormatting sqref="B42">
    <cfRule type="cellIs" dxfId="340" priority="440" operator="greaterThan">
      <formula>0</formula>
    </cfRule>
  </conditionalFormatting>
  <conditionalFormatting sqref="B42">
    <cfRule type="cellIs" dxfId="339" priority="441" operator="lessThan">
      <formula>0</formula>
    </cfRule>
  </conditionalFormatting>
  <conditionalFormatting sqref="B42">
    <cfRule type="cellIs" dxfId="338" priority="442" operator="greaterThan">
      <formula>0</formula>
    </cfRule>
  </conditionalFormatting>
  <conditionalFormatting sqref="B42">
    <cfRule type="cellIs" dxfId="337" priority="443" operator="lessThan">
      <formula>0</formula>
    </cfRule>
  </conditionalFormatting>
  <conditionalFormatting sqref="P3:P42">
    <cfRule type="expression" dxfId="336" priority="437">
      <formula>$L$18-$R3&lt;0</formula>
    </cfRule>
  </conditionalFormatting>
  <conditionalFormatting sqref="P3:P42">
    <cfRule type="expression" dxfId="335" priority="435">
      <formula>$L$18-$R3&gt;0</formula>
    </cfRule>
  </conditionalFormatting>
  <conditionalFormatting sqref="BA5">
    <cfRule type="cellIs" dxfId="334" priority="429" operator="greaterThan">
      <formula>0</formula>
    </cfRule>
  </conditionalFormatting>
  <conditionalFormatting sqref="BA5">
    <cfRule type="cellIs" dxfId="333" priority="430" operator="lessThan">
      <formula>0</formula>
    </cfRule>
  </conditionalFormatting>
  <conditionalFormatting sqref="BA4">
    <cfRule type="cellIs" dxfId="332" priority="427" operator="greaterThan">
      <formula>0</formula>
    </cfRule>
  </conditionalFormatting>
  <conditionalFormatting sqref="BA4">
    <cfRule type="cellIs" dxfId="331" priority="428" operator="lessThan">
      <formula>0</formula>
    </cfRule>
  </conditionalFormatting>
  <conditionalFormatting sqref="AB3:AB42">
    <cfRule type="expression" dxfId="330" priority="426">
      <formula>$L$18-$AD3&gt;0</formula>
    </cfRule>
  </conditionalFormatting>
  <conditionalFormatting sqref="AB3:AB42">
    <cfRule type="expression" dxfId="329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8" priority="423" operator="equal">
      <formula>0</formula>
    </cfRule>
  </conditionalFormatting>
  <conditionalFormatting sqref="B14">
    <cfRule type="cellIs" dxfId="327" priority="416" operator="greaterThan">
      <formula>0</formula>
    </cfRule>
  </conditionalFormatting>
  <conditionalFormatting sqref="B14">
    <cfRule type="cellIs" dxfId="326" priority="417" operator="lessThan">
      <formula>0</formula>
    </cfRule>
  </conditionalFormatting>
  <conditionalFormatting sqref="B14">
    <cfRule type="cellIs" dxfId="325" priority="418" operator="greaterThan">
      <formula>0</formula>
    </cfRule>
  </conditionalFormatting>
  <conditionalFormatting sqref="B14">
    <cfRule type="cellIs" dxfId="324" priority="419" operator="lessThan">
      <formula>0</formula>
    </cfRule>
  </conditionalFormatting>
  <conditionalFormatting sqref="B13">
    <cfRule type="cellIs" dxfId="323" priority="412" operator="greaterThan">
      <formula>0</formula>
    </cfRule>
  </conditionalFormatting>
  <conditionalFormatting sqref="B13">
    <cfRule type="cellIs" dxfId="322" priority="413" operator="lessThan">
      <formula>0</formula>
    </cfRule>
  </conditionalFormatting>
  <conditionalFormatting sqref="B13">
    <cfRule type="cellIs" dxfId="321" priority="414" operator="greaterThan">
      <formula>0</formula>
    </cfRule>
  </conditionalFormatting>
  <conditionalFormatting sqref="B13">
    <cfRule type="cellIs" dxfId="320" priority="415" operator="lessThan">
      <formula>0</formula>
    </cfRule>
  </conditionalFormatting>
  <conditionalFormatting sqref="B17:B18">
    <cfRule type="cellIs" dxfId="319" priority="408" operator="greaterThan">
      <formula>0</formula>
    </cfRule>
  </conditionalFormatting>
  <conditionalFormatting sqref="B17:B18">
    <cfRule type="cellIs" dxfId="318" priority="409" operator="lessThan">
      <formula>0</formula>
    </cfRule>
  </conditionalFormatting>
  <conditionalFormatting sqref="B17:B18">
    <cfRule type="cellIs" dxfId="317" priority="410" operator="greaterThan">
      <formula>0</formula>
    </cfRule>
  </conditionalFormatting>
  <conditionalFormatting sqref="B17:B18">
    <cfRule type="cellIs" dxfId="316" priority="411" operator="lessThan">
      <formula>0</formula>
    </cfRule>
  </conditionalFormatting>
  <conditionalFormatting sqref="B13:B14">
    <cfRule type="cellIs" dxfId="315" priority="404" operator="greaterThan">
      <formula>0</formula>
    </cfRule>
  </conditionalFormatting>
  <conditionalFormatting sqref="B13:B14">
    <cfRule type="cellIs" dxfId="314" priority="405" operator="lessThan">
      <formula>0</formula>
    </cfRule>
  </conditionalFormatting>
  <conditionalFormatting sqref="B13:B14">
    <cfRule type="cellIs" dxfId="313" priority="406" operator="greaterThan">
      <formula>0</formula>
    </cfRule>
  </conditionalFormatting>
  <conditionalFormatting sqref="B13:B14">
    <cfRule type="cellIs" dxfId="312" priority="407" operator="lessThan">
      <formula>0</formula>
    </cfRule>
  </conditionalFormatting>
  <conditionalFormatting sqref="B5:B6">
    <cfRule type="cellIs" dxfId="311" priority="400" operator="greaterThan">
      <formula>0</formula>
    </cfRule>
  </conditionalFormatting>
  <conditionalFormatting sqref="B5:B6">
    <cfRule type="cellIs" dxfId="310" priority="401" operator="lessThan">
      <formula>0</formula>
    </cfRule>
  </conditionalFormatting>
  <conditionalFormatting sqref="B5:B6">
    <cfRule type="cellIs" dxfId="309" priority="402" operator="greaterThan">
      <formula>0</formula>
    </cfRule>
  </conditionalFormatting>
  <conditionalFormatting sqref="B5:B6">
    <cfRule type="cellIs" dxfId="308" priority="403" operator="lessThan">
      <formula>0</formula>
    </cfRule>
  </conditionalFormatting>
  <conditionalFormatting sqref="B12">
    <cfRule type="cellIs" dxfId="307" priority="340" operator="greaterThan">
      <formula>0</formula>
    </cfRule>
  </conditionalFormatting>
  <conditionalFormatting sqref="B12">
    <cfRule type="cellIs" dxfId="306" priority="341" operator="lessThan">
      <formula>0</formula>
    </cfRule>
  </conditionalFormatting>
  <conditionalFormatting sqref="B12">
    <cfRule type="cellIs" dxfId="305" priority="342" operator="greaterThan">
      <formula>0</formula>
    </cfRule>
  </conditionalFormatting>
  <conditionalFormatting sqref="B12">
    <cfRule type="cellIs" dxfId="304" priority="343" operator="lessThan">
      <formula>0</formula>
    </cfRule>
  </conditionalFormatting>
  <conditionalFormatting sqref="B15:B16">
    <cfRule type="cellIs" dxfId="303" priority="396" operator="greaterThan">
      <formula>0</formula>
    </cfRule>
  </conditionalFormatting>
  <conditionalFormatting sqref="B15:B16">
    <cfRule type="cellIs" dxfId="302" priority="397" operator="lessThan">
      <formula>0</formula>
    </cfRule>
  </conditionalFormatting>
  <conditionalFormatting sqref="B15:B16">
    <cfRule type="cellIs" dxfId="301" priority="398" operator="greaterThan">
      <formula>0</formula>
    </cfRule>
  </conditionalFormatting>
  <conditionalFormatting sqref="B15:B16">
    <cfRule type="cellIs" dxfId="300" priority="399" operator="lessThan">
      <formula>0</formula>
    </cfRule>
  </conditionalFormatting>
  <conditionalFormatting sqref="B16">
    <cfRule type="cellIs" dxfId="299" priority="392" operator="greaterThan">
      <formula>0</formula>
    </cfRule>
  </conditionalFormatting>
  <conditionalFormatting sqref="B16">
    <cfRule type="cellIs" dxfId="298" priority="393" operator="lessThan">
      <formula>0</formula>
    </cfRule>
  </conditionalFormatting>
  <conditionalFormatting sqref="B16">
    <cfRule type="cellIs" dxfId="297" priority="394" operator="greaterThan">
      <formula>0</formula>
    </cfRule>
  </conditionalFormatting>
  <conditionalFormatting sqref="B16">
    <cfRule type="cellIs" dxfId="296" priority="395" operator="lessThan">
      <formula>0</formula>
    </cfRule>
  </conditionalFormatting>
  <conditionalFormatting sqref="B16">
    <cfRule type="cellIs" dxfId="295" priority="388" operator="greaterThan">
      <formula>0</formula>
    </cfRule>
  </conditionalFormatting>
  <conditionalFormatting sqref="B16">
    <cfRule type="cellIs" dxfId="294" priority="389" operator="lessThan">
      <formula>0</formula>
    </cfRule>
  </conditionalFormatting>
  <conditionalFormatting sqref="B16">
    <cfRule type="cellIs" dxfId="293" priority="390" operator="greaterThan">
      <formula>0</formula>
    </cfRule>
  </conditionalFormatting>
  <conditionalFormatting sqref="B16">
    <cfRule type="cellIs" dxfId="292" priority="391" operator="lessThan">
      <formula>0</formula>
    </cfRule>
  </conditionalFormatting>
  <conditionalFormatting sqref="B15">
    <cfRule type="cellIs" dxfId="291" priority="384" operator="greaterThan">
      <formula>0</formula>
    </cfRule>
  </conditionalFormatting>
  <conditionalFormatting sqref="B15">
    <cfRule type="cellIs" dxfId="290" priority="385" operator="lessThan">
      <formula>0</formula>
    </cfRule>
  </conditionalFormatting>
  <conditionalFormatting sqref="B15">
    <cfRule type="cellIs" dxfId="289" priority="386" operator="greaterThan">
      <formula>0</formula>
    </cfRule>
  </conditionalFormatting>
  <conditionalFormatting sqref="B15">
    <cfRule type="cellIs" dxfId="288" priority="387" operator="lessThan">
      <formula>0</formula>
    </cfRule>
  </conditionalFormatting>
  <conditionalFormatting sqref="B15:B16">
    <cfRule type="cellIs" dxfId="287" priority="380" operator="greaterThan">
      <formula>0</formula>
    </cfRule>
  </conditionalFormatting>
  <conditionalFormatting sqref="B15:B16">
    <cfRule type="cellIs" dxfId="286" priority="381" operator="lessThan">
      <formula>0</formula>
    </cfRule>
  </conditionalFormatting>
  <conditionalFormatting sqref="B15:B16">
    <cfRule type="cellIs" dxfId="285" priority="382" operator="greaterThan">
      <formula>0</formula>
    </cfRule>
  </conditionalFormatting>
  <conditionalFormatting sqref="B15:B16">
    <cfRule type="cellIs" dxfId="284" priority="383" operator="lessThan">
      <formula>0</formula>
    </cfRule>
  </conditionalFormatting>
  <conditionalFormatting sqref="B15:B16">
    <cfRule type="cellIs" dxfId="283" priority="376" operator="greaterThan">
      <formula>0</formula>
    </cfRule>
  </conditionalFormatting>
  <conditionalFormatting sqref="B15:B16">
    <cfRule type="cellIs" dxfId="282" priority="377" operator="lessThan">
      <formula>0</formula>
    </cfRule>
  </conditionalFormatting>
  <conditionalFormatting sqref="B15:B16">
    <cfRule type="cellIs" dxfId="281" priority="378" operator="greaterThan">
      <formula>0</formula>
    </cfRule>
  </conditionalFormatting>
  <conditionalFormatting sqref="B15:B16">
    <cfRule type="cellIs" dxfId="280" priority="379" operator="lessThan">
      <formula>0</formula>
    </cfRule>
  </conditionalFormatting>
  <conditionalFormatting sqref="B11:B12">
    <cfRule type="cellIs" dxfId="279" priority="372" operator="greaterThan">
      <formula>0</formula>
    </cfRule>
  </conditionalFormatting>
  <conditionalFormatting sqref="B11:B12">
    <cfRule type="cellIs" dxfId="278" priority="373" operator="lessThan">
      <formula>0</formula>
    </cfRule>
  </conditionalFormatting>
  <conditionalFormatting sqref="B11:B12">
    <cfRule type="cellIs" dxfId="277" priority="374" operator="greaterThan">
      <formula>0</formula>
    </cfRule>
  </conditionalFormatting>
  <conditionalFormatting sqref="B11:B12">
    <cfRule type="cellIs" dxfId="276" priority="375" operator="lessThan">
      <formula>0</formula>
    </cfRule>
  </conditionalFormatting>
  <conditionalFormatting sqref="B11">
    <cfRule type="cellIs" dxfId="275" priority="368" operator="greaterThan">
      <formula>0</formula>
    </cfRule>
  </conditionalFormatting>
  <conditionalFormatting sqref="B11">
    <cfRule type="cellIs" dxfId="274" priority="369" operator="lessThan">
      <formula>0</formula>
    </cfRule>
  </conditionalFormatting>
  <conditionalFormatting sqref="B11">
    <cfRule type="cellIs" dxfId="273" priority="370" operator="greaterThan">
      <formula>0</formula>
    </cfRule>
  </conditionalFormatting>
  <conditionalFormatting sqref="B11">
    <cfRule type="cellIs" dxfId="272" priority="371" operator="lessThan">
      <formula>0</formula>
    </cfRule>
  </conditionalFormatting>
  <conditionalFormatting sqref="B12">
    <cfRule type="cellIs" dxfId="271" priority="364" operator="greaterThan">
      <formula>0</formula>
    </cfRule>
  </conditionalFormatting>
  <conditionalFormatting sqref="B12">
    <cfRule type="cellIs" dxfId="270" priority="365" operator="lessThan">
      <formula>0</formula>
    </cfRule>
  </conditionalFormatting>
  <conditionalFormatting sqref="B12">
    <cfRule type="cellIs" dxfId="269" priority="366" operator="greaterThan">
      <formula>0</formula>
    </cfRule>
  </conditionalFormatting>
  <conditionalFormatting sqref="B12">
    <cfRule type="cellIs" dxfId="268" priority="367" operator="lessThan">
      <formula>0</formula>
    </cfRule>
  </conditionalFormatting>
  <conditionalFormatting sqref="B5:B6">
    <cfRule type="cellIs" dxfId="267" priority="360" operator="greaterThan">
      <formula>0</formula>
    </cfRule>
  </conditionalFormatting>
  <conditionalFormatting sqref="B5:B6">
    <cfRule type="cellIs" dxfId="266" priority="361" operator="lessThan">
      <formula>0</formula>
    </cfRule>
  </conditionalFormatting>
  <conditionalFormatting sqref="B5:B6">
    <cfRule type="cellIs" dxfId="265" priority="362" operator="greaterThan">
      <formula>0</formula>
    </cfRule>
  </conditionalFormatting>
  <conditionalFormatting sqref="B5:B6">
    <cfRule type="cellIs" dxfId="264" priority="363" operator="lessThan">
      <formula>0</formula>
    </cfRule>
  </conditionalFormatting>
  <conditionalFormatting sqref="B5:B6">
    <cfRule type="cellIs" dxfId="263" priority="356" operator="greaterThan">
      <formula>0</formula>
    </cfRule>
  </conditionalFormatting>
  <conditionalFormatting sqref="B5:B6">
    <cfRule type="cellIs" dxfId="262" priority="357" operator="lessThan">
      <formula>0</formula>
    </cfRule>
  </conditionalFormatting>
  <conditionalFormatting sqref="B5:B6">
    <cfRule type="cellIs" dxfId="261" priority="358" operator="greaterThan">
      <formula>0</formula>
    </cfRule>
  </conditionalFormatting>
  <conditionalFormatting sqref="B5:B6">
    <cfRule type="cellIs" dxfId="260" priority="359" operator="lessThan">
      <formula>0</formula>
    </cfRule>
  </conditionalFormatting>
  <conditionalFormatting sqref="B5:B6">
    <cfRule type="cellIs" dxfId="259" priority="352" operator="greaterThan">
      <formula>0</formula>
    </cfRule>
  </conditionalFormatting>
  <conditionalFormatting sqref="B5:B6">
    <cfRule type="cellIs" dxfId="258" priority="353" operator="lessThan">
      <formula>0</formula>
    </cfRule>
  </conditionalFormatting>
  <conditionalFormatting sqref="B5:B6">
    <cfRule type="cellIs" dxfId="257" priority="354" operator="greaterThan">
      <formula>0</formula>
    </cfRule>
  </conditionalFormatting>
  <conditionalFormatting sqref="B5:B6">
    <cfRule type="cellIs" dxfId="256" priority="355" operator="lessThan">
      <formula>0</formula>
    </cfRule>
  </conditionalFormatting>
  <conditionalFormatting sqref="B11:B12">
    <cfRule type="cellIs" dxfId="255" priority="348" operator="greaterThan">
      <formula>0</formula>
    </cfRule>
  </conditionalFormatting>
  <conditionalFormatting sqref="B11:B12">
    <cfRule type="cellIs" dxfId="254" priority="349" operator="lessThan">
      <formula>0</formula>
    </cfRule>
  </conditionalFormatting>
  <conditionalFormatting sqref="B11:B12">
    <cfRule type="cellIs" dxfId="253" priority="350" operator="greaterThan">
      <formula>0</formula>
    </cfRule>
  </conditionalFormatting>
  <conditionalFormatting sqref="B11:B12">
    <cfRule type="cellIs" dxfId="252" priority="351" operator="lessThan">
      <formula>0</formula>
    </cfRule>
  </conditionalFormatting>
  <conditionalFormatting sqref="B12">
    <cfRule type="cellIs" dxfId="251" priority="344" operator="greaterThan">
      <formula>0</formula>
    </cfRule>
  </conditionalFormatting>
  <conditionalFormatting sqref="B12">
    <cfRule type="cellIs" dxfId="250" priority="345" operator="lessThan">
      <formula>0</formula>
    </cfRule>
  </conditionalFormatting>
  <conditionalFormatting sqref="B12">
    <cfRule type="cellIs" dxfId="249" priority="346" operator="greaterThan">
      <formula>0</formula>
    </cfRule>
  </conditionalFormatting>
  <conditionalFormatting sqref="B12">
    <cfRule type="cellIs" dxfId="248" priority="347" operator="lessThan">
      <formula>0</formula>
    </cfRule>
  </conditionalFormatting>
  <conditionalFormatting sqref="B11">
    <cfRule type="cellIs" dxfId="247" priority="336" operator="greaterThan">
      <formula>0</formula>
    </cfRule>
  </conditionalFormatting>
  <conditionalFormatting sqref="B11">
    <cfRule type="cellIs" dxfId="246" priority="337" operator="lessThan">
      <formula>0</formula>
    </cfRule>
  </conditionalFormatting>
  <conditionalFormatting sqref="B11">
    <cfRule type="cellIs" dxfId="245" priority="338" operator="greaterThan">
      <formula>0</formula>
    </cfRule>
  </conditionalFormatting>
  <conditionalFormatting sqref="B11">
    <cfRule type="cellIs" dxfId="244" priority="339" operator="lessThan">
      <formula>0</formula>
    </cfRule>
  </conditionalFormatting>
  <conditionalFormatting sqref="B11:B12">
    <cfRule type="cellIs" dxfId="243" priority="332" operator="greaterThan">
      <formula>0</formula>
    </cfRule>
  </conditionalFormatting>
  <conditionalFormatting sqref="B11:B12">
    <cfRule type="cellIs" dxfId="242" priority="333" operator="lessThan">
      <formula>0</formula>
    </cfRule>
  </conditionalFormatting>
  <conditionalFormatting sqref="B11:B12">
    <cfRule type="cellIs" dxfId="241" priority="334" operator="greaterThan">
      <formula>0</formula>
    </cfRule>
  </conditionalFormatting>
  <conditionalFormatting sqref="B11:B12">
    <cfRule type="cellIs" dxfId="240" priority="335" operator="lessThan">
      <formula>0</formula>
    </cfRule>
  </conditionalFormatting>
  <conditionalFormatting sqref="B11:B12">
    <cfRule type="cellIs" dxfId="239" priority="328" operator="greaterThan">
      <formula>0</formula>
    </cfRule>
  </conditionalFormatting>
  <conditionalFormatting sqref="B11:B12">
    <cfRule type="cellIs" dxfId="238" priority="329" operator="lessThan">
      <formula>0</formula>
    </cfRule>
  </conditionalFormatting>
  <conditionalFormatting sqref="B11:B12">
    <cfRule type="cellIs" dxfId="237" priority="330" operator="greaterThan">
      <formula>0</formula>
    </cfRule>
  </conditionalFormatting>
  <conditionalFormatting sqref="B11:B12">
    <cfRule type="cellIs" dxfId="236" priority="331" operator="lessThan">
      <formula>0</formula>
    </cfRule>
  </conditionalFormatting>
  <conditionalFormatting sqref="B40">
    <cfRule type="cellIs" dxfId="235" priority="322" operator="greaterThan">
      <formula>0</formula>
    </cfRule>
  </conditionalFormatting>
  <conditionalFormatting sqref="B40">
    <cfRule type="cellIs" dxfId="234" priority="323" operator="lessThan">
      <formula>0</formula>
    </cfRule>
  </conditionalFormatting>
  <conditionalFormatting sqref="B40">
    <cfRule type="cellIs" dxfId="233" priority="324" operator="greaterThan">
      <formula>0</formula>
    </cfRule>
  </conditionalFormatting>
  <conditionalFormatting sqref="B40">
    <cfRule type="cellIs" dxfId="232" priority="325" operator="lessThan">
      <formula>0</formula>
    </cfRule>
  </conditionalFormatting>
  <conditionalFormatting sqref="B40">
    <cfRule type="cellIs" dxfId="231" priority="326" operator="greaterThan">
      <formula>0</formula>
    </cfRule>
  </conditionalFormatting>
  <conditionalFormatting sqref="B40">
    <cfRule type="cellIs" dxfId="230" priority="327" operator="lessThan">
      <formula>0</formula>
    </cfRule>
  </conditionalFormatting>
  <conditionalFormatting sqref="I38:I40">
    <cfRule type="cellIs" dxfId="229" priority="320" operator="lessThan">
      <formula>0</formula>
    </cfRule>
    <cfRule type="cellIs" dxfId="228" priority="321" operator="greaterThan">
      <formula>0</formula>
    </cfRule>
  </conditionalFormatting>
  <conditionalFormatting sqref="B38">
    <cfRule type="cellIs" dxfId="227" priority="314" operator="greaterThan">
      <formula>0</formula>
    </cfRule>
  </conditionalFormatting>
  <conditionalFormatting sqref="B38">
    <cfRule type="cellIs" dxfId="226" priority="315" operator="lessThan">
      <formula>0</formula>
    </cfRule>
  </conditionalFormatting>
  <conditionalFormatting sqref="B38">
    <cfRule type="cellIs" dxfId="225" priority="316" operator="greaterThan">
      <formula>0</formula>
    </cfRule>
  </conditionalFormatting>
  <conditionalFormatting sqref="B38">
    <cfRule type="cellIs" dxfId="224" priority="317" operator="lessThan">
      <formula>0</formula>
    </cfRule>
  </conditionalFormatting>
  <conditionalFormatting sqref="B38">
    <cfRule type="cellIs" dxfId="223" priority="318" operator="greaterThan">
      <formula>0</formula>
    </cfRule>
  </conditionalFormatting>
  <conditionalFormatting sqref="B38">
    <cfRule type="cellIs" dxfId="222" priority="319" operator="lessThan">
      <formula>0</formula>
    </cfRule>
  </conditionalFormatting>
  <conditionalFormatting sqref="B39">
    <cfRule type="cellIs" dxfId="221" priority="308" operator="greaterThan">
      <formula>0</formula>
    </cfRule>
  </conditionalFormatting>
  <conditionalFormatting sqref="B39">
    <cfRule type="cellIs" dxfId="220" priority="309" operator="lessThan">
      <formula>0</formula>
    </cfRule>
  </conditionalFormatting>
  <conditionalFormatting sqref="B39">
    <cfRule type="cellIs" dxfId="219" priority="310" operator="greaterThan">
      <formula>0</formula>
    </cfRule>
  </conditionalFormatting>
  <conditionalFormatting sqref="B39">
    <cfRule type="cellIs" dxfId="218" priority="311" operator="lessThan">
      <formula>0</formula>
    </cfRule>
  </conditionalFormatting>
  <conditionalFormatting sqref="B39">
    <cfRule type="cellIs" dxfId="217" priority="312" operator="greaterThan">
      <formula>0</formula>
    </cfRule>
  </conditionalFormatting>
  <conditionalFormatting sqref="B39">
    <cfRule type="cellIs" dxfId="216" priority="313" operator="lessThan">
      <formula>0</formula>
    </cfRule>
  </conditionalFormatting>
  <conditionalFormatting sqref="B31:B34 B37">
    <cfRule type="cellIs" dxfId="215" priority="304" operator="greaterThan">
      <formula>0</formula>
    </cfRule>
  </conditionalFormatting>
  <conditionalFormatting sqref="B31:B34 B37">
    <cfRule type="cellIs" dxfId="214" priority="305" operator="lessThan">
      <formula>0</formula>
    </cfRule>
  </conditionalFormatting>
  <conditionalFormatting sqref="B31:B34 B37">
    <cfRule type="cellIs" dxfId="213" priority="306" operator="greaterThan">
      <formula>0</formula>
    </cfRule>
  </conditionalFormatting>
  <conditionalFormatting sqref="B31:B34 B37">
    <cfRule type="cellIs" dxfId="212" priority="307" operator="lessThan">
      <formula>0</formula>
    </cfRule>
  </conditionalFormatting>
  <conditionalFormatting sqref="B35:B36">
    <cfRule type="cellIs" dxfId="211" priority="296" operator="greaterThan">
      <formula>0</formula>
    </cfRule>
  </conditionalFormatting>
  <conditionalFormatting sqref="B35:B36">
    <cfRule type="cellIs" dxfId="210" priority="297" operator="lessThan">
      <formula>0</formula>
    </cfRule>
  </conditionalFormatting>
  <conditionalFormatting sqref="B35:B36">
    <cfRule type="cellIs" dxfId="209" priority="298" operator="greaterThan">
      <formula>0</formula>
    </cfRule>
  </conditionalFormatting>
  <conditionalFormatting sqref="B35:B36">
    <cfRule type="cellIs" dxfId="208" priority="299" operator="lessThan">
      <formula>0</formula>
    </cfRule>
  </conditionalFormatting>
  <conditionalFormatting sqref="B36">
    <cfRule type="cellIs" dxfId="207" priority="300" operator="greaterThan">
      <formula>0</formula>
    </cfRule>
  </conditionalFormatting>
  <conditionalFormatting sqref="B36">
    <cfRule type="cellIs" dxfId="206" priority="301" operator="lessThan">
      <formula>0</formula>
    </cfRule>
  </conditionalFormatting>
  <conditionalFormatting sqref="B35">
    <cfRule type="cellIs" dxfId="205" priority="302" operator="greaterThan">
      <formula>0</formula>
    </cfRule>
  </conditionalFormatting>
  <conditionalFormatting sqref="B35">
    <cfRule type="cellIs" dxfId="204" priority="303" operator="lessThan">
      <formula>0</formula>
    </cfRule>
  </conditionalFormatting>
  <conditionalFormatting sqref="B4">
    <cfRule type="cellIs" dxfId="203" priority="286" operator="greaterThan">
      <formula>0</formula>
    </cfRule>
  </conditionalFormatting>
  <conditionalFormatting sqref="B4">
    <cfRule type="cellIs" dxfId="202" priority="287" operator="lessThan">
      <formula>0</formula>
    </cfRule>
  </conditionalFormatting>
  <conditionalFormatting sqref="B4">
    <cfRule type="cellIs" dxfId="201" priority="288" operator="greaterThan">
      <formula>0</formula>
    </cfRule>
  </conditionalFormatting>
  <conditionalFormatting sqref="B4">
    <cfRule type="cellIs" dxfId="200" priority="289" operator="lessThan">
      <formula>0</formula>
    </cfRule>
  </conditionalFormatting>
  <conditionalFormatting sqref="B4">
    <cfRule type="cellIs" dxfId="199" priority="282" operator="greaterThan">
      <formula>0</formula>
    </cfRule>
  </conditionalFormatting>
  <conditionalFormatting sqref="B4">
    <cfRule type="cellIs" dxfId="198" priority="283" operator="lessThan">
      <formula>0</formula>
    </cfRule>
  </conditionalFormatting>
  <conditionalFormatting sqref="B4">
    <cfRule type="cellIs" dxfId="197" priority="284" operator="greaterThan">
      <formula>0</formula>
    </cfRule>
  </conditionalFormatting>
  <conditionalFormatting sqref="B4">
    <cfRule type="cellIs" dxfId="196" priority="285" operator="lessThan">
      <formula>0</formula>
    </cfRule>
  </conditionalFormatting>
  <conditionalFormatting sqref="B4">
    <cfRule type="cellIs" dxfId="195" priority="278" operator="greaterThan">
      <formula>0</formula>
    </cfRule>
  </conditionalFormatting>
  <conditionalFormatting sqref="B4">
    <cfRule type="cellIs" dxfId="194" priority="279" operator="lessThan">
      <formula>0</formula>
    </cfRule>
  </conditionalFormatting>
  <conditionalFormatting sqref="B4">
    <cfRule type="cellIs" dxfId="193" priority="280" operator="greaterThan">
      <formula>0</formula>
    </cfRule>
  </conditionalFormatting>
  <conditionalFormatting sqref="B4">
    <cfRule type="cellIs" dxfId="192" priority="281" operator="lessThan">
      <formula>0</formula>
    </cfRule>
  </conditionalFormatting>
  <conditionalFormatting sqref="B4">
    <cfRule type="cellIs" dxfId="191" priority="274" operator="greaterThan">
      <formula>0</formula>
    </cfRule>
  </conditionalFormatting>
  <conditionalFormatting sqref="B4">
    <cfRule type="cellIs" dxfId="190" priority="275" operator="lessThan">
      <formula>0</formula>
    </cfRule>
  </conditionalFormatting>
  <conditionalFormatting sqref="B4">
    <cfRule type="cellIs" dxfId="189" priority="276" operator="greaterThan">
      <formula>0</formula>
    </cfRule>
  </conditionalFormatting>
  <conditionalFormatting sqref="B4">
    <cfRule type="cellIs" dxfId="188" priority="277" operator="lessThan">
      <formula>0</formula>
    </cfRule>
  </conditionalFormatting>
  <conditionalFormatting sqref="B4">
    <cfRule type="cellIs" dxfId="187" priority="270" operator="greaterThan">
      <formula>0</formula>
    </cfRule>
  </conditionalFormatting>
  <conditionalFormatting sqref="B4">
    <cfRule type="cellIs" dxfId="186" priority="271" operator="lessThan">
      <formula>0</formula>
    </cfRule>
  </conditionalFormatting>
  <conditionalFormatting sqref="B4">
    <cfRule type="cellIs" dxfId="185" priority="272" operator="greaterThan">
      <formula>0</formula>
    </cfRule>
  </conditionalFormatting>
  <conditionalFormatting sqref="B4">
    <cfRule type="cellIs" dxfId="184" priority="273" operator="lessThan">
      <formula>0</formula>
    </cfRule>
  </conditionalFormatting>
  <conditionalFormatting sqref="B4">
    <cfRule type="cellIs" dxfId="183" priority="266" operator="greaterThan">
      <formula>0</formula>
    </cfRule>
  </conditionalFormatting>
  <conditionalFormatting sqref="B4">
    <cfRule type="cellIs" dxfId="182" priority="267" operator="lessThan">
      <formula>0</formula>
    </cfRule>
  </conditionalFormatting>
  <conditionalFormatting sqref="B4">
    <cfRule type="cellIs" dxfId="181" priority="268" operator="greaterThan">
      <formula>0</formula>
    </cfRule>
  </conditionalFormatting>
  <conditionalFormatting sqref="B4">
    <cfRule type="cellIs" dxfId="180" priority="269" operator="lessThan">
      <formula>0</formula>
    </cfRule>
  </conditionalFormatting>
  <conditionalFormatting sqref="B4">
    <cfRule type="cellIs" dxfId="179" priority="262" operator="greaterThan">
      <formula>0</formula>
    </cfRule>
  </conditionalFormatting>
  <conditionalFormatting sqref="B4">
    <cfRule type="cellIs" dxfId="178" priority="263" operator="lessThan">
      <formula>0</formula>
    </cfRule>
  </conditionalFormatting>
  <conditionalFormatting sqref="B4">
    <cfRule type="cellIs" dxfId="177" priority="264" operator="greaterThan">
      <formula>0</formula>
    </cfRule>
  </conditionalFormatting>
  <conditionalFormatting sqref="B4">
    <cfRule type="cellIs" dxfId="176" priority="265" operator="lessThan">
      <formula>0</formula>
    </cfRule>
  </conditionalFormatting>
  <conditionalFormatting sqref="B4">
    <cfRule type="cellIs" dxfId="175" priority="258" operator="greaterThan">
      <formula>0</formula>
    </cfRule>
  </conditionalFormatting>
  <conditionalFormatting sqref="B4">
    <cfRule type="cellIs" dxfId="174" priority="259" operator="lessThan">
      <formula>0</formula>
    </cfRule>
  </conditionalFormatting>
  <conditionalFormatting sqref="B4">
    <cfRule type="cellIs" dxfId="173" priority="260" operator="greaterThan">
      <formula>0</formula>
    </cfRule>
  </conditionalFormatting>
  <conditionalFormatting sqref="B4">
    <cfRule type="cellIs" dxfId="172" priority="261" operator="lessThan">
      <formula>0</formula>
    </cfRule>
  </conditionalFormatting>
  <conditionalFormatting sqref="B4">
    <cfRule type="cellIs" dxfId="171" priority="254" operator="greaterThan">
      <formula>0</formula>
    </cfRule>
  </conditionalFormatting>
  <conditionalFormatting sqref="B4">
    <cfRule type="cellIs" dxfId="170" priority="255" operator="lessThan">
      <formula>0</formula>
    </cfRule>
  </conditionalFormatting>
  <conditionalFormatting sqref="B4">
    <cfRule type="cellIs" dxfId="169" priority="256" operator="greaterThan">
      <formula>0</formula>
    </cfRule>
  </conditionalFormatting>
  <conditionalFormatting sqref="B4">
    <cfRule type="cellIs" dxfId="168" priority="257" operator="lessThan">
      <formula>0</formula>
    </cfRule>
  </conditionalFormatting>
  <conditionalFormatting sqref="B8">
    <cfRule type="cellIs" dxfId="167" priority="250" operator="greaterThan">
      <formula>0</formula>
    </cfRule>
  </conditionalFormatting>
  <conditionalFormatting sqref="B8">
    <cfRule type="cellIs" dxfId="166" priority="251" operator="lessThan">
      <formula>0</formula>
    </cfRule>
  </conditionalFormatting>
  <conditionalFormatting sqref="B8">
    <cfRule type="cellIs" dxfId="165" priority="252" operator="greaterThan">
      <formula>0</formula>
    </cfRule>
  </conditionalFormatting>
  <conditionalFormatting sqref="B8">
    <cfRule type="cellIs" dxfId="164" priority="253" operator="lessThan">
      <formula>0</formula>
    </cfRule>
  </conditionalFormatting>
  <conditionalFormatting sqref="B8">
    <cfRule type="cellIs" dxfId="163" priority="246" operator="greaterThan">
      <formula>0</formula>
    </cfRule>
  </conditionalFormatting>
  <conditionalFormatting sqref="B8">
    <cfRule type="cellIs" dxfId="162" priority="247" operator="lessThan">
      <formula>0</formula>
    </cfRule>
  </conditionalFormatting>
  <conditionalFormatting sqref="B8">
    <cfRule type="cellIs" dxfId="161" priority="248" operator="greaterThan">
      <formula>0</formula>
    </cfRule>
  </conditionalFormatting>
  <conditionalFormatting sqref="B8">
    <cfRule type="cellIs" dxfId="160" priority="249" operator="lessThan">
      <formula>0</formula>
    </cfRule>
  </conditionalFormatting>
  <conditionalFormatting sqref="B6:B7">
    <cfRule type="cellIs" dxfId="159" priority="202" operator="greaterThan">
      <formula>0</formula>
    </cfRule>
  </conditionalFormatting>
  <conditionalFormatting sqref="B6:B7">
    <cfRule type="cellIs" dxfId="158" priority="203" operator="lessThan">
      <formula>0</formula>
    </cfRule>
  </conditionalFormatting>
  <conditionalFormatting sqref="B6:B7">
    <cfRule type="cellIs" dxfId="157" priority="204" operator="greaterThan">
      <formula>0</formula>
    </cfRule>
  </conditionalFormatting>
  <conditionalFormatting sqref="B6:B7">
    <cfRule type="cellIs" dxfId="156" priority="205" operator="lessThan">
      <formula>0</formula>
    </cfRule>
  </conditionalFormatting>
  <conditionalFormatting sqref="B9:B10">
    <cfRule type="cellIs" dxfId="155" priority="242" operator="greaterThan">
      <formula>0</formula>
    </cfRule>
  </conditionalFormatting>
  <conditionalFormatting sqref="B9:B10">
    <cfRule type="cellIs" dxfId="154" priority="243" operator="lessThan">
      <formula>0</formula>
    </cfRule>
  </conditionalFormatting>
  <conditionalFormatting sqref="B9:B10">
    <cfRule type="cellIs" dxfId="153" priority="244" operator="greaterThan">
      <formula>0</formula>
    </cfRule>
  </conditionalFormatting>
  <conditionalFormatting sqref="B9:B10">
    <cfRule type="cellIs" dxfId="152" priority="245" operator="lessThan">
      <formula>0</formula>
    </cfRule>
  </conditionalFormatting>
  <conditionalFormatting sqref="B10">
    <cfRule type="cellIs" dxfId="151" priority="238" operator="greaterThan">
      <formula>0</formula>
    </cfRule>
  </conditionalFormatting>
  <conditionalFormatting sqref="B10">
    <cfRule type="cellIs" dxfId="150" priority="239" operator="lessThan">
      <formula>0</formula>
    </cfRule>
  </conditionalFormatting>
  <conditionalFormatting sqref="B10">
    <cfRule type="cellIs" dxfId="149" priority="240" operator="greaterThan">
      <formula>0</formula>
    </cfRule>
  </conditionalFormatting>
  <conditionalFormatting sqref="B10">
    <cfRule type="cellIs" dxfId="148" priority="241" operator="lessThan">
      <formula>0</formula>
    </cfRule>
  </conditionalFormatting>
  <conditionalFormatting sqref="B10">
    <cfRule type="cellIs" dxfId="147" priority="234" operator="greaterThan">
      <formula>0</formula>
    </cfRule>
  </conditionalFormatting>
  <conditionalFormatting sqref="B10">
    <cfRule type="cellIs" dxfId="146" priority="235" operator="lessThan">
      <formula>0</formula>
    </cfRule>
  </conditionalFormatting>
  <conditionalFormatting sqref="B10">
    <cfRule type="cellIs" dxfId="145" priority="236" operator="greaterThan">
      <formula>0</formula>
    </cfRule>
  </conditionalFormatting>
  <conditionalFormatting sqref="B10">
    <cfRule type="cellIs" dxfId="144" priority="237" operator="lessThan">
      <formula>0</formula>
    </cfRule>
  </conditionalFormatting>
  <conditionalFormatting sqref="B9">
    <cfRule type="cellIs" dxfId="143" priority="230" operator="greaterThan">
      <formula>0</formula>
    </cfRule>
  </conditionalFormatting>
  <conditionalFormatting sqref="B9">
    <cfRule type="cellIs" dxfId="142" priority="231" operator="lessThan">
      <formula>0</formula>
    </cfRule>
  </conditionalFormatting>
  <conditionalFormatting sqref="B9">
    <cfRule type="cellIs" dxfId="141" priority="232" operator="greaterThan">
      <formula>0</formula>
    </cfRule>
  </conditionalFormatting>
  <conditionalFormatting sqref="B9">
    <cfRule type="cellIs" dxfId="140" priority="233" operator="lessThan">
      <formula>0</formula>
    </cfRule>
  </conditionalFormatting>
  <conditionalFormatting sqref="B9:B10">
    <cfRule type="cellIs" dxfId="139" priority="226" operator="greaterThan">
      <formula>0</formula>
    </cfRule>
  </conditionalFormatting>
  <conditionalFormatting sqref="B9:B10">
    <cfRule type="cellIs" dxfId="138" priority="227" operator="lessThan">
      <formula>0</formula>
    </cfRule>
  </conditionalFormatting>
  <conditionalFormatting sqref="B9:B10">
    <cfRule type="cellIs" dxfId="137" priority="228" operator="greaterThan">
      <formula>0</formula>
    </cfRule>
  </conditionalFormatting>
  <conditionalFormatting sqref="B9:B10">
    <cfRule type="cellIs" dxfId="136" priority="229" operator="lessThan">
      <formula>0</formula>
    </cfRule>
  </conditionalFormatting>
  <conditionalFormatting sqref="B9:B10">
    <cfRule type="cellIs" dxfId="135" priority="222" operator="greaterThan">
      <formula>0</formula>
    </cfRule>
  </conditionalFormatting>
  <conditionalFormatting sqref="B9:B10">
    <cfRule type="cellIs" dxfId="134" priority="223" operator="lessThan">
      <formula>0</formula>
    </cfRule>
  </conditionalFormatting>
  <conditionalFormatting sqref="B9:B10">
    <cfRule type="cellIs" dxfId="133" priority="224" operator="greaterThan">
      <formula>0</formula>
    </cfRule>
  </conditionalFormatting>
  <conditionalFormatting sqref="B9:B10">
    <cfRule type="cellIs" dxfId="132" priority="225" operator="lessThan">
      <formula>0</formula>
    </cfRule>
  </conditionalFormatting>
  <conditionalFormatting sqref="B6:B7">
    <cfRule type="cellIs" dxfId="131" priority="218" operator="greaterThan">
      <formula>0</formula>
    </cfRule>
  </conditionalFormatting>
  <conditionalFormatting sqref="B6:B7">
    <cfRule type="cellIs" dxfId="130" priority="219" operator="lessThan">
      <formula>0</formula>
    </cfRule>
  </conditionalFormatting>
  <conditionalFormatting sqref="B6:B7">
    <cfRule type="cellIs" dxfId="129" priority="220" operator="greaterThan">
      <formula>0</formula>
    </cfRule>
  </conditionalFormatting>
  <conditionalFormatting sqref="B6:B7">
    <cfRule type="cellIs" dxfId="128" priority="221" operator="lessThan">
      <formula>0</formula>
    </cfRule>
  </conditionalFormatting>
  <conditionalFormatting sqref="B6:B7">
    <cfRule type="cellIs" dxfId="127" priority="214" operator="greaterThan">
      <formula>0</formula>
    </cfRule>
  </conditionalFormatting>
  <conditionalFormatting sqref="B6:B7">
    <cfRule type="cellIs" dxfId="126" priority="215" operator="lessThan">
      <formula>0</formula>
    </cfRule>
  </conditionalFormatting>
  <conditionalFormatting sqref="B6:B7">
    <cfRule type="cellIs" dxfId="125" priority="216" operator="greaterThan">
      <formula>0</formula>
    </cfRule>
  </conditionalFormatting>
  <conditionalFormatting sqref="B6:B7">
    <cfRule type="cellIs" dxfId="124" priority="217" operator="lessThan">
      <formula>0</formula>
    </cfRule>
  </conditionalFormatting>
  <conditionalFormatting sqref="B6:B7">
    <cfRule type="cellIs" dxfId="123" priority="210" operator="greaterThan">
      <formula>0</formula>
    </cfRule>
  </conditionalFormatting>
  <conditionalFormatting sqref="B6:B7">
    <cfRule type="cellIs" dxfId="122" priority="211" operator="lessThan">
      <formula>0</formula>
    </cfRule>
  </conditionalFormatting>
  <conditionalFormatting sqref="B6:B7">
    <cfRule type="cellIs" dxfId="121" priority="212" operator="greaterThan">
      <formula>0</formula>
    </cfRule>
  </conditionalFormatting>
  <conditionalFormatting sqref="B6:B7">
    <cfRule type="cellIs" dxfId="120" priority="213" operator="lessThan">
      <formula>0</formula>
    </cfRule>
  </conditionalFormatting>
  <conditionalFormatting sqref="B6:B7">
    <cfRule type="cellIs" dxfId="119" priority="206" operator="greaterThan">
      <formula>0</formula>
    </cfRule>
  </conditionalFormatting>
  <conditionalFormatting sqref="B6:B7">
    <cfRule type="cellIs" dxfId="118" priority="207" operator="lessThan">
      <formula>0</formula>
    </cfRule>
  </conditionalFormatting>
  <conditionalFormatting sqref="B6:B7">
    <cfRule type="cellIs" dxfId="117" priority="208" operator="greaterThan">
      <formula>0</formula>
    </cfRule>
  </conditionalFormatting>
  <conditionalFormatting sqref="B6:B7">
    <cfRule type="cellIs" dxfId="116" priority="209" operator="lessThan">
      <formula>0</formula>
    </cfRule>
  </conditionalFormatting>
  <conditionalFormatting sqref="B6:B7">
    <cfRule type="cellIs" dxfId="115" priority="198" operator="greaterThan">
      <formula>0</formula>
    </cfRule>
  </conditionalFormatting>
  <conditionalFormatting sqref="B6:B7">
    <cfRule type="cellIs" dxfId="114" priority="199" operator="lessThan">
      <formula>0</formula>
    </cfRule>
  </conditionalFormatting>
  <conditionalFormatting sqref="B6:B7">
    <cfRule type="cellIs" dxfId="113" priority="200" operator="greaterThan">
      <formula>0</formula>
    </cfRule>
  </conditionalFormatting>
  <conditionalFormatting sqref="B6:B7">
    <cfRule type="cellIs" dxfId="112" priority="201" operator="lessThan">
      <formula>0</formula>
    </cfRule>
  </conditionalFormatting>
  <conditionalFormatting sqref="B6:B7">
    <cfRule type="cellIs" dxfId="111" priority="194" operator="greaterThan">
      <formula>0</formula>
    </cfRule>
  </conditionalFormatting>
  <conditionalFormatting sqref="B6:B7">
    <cfRule type="cellIs" dxfId="110" priority="195" operator="lessThan">
      <formula>0</formula>
    </cfRule>
  </conditionalFormatting>
  <conditionalFormatting sqref="B6:B7">
    <cfRule type="cellIs" dxfId="109" priority="196" operator="greaterThan">
      <formula>0</formula>
    </cfRule>
  </conditionalFormatting>
  <conditionalFormatting sqref="B6:B7">
    <cfRule type="cellIs" dxfId="108" priority="197" operator="lessThan">
      <formula>0</formula>
    </cfRule>
  </conditionalFormatting>
  <conditionalFormatting sqref="B19">
    <cfRule type="cellIs" dxfId="107" priority="188" operator="greaterThan">
      <formula>0</formula>
    </cfRule>
  </conditionalFormatting>
  <conditionalFormatting sqref="B19">
    <cfRule type="cellIs" dxfId="106" priority="189" operator="lessThan">
      <formula>0</formula>
    </cfRule>
  </conditionalFormatting>
  <conditionalFormatting sqref="B19">
    <cfRule type="cellIs" dxfId="105" priority="190" operator="greaterThan">
      <formula>0</formula>
    </cfRule>
  </conditionalFormatting>
  <conditionalFormatting sqref="B19">
    <cfRule type="cellIs" dxfId="104" priority="191" operator="lessThan">
      <formula>0</formula>
    </cfRule>
  </conditionalFormatting>
  <conditionalFormatting sqref="B19">
    <cfRule type="cellIs" dxfId="103" priority="184" operator="greaterThan">
      <formula>0</formula>
    </cfRule>
  </conditionalFormatting>
  <conditionalFormatting sqref="B19">
    <cfRule type="cellIs" dxfId="102" priority="185" operator="lessThan">
      <formula>0</formula>
    </cfRule>
  </conditionalFormatting>
  <conditionalFormatting sqref="B19">
    <cfRule type="cellIs" dxfId="101" priority="186" operator="greaterThan">
      <formula>0</formula>
    </cfRule>
  </conditionalFormatting>
  <conditionalFormatting sqref="B19">
    <cfRule type="cellIs" dxfId="100" priority="187" operator="lessThan">
      <formula>0</formula>
    </cfRule>
  </conditionalFormatting>
  <conditionalFormatting sqref="B3">
    <cfRule type="cellIs" dxfId="99" priority="180" operator="greaterThan">
      <formula>0</formula>
    </cfRule>
  </conditionalFormatting>
  <conditionalFormatting sqref="B3">
    <cfRule type="cellIs" dxfId="98" priority="181" operator="lessThan">
      <formula>0</formula>
    </cfRule>
  </conditionalFormatting>
  <conditionalFormatting sqref="B3">
    <cfRule type="cellIs" dxfId="97" priority="182" operator="greaterThan">
      <formula>0</formula>
    </cfRule>
  </conditionalFormatting>
  <conditionalFormatting sqref="B3">
    <cfRule type="cellIs" dxfId="96" priority="183" operator="lessThan">
      <formula>0</formula>
    </cfRule>
  </conditionalFormatting>
  <conditionalFormatting sqref="B3">
    <cfRule type="cellIs" dxfId="95" priority="176" operator="greaterThan">
      <formula>0</formula>
    </cfRule>
  </conditionalFormatting>
  <conditionalFormatting sqref="B3">
    <cfRule type="cellIs" dxfId="94" priority="177" operator="lessThan">
      <formula>0</formula>
    </cfRule>
  </conditionalFormatting>
  <conditionalFormatting sqref="B3">
    <cfRule type="cellIs" dxfId="93" priority="178" operator="greaterThan">
      <formula>0</formula>
    </cfRule>
  </conditionalFormatting>
  <conditionalFormatting sqref="B3">
    <cfRule type="cellIs" dxfId="92" priority="179" operator="lessThan">
      <formula>0</formula>
    </cfRule>
  </conditionalFormatting>
  <conditionalFormatting sqref="B3">
    <cfRule type="cellIs" dxfId="91" priority="172" operator="greaterThan">
      <formula>0</formula>
    </cfRule>
  </conditionalFormatting>
  <conditionalFormatting sqref="B3">
    <cfRule type="cellIs" dxfId="90" priority="173" operator="lessThan">
      <formula>0</formula>
    </cfRule>
  </conditionalFormatting>
  <conditionalFormatting sqref="B3">
    <cfRule type="cellIs" dxfId="89" priority="174" operator="greaterThan">
      <formula>0</formula>
    </cfRule>
  </conditionalFormatting>
  <conditionalFormatting sqref="B3">
    <cfRule type="cellIs" dxfId="88" priority="175" operator="lessThan">
      <formula>0</formula>
    </cfRule>
  </conditionalFormatting>
  <conditionalFormatting sqref="B3">
    <cfRule type="cellIs" dxfId="87" priority="168" operator="greaterThan">
      <formula>0</formula>
    </cfRule>
  </conditionalFormatting>
  <conditionalFormatting sqref="B3">
    <cfRule type="cellIs" dxfId="86" priority="169" operator="lessThan">
      <formula>0</formula>
    </cfRule>
  </conditionalFormatting>
  <conditionalFormatting sqref="B3">
    <cfRule type="cellIs" dxfId="85" priority="170" operator="greaterThan">
      <formula>0</formula>
    </cfRule>
  </conditionalFormatting>
  <conditionalFormatting sqref="B3">
    <cfRule type="cellIs" dxfId="84" priority="171" operator="lessThan">
      <formula>0</formula>
    </cfRule>
  </conditionalFormatting>
  <conditionalFormatting sqref="B7">
    <cfRule type="cellIs" dxfId="83" priority="164" operator="greaterThan">
      <formula>0</formula>
    </cfRule>
  </conditionalFormatting>
  <conditionalFormatting sqref="B7">
    <cfRule type="cellIs" dxfId="82" priority="165" operator="lessThan">
      <formula>0</formula>
    </cfRule>
  </conditionalFormatting>
  <conditionalFormatting sqref="B7">
    <cfRule type="cellIs" dxfId="81" priority="166" operator="greaterThan">
      <formula>0</formula>
    </cfRule>
  </conditionalFormatting>
  <conditionalFormatting sqref="B7">
    <cfRule type="cellIs" dxfId="80" priority="167" operator="lessThan">
      <formula>0</formula>
    </cfRule>
  </conditionalFormatting>
  <conditionalFormatting sqref="B7">
    <cfRule type="cellIs" dxfId="79" priority="160" operator="greaterThan">
      <formula>0</formula>
    </cfRule>
  </conditionalFormatting>
  <conditionalFormatting sqref="B7">
    <cfRule type="cellIs" dxfId="78" priority="161" operator="lessThan">
      <formula>0</formula>
    </cfRule>
  </conditionalFormatting>
  <conditionalFormatting sqref="B7">
    <cfRule type="cellIs" dxfId="77" priority="162" operator="greaterThan">
      <formula>0</formula>
    </cfRule>
  </conditionalFormatting>
  <conditionalFormatting sqref="B7">
    <cfRule type="cellIs" dxfId="76" priority="163" operator="lessThan">
      <formula>0</formula>
    </cfRule>
  </conditionalFormatting>
  <conditionalFormatting sqref="B7">
    <cfRule type="cellIs" dxfId="75" priority="156" operator="greaterThan">
      <formula>0</formula>
    </cfRule>
  </conditionalFormatting>
  <conditionalFormatting sqref="B7">
    <cfRule type="cellIs" dxfId="74" priority="157" operator="lessThan">
      <formula>0</formula>
    </cfRule>
  </conditionalFormatting>
  <conditionalFormatting sqref="B7">
    <cfRule type="cellIs" dxfId="73" priority="158" operator="greaterThan">
      <formula>0</formula>
    </cfRule>
  </conditionalFormatting>
  <conditionalFormatting sqref="B7">
    <cfRule type="cellIs" dxfId="72" priority="159" operator="lessThan">
      <formula>0</formula>
    </cfRule>
  </conditionalFormatting>
  <conditionalFormatting sqref="B7">
    <cfRule type="cellIs" dxfId="71" priority="152" operator="greaterThan">
      <formula>0</formula>
    </cfRule>
  </conditionalFormatting>
  <conditionalFormatting sqref="B7">
    <cfRule type="cellIs" dxfId="70" priority="153" operator="lessThan">
      <formula>0</formula>
    </cfRule>
  </conditionalFormatting>
  <conditionalFormatting sqref="B7">
    <cfRule type="cellIs" dxfId="69" priority="154" operator="greaterThan">
      <formula>0</formula>
    </cfRule>
  </conditionalFormatting>
  <conditionalFormatting sqref="B7">
    <cfRule type="cellIs" dxfId="68" priority="155" operator="lessThan">
      <formula>0</formula>
    </cfRule>
  </conditionalFormatting>
  <conditionalFormatting sqref="B7">
    <cfRule type="cellIs" dxfId="67" priority="148" operator="greaterThan">
      <formula>0</formula>
    </cfRule>
  </conditionalFormatting>
  <conditionalFormatting sqref="B7">
    <cfRule type="cellIs" dxfId="66" priority="149" operator="lessThan">
      <formula>0</formula>
    </cfRule>
  </conditionalFormatting>
  <conditionalFormatting sqref="B7">
    <cfRule type="cellIs" dxfId="65" priority="150" operator="greaterThan">
      <formula>0</formula>
    </cfRule>
  </conditionalFormatting>
  <conditionalFormatting sqref="B7">
    <cfRule type="cellIs" dxfId="64" priority="151" operator="lessThan">
      <formula>0</formula>
    </cfRule>
  </conditionalFormatting>
  <conditionalFormatting sqref="B7">
    <cfRule type="cellIs" dxfId="63" priority="144" operator="greaterThan">
      <formula>0</formula>
    </cfRule>
  </conditionalFormatting>
  <conditionalFormatting sqref="B7">
    <cfRule type="cellIs" dxfId="62" priority="145" operator="lessThan">
      <formula>0</formula>
    </cfRule>
  </conditionalFormatting>
  <conditionalFormatting sqref="B7">
    <cfRule type="cellIs" dxfId="61" priority="146" operator="greaterThan">
      <formula>0</formula>
    </cfRule>
  </conditionalFormatting>
  <conditionalFormatting sqref="B7">
    <cfRule type="cellIs" dxfId="60" priority="147" operator="lessThan">
      <formula>0</formula>
    </cfRule>
  </conditionalFormatting>
  <conditionalFormatting sqref="B7">
    <cfRule type="cellIs" dxfId="59" priority="140" operator="greaterThan">
      <formula>0</formula>
    </cfRule>
  </conditionalFormatting>
  <conditionalFormatting sqref="B7">
    <cfRule type="cellIs" dxfId="58" priority="141" operator="lessThan">
      <formula>0</formula>
    </cfRule>
  </conditionalFormatting>
  <conditionalFormatting sqref="B7">
    <cfRule type="cellIs" dxfId="57" priority="142" operator="greaterThan">
      <formula>0</formula>
    </cfRule>
  </conditionalFormatting>
  <conditionalFormatting sqref="B7">
    <cfRule type="cellIs" dxfId="56" priority="143" operator="lessThan">
      <formula>0</formula>
    </cfRule>
  </conditionalFormatting>
  <conditionalFormatting sqref="B7">
    <cfRule type="cellIs" dxfId="55" priority="136" operator="greaterThan">
      <formula>0</formula>
    </cfRule>
  </conditionalFormatting>
  <conditionalFormatting sqref="B7">
    <cfRule type="cellIs" dxfId="54" priority="137" operator="lessThan">
      <formula>0</formula>
    </cfRule>
  </conditionalFormatting>
  <conditionalFormatting sqref="B7">
    <cfRule type="cellIs" dxfId="53" priority="138" operator="greaterThan">
      <formula>0</formula>
    </cfRule>
  </conditionalFormatting>
  <conditionalFormatting sqref="B7">
    <cfRule type="cellIs" dxfId="52" priority="139" operator="lessThan">
      <formula>0</formula>
    </cfRule>
  </conditionalFormatting>
  <conditionalFormatting sqref="B7">
    <cfRule type="cellIs" dxfId="51" priority="132" operator="greaterThan">
      <formula>0</formula>
    </cfRule>
  </conditionalFormatting>
  <conditionalFormatting sqref="B7">
    <cfRule type="cellIs" dxfId="50" priority="133" operator="lessThan">
      <formula>0</formula>
    </cfRule>
  </conditionalFormatting>
  <conditionalFormatting sqref="B7">
    <cfRule type="cellIs" dxfId="49" priority="134" operator="greaterThan">
      <formula>0</formula>
    </cfRule>
  </conditionalFormatting>
  <conditionalFormatting sqref="B7">
    <cfRule type="cellIs" dxfId="48" priority="135" operator="lessThan">
      <formula>0</formula>
    </cfRule>
  </conditionalFormatting>
  <conditionalFormatting sqref="AE3:AE6">
    <cfRule type="cellIs" dxfId="47" priority="131" operator="lessThan">
      <formula>0.01</formula>
    </cfRule>
  </conditionalFormatting>
  <conditionalFormatting sqref="S3">
    <cfRule type="cellIs" dxfId="46" priority="130" operator="lessThan">
      <formula>0.01</formula>
    </cfRule>
  </conditionalFormatting>
  <conditionalFormatting sqref="AO3:AO42">
    <cfRule type="expression" dxfId="45" priority="129">
      <formula>$L$18-$R3&lt;0</formula>
    </cfRule>
  </conditionalFormatting>
  <conditionalFormatting sqref="AO3:AO42">
    <cfRule type="expression" dxfId="44" priority="128">
      <formula>$L$18-$R3&gt;0</formula>
    </cfRule>
  </conditionalFormatting>
  <conditionalFormatting sqref="Q3">
    <cfRule type="cellIs" dxfId="43" priority="123" operator="equal">
      <formula>0</formula>
    </cfRule>
  </conditionalFormatting>
  <conditionalFormatting sqref="AC3:AC42">
    <cfRule type="cellIs" dxfId="42" priority="122" operator="equal">
      <formula>0</formula>
    </cfRule>
  </conditionalFormatting>
  <conditionalFormatting sqref="Y3:Y42">
    <cfRule type="cellIs" dxfId="41" priority="119" operator="equal">
      <formula>0</formula>
    </cfRule>
  </conditionalFormatting>
  <conditionalFormatting sqref="Z3:Z42">
    <cfRule type="cellIs" dxfId="40" priority="118" operator="equal">
      <formula>0</formula>
    </cfRule>
  </conditionalFormatting>
  <conditionalFormatting sqref="AH3:AI42">
    <cfRule type="cellIs" dxfId="39" priority="113" operator="equal">
      <formula>0</formula>
    </cfRule>
  </conditionalFormatting>
  <conditionalFormatting sqref="AK3:AK42">
    <cfRule type="cellIs" dxfId="38" priority="112" operator="equal">
      <formula>0</formula>
    </cfRule>
  </conditionalFormatting>
  <conditionalFormatting sqref="AL3:AL42">
    <cfRule type="cellIs" dxfId="37" priority="111" operator="equal">
      <formula>0</formula>
    </cfRule>
  </conditionalFormatting>
  <conditionalFormatting sqref="AD23:AD26">
    <cfRule type="expression" dxfId="36" priority="109">
      <formula>AC23&gt;0</formula>
    </cfRule>
  </conditionalFormatting>
  <conditionalFormatting sqref="AD23:AD26">
    <cfRule type="expression" dxfId="35" priority="110">
      <formula>AC23&lt;0</formula>
    </cfRule>
  </conditionalFormatting>
  <conditionalFormatting sqref="AE7:AE8">
    <cfRule type="cellIs" dxfId="34" priority="108" operator="lessThan">
      <formula>0.01</formula>
    </cfRule>
  </conditionalFormatting>
  <conditionalFormatting sqref="AE9:AE42">
    <cfRule type="cellIs" dxfId="33" priority="74" operator="lessThan">
      <formula>0.01</formula>
    </cfRule>
  </conditionalFormatting>
  <conditionalFormatting sqref="R3">
    <cfRule type="expression" dxfId="32" priority="72">
      <formula>Q3&gt;0</formula>
    </cfRule>
  </conditionalFormatting>
  <conditionalFormatting sqref="R3">
    <cfRule type="expression" dxfId="31" priority="73">
      <formula>Q3&lt;0</formula>
    </cfRule>
  </conditionalFormatting>
  <conditionalFormatting sqref="N36">
    <cfRule type="cellIs" dxfId="30" priority="71" operator="lessThan">
      <formula>0</formula>
    </cfRule>
  </conditionalFormatting>
  <conditionalFormatting sqref="AD3:AD12">
    <cfRule type="expression" dxfId="29" priority="67">
      <formula>AC3&gt;0</formula>
    </cfRule>
  </conditionalFormatting>
  <conditionalFormatting sqref="AD3:AD12">
    <cfRule type="expression" dxfId="28" priority="68">
      <formula>AC3&lt;0</formula>
    </cfRule>
  </conditionalFormatting>
  <conditionalFormatting sqref="Q4:Q42">
    <cfRule type="cellIs" dxfId="27" priority="58" operator="greaterThan">
      <formula>0</formula>
    </cfRule>
  </conditionalFormatting>
  <conditionalFormatting sqref="Q4:Q42">
    <cfRule type="cellIs" dxfId="26" priority="59" operator="lessThan">
      <formula>0</formula>
    </cfRule>
  </conditionalFormatting>
  <conditionalFormatting sqref="Q4:Q42">
    <cfRule type="cellIs" dxfId="25" priority="60" operator="greaterThan">
      <formula>0</formula>
    </cfRule>
  </conditionalFormatting>
  <conditionalFormatting sqref="Q4:Q42">
    <cfRule type="cellIs" dxfId="24" priority="61" operator="lessThan">
      <formula>0</formula>
    </cfRule>
  </conditionalFormatting>
  <conditionalFormatting sqref="S4:S42">
    <cfRule type="cellIs" dxfId="23" priority="51" operator="lessThan">
      <formula>0.01</formula>
    </cfRule>
  </conditionalFormatting>
  <conditionalFormatting sqref="Q4:Q42">
    <cfRule type="cellIs" dxfId="22" priority="50" operator="equal">
      <formula>0</formula>
    </cfRule>
  </conditionalFormatting>
  <conditionalFormatting sqref="R3:R42">
    <cfRule type="expression" dxfId="21" priority="46">
      <formula>Q3&gt;0</formula>
    </cfRule>
  </conditionalFormatting>
  <conditionalFormatting sqref="R3:R42">
    <cfRule type="expression" dxfId="20" priority="47">
      <formula>Q3&lt;0</formula>
    </cfRule>
  </conditionalFormatting>
  <conditionalFormatting sqref="AM3">
    <cfRule type="cellIs" dxfId="19" priority="43" operator="equal">
      <formula>0</formula>
    </cfRule>
  </conditionalFormatting>
  <conditionalFormatting sqref="AM4:AM42">
    <cfRule type="cellIs" dxfId="18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7" priority="25" operator="equal">
      <formula>0</formula>
    </cfRule>
  </conditionalFormatting>
  <conditionalFormatting sqref="X3:X42">
    <cfRule type="cellIs" dxfId="16" priority="21" operator="equal">
      <formula>0</formula>
    </cfRule>
  </conditionalFormatting>
  <conditionalFormatting sqref="R13">
    <cfRule type="expression" dxfId="15" priority="13">
      <formula>Q13&gt;0</formula>
    </cfRule>
  </conditionalFormatting>
  <conditionalFormatting sqref="R13">
    <cfRule type="expression" dxfId="14" priority="14">
      <formula>Q13&lt;0</formula>
    </cfRule>
  </conditionalFormatting>
  <conditionalFormatting sqref="R13">
    <cfRule type="expression" dxfId="13" priority="11">
      <formula>Q13&gt;0</formula>
    </cfRule>
  </conditionalFormatting>
  <conditionalFormatting sqref="R13">
    <cfRule type="expression" dxfId="12" priority="12">
      <formula>Q13&lt;0</formula>
    </cfRule>
  </conditionalFormatting>
  <conditionalFormatting sqref="AD13:AD22">
    <cfRule type="expression" dxfId="11" priority="9">
      <formula>AC13&gt;0</formula>
    </cfRule>
  </conditionalFormatting>
  <conditionalFormatting sqref="AD13:AD22">
    <cfRule type="expression" dxfId="10" priority="10">
      <formula>AC13&lt;0</formula>
    </cfRule>
  </conditionalFormatting>
  <conditionalFormatting sqref="AD13">
    <cfRule type="expression" dxfId="9" priority="7">
      <formula>AC13&gt;0</formula>
    </cfRule>
  </conditionalFormatting>
  <conditionalFormatting sqref="AD13">
    <cfRule type="expression" dxfId="8" priority="8">
      <formula>AC13&lt;0</formula>
    </cfRule>
  </conditionalFormatting>
  <conditionalFormatting sqref="AD13">
    <cfRule type="expression" dxfId="7" priority="5">
      <formula>AC13&gt;0</formula>
    </cfRule>
  </conditionalFormatting>
  <conditionalFormatting sqref="AD13">
    <cfRule type="expression" dxfId="6" priority="6">
      <formula>AC13&lt;0</formula>
    </cfRule>
  </conditionalFormatting>
  <conditionalFormatting sqref="R10">
    <cfRule type="expression" dxfId="5" priority="3">
      <formula>Q10&gt;0</formula>
    </cfRule>
  </conditionalFormatting>
  <conditionalFormatting sqref="R10">
    <cfRule type="expression" dxfId="4" priority="4">
      <formula>Q10&lt;0</formula>
    </cfRule>
  </conditionalFormatting>
  <conditionalFormatting sqref="R10">
    <cfRule type="expression" dxfId="3" priority="1">
      <formula>Q10&gt;0</formula>
    </cfRule>
  </conditionalFormatting>
  <conditionalFormatting sqref="R10">
    <cfRule type="expression" dxfId="2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B16" sqref="B16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641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642</v>
      </c>
      <c r="B3" s="19"/>
      <c r="C3" s="18"/>
      <c r="D3" s="19"/>
      <c r="E3" s="18" t="s">
        <v>335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643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644</v>
      </c>
      <c r="B5" s="19"/>
      <c r="C5" s="18"/>
      <c r="D5" s="19"/>
      <c r="E5" s="18" t="s">
        <v>2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645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646</v>
      </c>
      <c r="B7" s="19"/>
      <c r="C7" s="18"/>
      <c r="D7" s="19"/>
      <c r="E7" s="18" t="s">
        <v>3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647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648</v>
      </c>
      <c r="B9" s="19"/>
      <c r="C9" s="18"/>
      <c r="D9" s="19"/>
      <c r="E9" s="18" t="s">
        <v>4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649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91" t="s">
        <v>650</v>
      </c>
      <c r="B11" s="19"/>
      <c r="C11" s="18"/>
      <c r="D11" s="19"/>
      <c r="E11" s="18" t="s">
        <v>5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651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652</v>
      </c>
      <c r="B13" s="19"/>
      <c r="C13" s="18"/>
      <c r="D13" s="19"/>
      <c r="E13" s="18" t="s">
        <v>6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653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654</v>
      </c>
      <c r="B15" s="19"/>
      <c r="C15" s="18"/>
      <c r="D15" s="19"/>
      <c r="E15" s="18" t="s">
        <v>7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655</v>
      </c>
      <c r="B16" s="19"/>
      <c r="C16" s="18"/>
      <c r="D16" s="19"/>
      <c r="E16" s="18" t="s">
        <v>579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656</v>
      </c>
      <c r="B17" s="19"/>
      <c r="C17" s="18"/>
      <c r="D17" s="19"/>
      <c r="E17" s="18" t="s">
        <v>636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657</v>
      </c>
      <c r="B18" s="19"/>
      <c r="C18" s="18"/>
      <c r="D18" s="19"/>
      <c r="E18" s="18" t="s">
        <v>580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658</v>
      </c>
      <c r="B19" s="19"/>
      <c r="C19" s="18"/>
      <c r="D19" s="19"/>
      <c r="E19" s="18" t="s">
        <v>581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659</v>
      </c>
      <c r="B20" s="19"/>
      <c r="C20" s="18"/>
      <c r="D20" s="19"/>
      <c r="E20" s="18" t="s">
        <v>582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90" t="s">
        <v>660</v>
      </c>
      <c r="B21" s="19"/>
      <c r="C21" s="18"/>
      <c r="D21" s="19"/>
      <c r="E21" s="18" t="s">
        <v>583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666</v>
      </c>
      <c r="B22" s="19"/>
      <c r="C22" s="18"/>
      <c r="D22" s="19"/>
      <c r="E22" s="18" t="s">
        <v>591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667</v>
      </c>
      <c r="B23" s="565"/>
      <c r="C23" s="18"/>
      <c r="D23" s="19"/>
      <c r="E23" s="18" t="s">
        <v>637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668</v>
      </c>
      <c r="B24" s="19"/>
      <c r="C24" s="18"/>
      <c r="D24" s="19"/>
      <c r="E24" s="18" t="s">
        <v>592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669</v>
      </c>
      <c r="B25" s="19"/>
      <c r="C25" s="18"/>
      <c r="D25" s="19"/>
      <c r="E25" s="18" t="s">
        <v>593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670</v>
      </c>
      <c r="B26" s="19"/>
      <c r="C26" s="18"/>
      <c r="D26" s="19"/>
      <c r="E26" s="18" t="s">
        <v>594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661</v>
      </c>
      <c r="B27" s="19"/>
      <c r="C27" s="18"/>
      <c r="D27" s="19"/>
      <c r="E27" s="18" t="s">
        <v>595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662</v>
      </c>
      <c r="B28" s="19"/>
      <c r="C28" s="18"/>
      <c r="D28" s="19"/>
      <c r="E28" s="18" t="s">
        <v>546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663</v>
      </c>
      <c r="B29" s="19"/>
      <c r="C29" s="18"/>
      <c r="D29" s="19"/>
      <c r="E29" s="18" t="s">
        <v>182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664</v>
      </c>
      <c r="B30" s="19"/>
      <c r="C30" s="18"/>
      <c r="D30" s="19"/>
      <c r="E30" s="18" t="s">
        <v>547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91" t="s">
        <v>665</v>
      </c>
      <c r="B31" s="19"/>
      <c r="C31" s="18"/>
      <c r="D31" s="19"/>
      <c r="E31" s="18" t="s">
        <v>229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548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230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540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185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541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237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542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238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543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183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544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239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545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240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549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184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550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241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551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242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552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186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553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231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554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232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555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163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556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219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557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220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561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189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562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233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563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234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558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187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559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235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560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236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564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188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565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275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566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276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567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568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569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570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571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572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535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536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537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538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539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573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574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575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576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577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578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585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586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587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588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589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590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599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600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601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602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603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604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605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606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607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608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609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610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611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612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613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614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615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616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617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618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619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620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621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622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623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624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625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626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627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628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629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630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633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634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631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632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2024-05-23T12:41:48Z</dcterms:modified>
</cp:coreProperties>
</file>