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5DE6E2C-CAD3-43C5-9F53-A34E47B5A86D}" xr6:coauthVersionLast="47" xr6:coauthVersionMax="47" xr10:uidLastSave="{00000000-0000-0000-0000-000000000000}"/>
  <bookViews>
    <workbookView xWindow="7305" yWindow="885" windowWidth="21600" windowHeight="13500" tabRatio="599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38" l="1"/>
  <c r="Y6" i="38"/>
  <c r="Y10" i="38"/>
  <c r="J24" i="38"/>
  <c r="AA11" i="38"/>
  <c r="AA10" i="38"/>
  <c r="D23" i="38"/>
  <c r="W65" i="38"/>
  <c r="W64" i="38"/>
  <c r="AA22" i="38"/>
  <c r="AB22" i="38" s="1"/>
  <c r="AA23" i="38"/>
  <c r="AB23" i="38" s="1"/>
  <c r="AA24" i="38"/>
  <c r="AB24" i="38" s="1"/>
  <c r="AA25" i="38"/>
  <c r="AB25" i="38" s="1"/>
  <c r="W75" i="38"/>
  <c r="W74" i="38"/>
  <c r="W73" i="38"/>
  <c r="W72" i="38"/>
  <c r="W71" i="38"/>
  <c r="W70" i="38"/>
  <c r="W63" i="38"/>
  <c r="W62" i="38"/>
  <c r="W61" i="38"/>
  <c r="W60" i="38"/>
  <c r="W59" i="38"/>
  <c r="W58" i="38"/>
  <c r="W51" i="38"/>
  <c r="W50" i="38"/>
  <c r="W49" i="38"/>
  <c r="W48" i="38"/>
  <c r="W47" i="38"/>
  <c r="W46" i="38"/>
  <c r="W57" i="38"/>
  <c r="W56" i="38"/>
  <c r="W55" i="38"/>
  <c r="W54" i="38"/>
  <c r="W52" i="38"/>
  <c r="W53" i="38"/>
  <c r="W66" i="38"/>
  <c r="W67" i="38"/>
  <c r="W68" i="38"/>
  <c r="W69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Y50" i="38"/>
  <c r="Y131" i="38"/>
  <c r="Y130" i="38"/>
  <c r="Y125" i="38"/>
  <c r="Y124" i="38"/>
  <c r="Y119" i="38"/>
  <c r="Y118" i="38"/>
  <c r="Y113" i="38"/>
  <c r="Y112" i="38"/>
  <c r="Y107" i="38"/>
  <c r="Y106" i="38"/>
  <c r="Y101" i="38"/>
  <c r="Y100" i="38"/>
  <c r="Y95" i="38"/>
  <c r="Y94" i="38"/>
  <c r="Y89" i="38"/>
  <c r="Y88" i="38"/>
  <c r="Y83" i="38"/>
  <c r="Y82" i="38"/>
  <c r="Y77" i="38"/>
  <c r="Y76" i="38"/>
  <c r="Y71" i="38"/>
  <c r="Y70" i="38"/>
  <c r="Y65" i="38"/>
  <c r="Y64" i="38"/>
  <c r="Y59" i="38"/>
  <c r="Y58" i="38"/>
  <c r="Y53" i="38"/>
  <c r="Y52" i="38"/>
  <c r="Y47" i="38"/>
  <c r="Y46" i="38"/>
  <c r="AA2" i="38"/>
  <c r="AA3" i="38"/>
  <c r="C4" i="38"/>
  <c r="Y45" i="38"/>
  <c r="Y44" i="38"/>
  <c r="AA42" i="38"/>
  <c r="AA44" i="38"/>
  <c r="Y135" i="38"/>
  <c r="Y134" i="38"/>
  <c r="Y133" i="38"/>
  <c r="Y132" i="38"/>
  <c r="Y129" i="38"/>
  <c r="Y128" i="38"/>
  <c r="Y127" i="38"/>
  <c r="Y126" i="38"/>
  <c r="Y123" i="38"/>
  <c r="Y122" i="38"/>
  <c r="Y121" i="38"/>
  <c r="Y120" i="38"/>
  <c r="Y117" i="38"/>
  <c r="Y116" i="38"/>
  <c r="Y115" i="38"/>
  <c r="Y114" i="38"/>
  <c r="Y111" i="38"/>
  <c r="Y110" i="38"/>
  <c r="Y109" i="38"/>
  <c r="Y108" i="38"/>
  <c r="Y105" i="38"/>
  <c r="Y104" i="38"/>
  <c r="Y103" i="38"/>
  <c r="Y102" i="38"/>
  <c r="Y99" i="38"/>
  <c r="Y98" i="38"/>
  <c r="Y97" i="38"/>
  <c r="Y96" i="38"/>
  <c r="Y93" i="38"/>
  <c r="Y92" i="38"/>
  <c r="Y91" i="38"/>
  <c r="Y90" i="38"/>
  <c r="Y87" i="38"/>
  <c r="Y86" i="38"/>
  <c r="Y85" i="38"/>
  <c r="Y84" i="38"/>
  <c r="Y81" i="38"/>
  <c r="Y80" i="38"/>
  <c r="Y79" i="38"/>
  <c r="Y78" i="38"/>
  <c r="Y75" i="38"/>
  <c r="Y74" i="38"/>
  <c r="Y73" i="38"/>
  <c r="Y72" i="38"/>
  <c r="Y69" i="38"/>
  <c r="Y68" i="38"/>
  <c r="Y67" i="38"/>
  <c r="Y66" i="38"/>
  <c r="Y63" i="38"/>
  <c r="Y62" i="38"/>
  <c r="Y61" i="38"/>
  <c r="Y60" i="38"/>
  <c r="Y57" i="38"/>
  <c r="Y56" i="38"/>
  <c r="Y55" i="38"/>
  <c r="Y54" i="38"/>
  <c r="Y51" i="38"/>
  <c r="Y48" i="38"/>
  <c r="Y49" i="38"/>
  <c r="AA136" i="38"/>
  <c r="AA130" i="38"/>
  <c r="AA124" i="38"/>
  <c r="AA118" i="38"/>
  <c r="AA112" i="38"/>
  <c r="AA106" i="38"/>
  <c r="AA100" i="38"/>
  <c r="AA94" i="38"/>
  <c r="AA88" i="38"/>
  <c r="AA82" i="38"/>
  <c r="AA76" i="38"/>
  <c r="AA70" i="38"/>
  <c r="AA64" i="38"/>
  <c r="AA58" i="38"/>
  <c r="AA52" i="38"/>
  <c r="AA46" i="38"/>
  <c r="Z137" i="38"/>
  <c r="Z136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AE1" i="38"/>
  <c r="Q48" i="46" s="1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16" i="38"/>
  <c r="AA141" i="38"/>
  <c r="AB141" i="38" s="1"/>
  <c r="AA7" i="38"/>
  <c r="AA6" i="38"/>
  <c r="AA140" i="38"/>
  <c r="AB140" i="38" s="1"/>
  <c r="AA139" i="38"/>
  <c r="AB139" i="38" s="1"/>
  <c r="AA138" i="38"/>
  <c r="AB138" i="38" s="1"/>
  <c r="AA135" i="38"/>
  <c r="AB135" i="38" s="1"/>
  <c r="AA134" i="38"/>
  <c r="AB134" i="38" s="1"/>
  <c r="AA133" i="38"/>
  <c r="AB133" i="38" s="1"/>
  <c r="AA132" i="38"/>
  <c r="AB132" i="38" s="1"/>
  <c r="AA129" i="38"/>
  <c r="AB129" i="38" s="1"/>
  <c r="AA128" i="38"/>
  <c r="AB128" i="38" s="1"/>
  <c r="AA127" i="38"/>
  <c r="AB127" i="38" s="1"/>
  <c r="AA126" i="38"/>
  <c r="AB126" i="38" s="1"/>
  <c r="AA123" i="38"/>
  <c r="AB123" i="38" s="1"/>
  <c r="AA122" i="38"/>
  <c r="AB122" i="38" s="1"/>
  <c r="AA121" i="38"/>
  <c r="AB121" i="38" s="1"/>
  <c r="AA120" i="38"/>
  <c r="AB120" i="38" s="1"/>
  <c r="AA117" i="38"/>
  <c r="AB117" i="38" s="1"/>
  <c r="AA116" i="38"/>
  <c r="AB116" i="38" s="1"/>
  <c r="AA115" i="38"/>
  <c r="AB115" i="38" s="1"/>
  <c r="AA114" i="38"/>
  <c r="AB114" i="38" s="1"/>
  <c r="AA111" i="38"/>
  <c r="AB111" i="38" s="1"/>
  <c r="AA110" i="38"/>
  <c r="AB110" i="38" s="1"/>
  <c r="AA109" i="38"/>
  <c r="AB109" i="38" s="1"/>
  <c r="AA108" i="38"/>
  <c r="AB108" i="38" s="1"/>
  <c r="AA105" i="38"/>
  <c r="AB105" i="38" s="1"/>
  <c r="AA104" i="38"/>
  <c r="AB104" i="38" s="1"/>
  <c r="AA103" i="38"/>
  <c r="AB103" i="38" s="1"/>
  <c r="AA102" i="38"/>
  <c r="AB102" i="38" s="1"/>
  <c r="AA99" i="38"/>
  <c r="AB99" i="38" s="1"/>
  <c r="AA98" i="38"/>
  <c r="AB98" i="38" s="1"/>
  <c r="AA97" i="38"/>
  <c r="AB97" i="38" s="1"/>
  <c r="AA96" i="38"/>
  <c r="AB96" i="38" s="1"/>
  <c r="AA93" i="38"/>
  <c r="AB93" i="38" s="1"/>
  <c r="AA92" i="38"/>
  <c r="AB92" i="38" s="1"/>
  <c r="AA91" i="38"/>
  <c r="AB91" i="38" s="1"/>
  <c r="AA90" i="38"/>
  <c r="AB90" i="38" s="1"/>
  <c r="AA87" i="38"/>
  <c r="AB87" i="38" s="1"/>
  <c r="AA86" i="38"/>
  <c r="AB86" i="38" s="1"/>
  <c r="AA85" i="38"/>
  <c r="AB85" i="38" s="1"/>
  <c r="AA84" i="38"/>
  <c r="AB84" i="38" s="1"/>
  <c r="AA81" i="38"/>
  <c r="AB81" i="38" s="1"/>
  <c r="AA80" i="38"/>
  <c r="AB80" i="38" s="1"/>
  <c r="AA79" i="38"/>
  <c r="AB79" i="38" s="1"/>
  <c r="AA78" i="38"/>
  <c r="AB78" i="38" s="1"/>
  <c r="Y136" i="38"/>
  <c r="Y137" i="38"/>
  <c r="Y138" i="38"/>
  <c r="Y139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Z157" i="38"/>
  <c r="Y157" i="38"/>
  <c r="Z156" i="38"/>
  <c r="Y156" i="38"/>
  <c r="Z155" i="38"/>
  <c r="Y155" i="38"/>
  <c r="Z154" i="38"/>
  <c r="Y154" i="38"/>
  <c r="Z153" i="38"/>
  <c r="Y153" i="38"/>
  <c r="Z152" i="38"/>
  <c r="Y152" i="38"/>
  <c r="Z151" i="38"/>
  <c r="Y151" i="38"/>
  <c r="Z150" i="38"/>
  <c r="Y150" i="38"/>
  <c r="Z149" i="38"/>
  <c r="Y149" i="38"/>
  <c r="Z148" i="38"/>
  <c r="Y148" i="38"/>
  <c r="Z147" i="38"/>
  <c r="Y147" i="38"/>
  <c r="Z146" i="38"/>
  <c r="Y146" i="38"/>
  <c r="Z145" i="38"/>
  <c r="Y145" i="38"/>
  <c r="Z144" i="38"/>
  <c r="Y144" i="38"/>
  <c r="Z143" i="38"/>
  <c r="Y143" i="38"/>
  <c r="Z142" i="38"/>
  <c r="Y142" i="38"/>
  <c r="AA18" i="38"/>
  <c r="AB18" i="38" s="1"/>
  <c r="AA19" i="38"/>
  <c r="AB19" i="38" s="1"/>
  <c r="AA20" i="38"/>
  <c r="AB20" i="38" s="1"/>
  <c r="AA21" i="38"/>
  <c r="AB21" i="38" s="1"/>
  <c r="AA17" i="38"/>
  <c r="AB17" i="38" s="1"/>
  <c r="AA16" i="38"/>
  <c r="AB16" i="38" s="1"/>
  <c r="AA15" i="38"/>
  <c r="AB15" i="38" s="1"/>
  <c r="AA75" i="38"/>
  <c r="AB75" i="38" s="1"/>
  <c r="AA74" i="38"/>
  <c r="AB74" i="38" s="1"/>
  <c r="AA73" i="38"/>
  <c r="AB73" i="38" s="1"/>
  <c r="AA72" i="38"/>
  <c r="AB72" i="38" s="1"/>
  <c r="AA69" i="38"/>
  <c r="AB69" i="38" s="1"/>
  <c r="AA68" i="38"/>
  <c r="AB68" i="38" s="1"/>
  <c r="AA67" i="38"/>
  <c r="AB67" i="38" s="1"/>
  <c r="AA66" i="38"/>
  <c r="AB66" i="38" s="1"/>
  <c r="AA63" i="38"/>
  <c r="AB63" i="38" s="1"/>
  <c r="AA62" i="38"/>
  <c r="AB62" i="38" s="1"/>
  <c r="AA61" i="38"/>
  <c r="AB61" i="38" s="1"/>
  <c r="AA60" i="38"/>
  <c r="AB60" i="38" s="1"/>
  <c r="AA57" i="38"/>
  <c r="AB57" i="38" s="1"/>
  <c r="AA56" i="38"/>
  <c r="AB56" i="38" s="1"/>
  <c r="AA55" i="38"/>
  <c r="AB55" i="38" s="1"/>
  <c r="AA54" i="38"/>
  <c r="AB54" i="38" s="1"/>
  <c r="AA51" i="38"/>
  <c r="AB51" i="38" s="1"/>
  <c r="AA50" i="38"/>
  <c r="AB50" i="38" s="1"/>
  <c r="AA49" i="38"/>
  <c r="AB49" i="38" s="1"/>
  <c r="AA48" i="38"/>
  <c r="AB48" i="38" s="1"/>
  <c r="AL9" i="46"/>
  <c r="AL5" i="46"/>
  <c r="AJ14" i="46"/>
  <c r="AO14" i="46" s="1"/>
  <c r="AJ13" i="46"/>
  <c r="AP13" i="46" s="1"/>
  <c r="AJ12" i="46"/>
  <c r="AK12" i="46" s="1"/>
  <c r="AJ11" i="46"/>
  <c r="AJ10" i="46"/>
  <c r="A17" i="3" s="1"/>
  <c r="AJ9" i="46"/>
  <c r="A16" i="3" s="1"/>
  <c r="AJ8" i="46"/>
  <c r="A15" i="3" s="1"/>
  <c r="AJ7" i="46"/>
  <c r="AK7" i="46" s="1"/>
  <c r="AJ6" i="46"/>
  <c r="A13" i="3" s="1"/>
  <c r="AJ5" i="46"/>
  <c r="A12" i="3" s="1"/>
  <c r="AJ4" i="46"/>
  <c r="A11" i="3" s="1"/>
  <c r="AJ3" i="46"/>
  <c r="A10" i="3" s="1"/>
  <c r="X4" i="46"/>
  <c r="AD4" i="46" s="1"/>
  <c r="X5" i="46"/>
  <c r="AB5" i="46" s="1"/>
  <c r="X6" i="46"/>
  <c r="A5" i="3" s="1"/>
  <c r="X7" i="46"/>
  <c r="A6" i="3" s="1"/>
  <c r="X8" i="46"/>
  <c r="A7" i="3" s="1"/>
  <c r="X9" i="46"/>
  <c r="A8" i="3" s="1"/>
  <c r="X10" i="46"/>
  <c r="A9" i="3" s="1"/>
  <c r="X11" i="46"/>
  <c r="X12" i="46"/>
  <c r="X13" i="46"/>
  <c r="X14" i="46"/>
  <c r="X3" i="46"/>
  <c r="AB3" i="46" s="1"/>
  <c r="A3" i="3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Z61" i="38"/>
  <c r="Z60" i="38"/>
  <c r="Z55" i="38"/>
  <c r="Z54" i="38"/>
  <c r="Z48" i="38"/>
  <c r="Z49" i="38"/>
  <c r="AD1" i="38"/>
  <c r="AA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A4" i="3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Z10" i="38" l="1"/>
  <c r="Y11" i="38"/>
  <c r="N15" i="38"/>
  <c r="J15" i="38"/>
  <c r="F15" i="38"/>
  <c r="B15" i="38"/>
  <c r="M15" i="38"/>
  <c r="I15" i="38"/>
  <c r="E15" i="38"/>
  <c r="O15" i="38"/>
  <c r="G15" i="38"/>
  <c r="L15" i="38"/>
  <c r="H15" i="38"/>
  <c r="D15" i="38"/>
  <c r="AA14" i="38"/>
  <c r="AB14" i="38" s="1"/>
  <c r="K15" i="38"/>
  <c r="C15" i="38"/>
  <c r="Y7" i="38"/>
  <c r="Z7" i="38" s="1"/>
  <c r="AL6" i="46"/>
  <c r="AP7" i="46"/>
  <c r="AK14" i="46"/>
  <c r="AN6" i="46"/>
  <c r="AK8" i="46"/>
  <c r="AO6" i="46"/>
  <c r="AP8" i="46"/>
  <c r="AN7" i="46"/>
  <c r="Y3" i="38"/>
  <c r="Y4" i="38" s="1"/>
  <c r="Y5" i="38" s="1"/>
  <c r="Z5" i="38" s="1"/>
  <c r="Z6" i="38"/>
  <c r="Z2" i="38"/>
  <c r="Z46" i="38"/>
  <c r="Z77" i="38"/>
  <c r="Z59" i="38"/>
  <c r="Z83" i="38"/>
  <c r="Z107" i="38"/>
  <c r="Z131" i="38"/>
  <c r="Z44" i="38"/>
  <c r="Z101" i="38"/>
  <c r="Z65" i="38"/>
  <c r="Z89" i="38"/>
  <c r="Z113" i="38"/>
  <c r="Z42" i="38"/>
  <c r="Z1" i="38"/>
  <c r="Z53" i="38"/>
  <c r="Z125" i="38"/>
  <c r="Z47" i="38"/>
  <c r="Z71" i="38"/>
  <c r="Z95" i="38"/>
  <c r="Z119" i="38"/>
  <c r="Z43" i="38"/>
  <c r="Z45" i="38"/>
  <c r="Z52" i="38"/>
  <c r="Z64" i="38"/>
  <c r="Z76" i="38"/>
  <c r="Z88" i="38"/>
  <c r="Z100" i="38"/>
  <c r="Z112" i="38"/>
  <c r="Z124" i="38"/>
  <c r="Z58" i="38"/>
  <c r="Z70" i="38"/>
  <c r="Z82" i="38"/>
  <c r="Z94" i="38"/>
  <c r="Z106" i="38"/>
  <c r="Z118" i="38"/>
  <c r="Z130" i="38"/>
  <c r="AL3" i="46"/>
  <c r="AN4" i="46"/>
  <c r="AP5" i="46"/>
  <c r="AL7" i="46"/>
  <c r="AN8" i="46"/>
  <c r="AP9" i="46"/>
  <c r="AO12" i="46"/>
  <c r="AM3" i="46"/>
  <c r="AO4" i="46"/>
  <c r="AK6" i="46"/>
  <c r="AM7" i="46"/>
  <c r="AO8" i="46"/>
  <c r="AK10" i="46"/>
  <c r="AM13" i="46"/>
  <c r="AN3" i="46"/>
  <c r="AP4" i="46"/>
  <c r="AL10" i="46"/>
  <c r="A14" i="3"/>
  <c r="AO3" i="46"/>
  <c r="AK5" i="46"/>
  <c r="AM6" i="46"/>
  <c r="AO7" i="46"/>
  <c r="AK9" i="46"/>
  <c r="AM10" i="46"/>
  <c r="AP3" i="46"/>
  <c r="AN10" i="46"/>
  <c r="AK4" i="46"/>
  <c r="AM5" i="46"/>
  <c r="AM9" i="46"/>
  <c r="AO10" i="46"/>
  <c r="AL4" i="46"/>
  <c r="AN5" i="46"/>
  <c r="AP6" i="46"/>
  <c r="AL8" i="46"/>
  <c r="AN9" i="46"/>
  <c r="AP10" i="46"/>
  <c r="AK3" i="46"/>
  <c r="AM4" i="46"/>
  <c r="AO5" i="46"/>
  <c r="AM8" i="46"/>
  <c r="AO9" i="46"/>
  <c r="AN11" i="46"/>
  <c r="AL12" i="46"/>
  <c r="AP12" i="46"/>
  <c r="AN13" i="46"/>
  <c r="AL14" i="46"/>
  <c r="AP14" i="46"/>
  <c r="AM11" i="46"/>
  <c r="AK11" i="46"/>
  <c r="AO11" i="46"/>
  <c r="AM12" i="46"/>
  <c r="AK13" i="46"/>
  <c r="AO13" i="46"/>
  <c r="AM14" i="46"/>
  <c r="AL11" i="46"/>
  <c r="AP11" i="46"/>
  <c r="AN12" i="46"/>
  <c r="AL13" i="46"/>
  <c r="AN14" i="46"/>
  <c r="Y3" i="46"/>
  <c r="AC3" i="46"/>
  <c r="AA4" i="46"/>
  <c r="Y5" i="46"/>
  <c r="AC5" i="46"/>
  <c r="AA6" i="46"/>
  <c r="Y7" i="46"/>
  <c r="AC7" i="46"/>
  <c r="AA8" i="46"/>
  <c r="Y9" i="46"/>
  <c r="AC9" i="46"/>
  <c r="AA10" i="46"/>
  <c r="Y11" i="46"/>
  <c r="AC11" i="46"/>
  <c r="AA12" i="46"/>
  <c r="Y13" i="46"/>
  <c r="AC13" i="46"/>
  <c r="AA14" i="46"/>
  <c r="Z3" i="46"/>
  <c r="AD3" i="46"/>
  <c r="AB4" i="46"/>
  <c r="Z5" i="46"/>
  <c r="AD5" i="46"/>
  <c r="AB6" i="46"/>
  <c r="Z7" i="46"/>
  <c r="AD7" i="46"/>
  <c r="AB8" i="46"/>
  <c r="Z9" i="46"/>
  <c r="AD9" i="46"/>
  <c r="AB10" i="46"/>
  <c r="Z11" i="46"/>
  <c r="AD11" i="46"/>
  <c r="AB12" i="46"/>
  <c r="Z13" i="46"/>
  <c r="AD13" i="46"/>
  <c r="AB14" i="46"/>
  <c r="AA3" i="46"/>
  <c r="Y4" i="46"/>
  <c r="AC4" i="46"/>
  <c r="AA5" i="46"/>
  <c r="Y6" i="46"/>
  <c r="AC6" i="46"/>
  <c r="AA7" i="46"/>
  <c r="Y8" i="46"/>
  <c r="AC8" i="46"/>
  <c r="AA9" i="46"/>
  <c r="Y10" i="46"/>
  <c r="AC10" i="46"/>
  <c r="AA11" i="46"/>
  <c r="Y12" i="46"/>
  <c r="AC12" i="46"/>
  <c r="AA13" i="46"/>
  <c r="Y14" i="46"/>
  <c r="AC14" i="46"/>
  <c r="A2" i="3"/>
  <c r="Z4" i="46"/>
  <c r="Z6" i="46"/>
  <c r="AD6" i="46"/>
  <c r="AB7" i="46"/>
  <c r="Z8" i="46"/>
  <c r="AD8" i="46"/>
  <c r="AB9" i="46"/>
  <c r="Z10" i="46"/>
  <c r="AD10" i="46"/>
  <c r="AB11" i="46"/>
  <c r="Z12" i="46"/>
  <c r="AD12" i="46"/>
  <c r="AB13" i="46"/>
  <c r="Z14" i="46"/>
  <c r="AD14" i="46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Y12" i="38" l="1"/>
  <c r="Z11" i="38"/>
  <c r="Z3" i="38"/>
  <c r="Z4" i="38"/>
  <c r="Y8" i="38"/>
  <c r="AA4" i="38"/>
  <c r="M19" i="46"/>
  <c r="M16" i="46"/>
  <c r="M22" i="46"/>
  <c r="M13" i="46"/>
  <c r="M25" i="46"/>
  <c r="Q36" i="46"/>
  <c r="Y13" i="38" l="1"/>
  <c r="Z13" i="38" s="1"/>
  <c r="AA12" i="38" s="1"/>
  <c r="Z12" i="38"/>
  <c r="Z8" i="38"/>
  <c r="Y9" i="38"/>
  <c r="Z9" i="38" s="1"/>
  <c r="GL3" i="46"/>
  <c r="EU3" i="46"/>
  <c r="AA8" i="38" l="1"/>
  <c r="Q46" i="46"/>
  <c r="Q47" i="46" s="1"/>
  <c r="Y43" i="38"/>
  <c r="Y42" i="38"/>
  <c r="B76" i="46" l="1"/>
  <c r="AB34" i="46"/>
  <c r="Z39" i="46"/>
  <c r="Z23" i="46"/>
  <c r="AE12" i="46"/>
  <c r="Z15" i="46"/>
  <c r="AM39" i="46"/>
  <c r="AE39" i="46" s="1"/>
  <c r="AM23" i="46"/>
  <c r="AE23" i="46" s="1"/>
  <c r="AE7" i="46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E4" i="46"/>
  <c r="AM35" i="46"/>
  <c r="AE35" i="46" s="1"/>
  <c r="AM19" i="46"/>
  <c r="AE19" i="46" s="1"/>
  <c r="Z42" i="46"/>
  <c r="Z26" i="46"/>
  <c r="Z35" i="46"/>
  <c r="AM30" i="46"/>
  <c r="AE30" i="46" s="1"/>
  <c r="AE14" i="46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AE10" i="46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AE5" i="46"/>
  <c r="Z32" i="46"/>
  <c r="Z16" i="46"/>
  <c r="AB39" i="46"/>
  <c r="AB23" i="46"/>
  <c r="AL22" i="46"/>
  <c r="AE3" i="46"/>
  <c r="AM36" i="46"/>
  <c r="AE36" i="46" s="1"/>
  <c r="AE6" i="46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AE13" i="46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E9" i="46"/>
  <c r="AE11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Z51" i="38"/>
  <c r="Z50" i="38"/>
  <c r="Z57" i="38"/>
  <c r="Z56" i="38"/>
  <c r="Z63" i="38"/>
  <c r="Z62" i="38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19" i="46"/>
  <c r="DH19" i="46"/>
  <c r="EY19" i="46"/>
  <c r="N17" i="46"/>
  <c r="DH17" i="46"/>
  <c r="EY17" i="46"/>
  <c r="O16" i="46"/>
  <c r="I76" i="46" l="1"/>
  <c r="Q37" i="46" s="1"/>
  <c r="ES18" i="46"/>
  <c r="EY16" i="46"/>
  <c r="O15" i="46"/>
  <c r="DH16" i="46"/>
  <c r="N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N20" i="46"/>
  <c r="O21" i="46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N21" i="46"/>
  <c r="DH21" i="46"/>
  <c r="O22" i="46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DH15" i="46"/>
  <c r="N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N22" i="46"/>
  <c r="O23" i="46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N14" i="46"/>
  <c r="O13" i="46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N13" i="46"/>
  <c r="EY13" i="46"/>
  <c r="DH13" i="46"/>
  <c r="O12" i="46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N23" i="46"/>
  <c r="DH23" i="46"/>
  <c r="O24" i="46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N24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N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N7" i="46"/>
  <c r="DH7" i="46"/>
  <c r="EY7" i="46"/>
  <c r="O6" i="46"/>
  <c r="DH29" i="46"/>
  <c r="EY29" i="46"/>
  <c r="O30" i="46"/>
  <c r="N29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</calcChain>
</file>

<file path=xl/sharedStrings.xml><?xml version="1.0" encoding="utf-8"?>
<sst xmlns="http://schemas.openxmlformats.org/spreadsheetml/2006/main" count="1429" uniqueCount="635">
  <si>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</si>
  <si>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</si>
  <si>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</si>
  <si>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</si>
  <si>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</si>
  <si>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</si>
  <si>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</si>
  <si>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</si>
  <si>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</si>
  <si>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</si>
  <si>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</si>
  <si>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</si>
  <si>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</si>
  <si>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</si>
  <si>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</si>
  <si>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</si>
  <si>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</si>
  <si>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</si>
  <si>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</si>
  <si>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</si>
  <si>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</si>
  <si>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</si>
  <si>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</si>
  <si>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</si>
  <si>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</si>
  <si>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</si>
  <si>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</si>
  <si>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</si>
  <si>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</si>
  <si>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</si>
  <si>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</si>
  <si>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</si>
  <si>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</si>
  <si>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</si>
  <si>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</si>
  <si>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</si>
  <si>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</si>
  <si>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</si>
  <si>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</si>
  <si>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</si>
  <si>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</si>
  <si>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</si>
  <si>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</si>
  <si>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</si>
  <si>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</si>
  <si>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</si>
  <si>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</si>
  <si>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</si>
  <si>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</si>
  <si>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</si>
  <si>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</si>
  <si>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</si>
  <si>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</si>
  <si>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</si>
  <si>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</si>
  <si>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</si>
  <si>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</si>
  <si>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</si>
  <si>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</si>
  <si>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</si>
  <si>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</si>
  <si>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</si>
  <si>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</si>
  <si>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</si>
  <si>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</si>
  <si>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</si>
  <si>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</si>
  <si>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</si>
  <si>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</si>
  <si>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</si>
  <si>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</si>
  <si>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</si>
  <si>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</si>
  <si>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</si>
  <si>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</si>
  <si>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</si>
  <si>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</si>
  <si>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</si>
  <si>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</si>
  <si>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</si>
  <si>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</si>
  <si>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</si>
  <si>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</si>
  <si>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</si>
  <si>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</si>
  <si>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</si>
  <si>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</si>
  <si>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</si>
  <si>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</si>
  <si>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</si>
  <si>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</si>
  <si>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</si>
  <si>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</si>
  <si>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</si>
  <si>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</si>
  <si>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</si>
  <si>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</si>
  <si>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</si>
  <si>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</si>
  <si>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</si>
  <si>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</si>
  <si>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</si>
  <si>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</si>
  <si>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</si>
  <si>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</si>
  <si>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</si>
  <si>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</si>
  <si>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</si>
  <si>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</si>
  <si>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</si>
  <si>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</si>
  <si>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</si>
  <si>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</si>
  <si>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</si>
  <si>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</si>
  <si>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</si>
  <si>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</si>
  <si>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</si>
  <si>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</si>
  <si>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</si>
  <si>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</si>
  <si>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</si>
  <si>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</si>
  <si>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</si>
  <si>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</si>
  <si>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</si>
  <si>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</si>
  <si>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</si>
  <si>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</si>
  <si>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</si>
  <si>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</si>
  <si>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</si>
  <si>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</si>
  <si>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</si>
  <si>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</si>
  <si>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</si>
  <si>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</si>
  <si>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</si>
  <si>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</si>
  <si>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</si>
  <si>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</si>
  <si>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</si>
  <si>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</si>
  <si>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</si>
  <si>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</si>
  <si>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</si>
  <si>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</si>
  <si>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</si>
  <si>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</si>
  <si>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</si>
  <si>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</si>
  <si>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</si>
  <si>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</si>
  <si>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</si>
  <si>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</si>
  <si>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</si>
  <si>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</si>
  <si>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</si>
  <si>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</si>
  <si>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</si>
  <si>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</si>
  <si>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</si>
  <si>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</si>
  <si>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</si>
  <si>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</si>
  <si>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</si>
  <si>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</si>
  <si>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</si>
  <si>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</si>
  <si>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</si>
  <si>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</si>
  <si>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</si>
  <si>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</si>
  <si>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</si>
  <si>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</si>
  <si>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</si>
  <si>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</si>
  <si>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</si>
  <si>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</si>
  <si>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</si>
  <si>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</si>
  <si>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</si>
  <si>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</si>
  <si>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</si>
  <si>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</si>
  <si>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</si>
  <si>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</si>
  <si>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</si>
  <si>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</si>
  <si>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</si>
  <si>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</si>
  <si>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</si>
  <si>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</si>
  <si>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</si>
  <si>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</si>
  <si>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</si>
  <si>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</si>
  <si>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</si>
  <si>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</si>
  <si>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</si>
  <si>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</si>
  <si>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</si>
  <si>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</si>
  <si>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</si>
  <si>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</si>
  <si>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</si>
  <si>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</si>
  <si>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</si>
  <si>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</si>
  <si>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</si>
  <si>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</si>
  <si>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</si>
  <si>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</si>
  <si>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</si>
  <si>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</si>
  <si>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</si>
  <si>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</si>
  <si>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</si>
  <si>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</si>
  <si>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</si>
  <si>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</si>
  <si>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</si>
  <si>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</si>
  <si>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</si>
  <si>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</si>
  <si>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</si>
  <si>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</si>
  <si>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</si>
  <si>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</si>
  <si>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</si>
  <si>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</si>
  <si>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</si>
  <si>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</si>
  <si>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</si>
  <si>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</si>
  <si>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</si>
  <si>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</si>
  <si>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</si>
  <si>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</si>
  <si>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</si>
  <si>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</si>
  <si>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</si>
  <si>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</si>
  <si>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</si>
  <si>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</si>
  <si>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</si>
  <si>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</si>
  <si>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</si>
  <si>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</si>
  <si>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</si>
  <si>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</si>
  <si>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</si>
  <si>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</si>
  <si>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</si>
  <si>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</si>
  <si>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</si>
  <si>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</si>
  <si>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</si>
  <si>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</si>
  <si>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</si>
  <si>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</si>
  <si>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</si>
  <si>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</si>
  <si>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</si>
  <si>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</si>
  <si>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</si>
  <si>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</si>
  <si>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</si>
  <si>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</si>
  <si>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</si>
  <si>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</si>
  <si>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</si>
  <si>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</si>
  <si>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</si>
  <si>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</si>
  <si>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</si>
  <si>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</si>
  <si>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</si>
  <si>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</si>
  <si>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</si>
  <si>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</si>
  <si>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</si>
  <si>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</si>
  <si>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</si>
  <si>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</si>
  <si>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</si>
  <si>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</si>
  <si>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</si>
  <si>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</si>
  <si>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</si>
  <si>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</si>
  <si>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</si>
  <si>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</si>
  <si>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</si>
  <si>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</si>
  <si>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</si>
  <si>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</si>
  <si>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</si>
  <si>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</si>
  <si>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</si>
  <si>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</si>
  <si>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</si>
  <si>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</si>
  <si>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</si>
  <si>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</si>
  <si>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</si>
  <si>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</si>
  <si>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</si>
  <si>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</si>
  <si>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</si>
  <si>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</si>
  <si>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</si>
  <si>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</si>
  <si>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</si>
  <si>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</si>
  <si>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</si>
  <si>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</si>
  <si>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</si>
  <si>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</si>
  <si>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</si>
  <si>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</si>
  <si>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</si>
  <si>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</si>
  <si>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</si>
  <si>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</si>
  <si>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</si>
  <si>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</si>
  <si>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</si>
  <si>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</si>
  <si>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</si>
  <si>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</si>
  <si>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</si>
  <si>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</si>
  <si>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</si>
  <si>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</si>
  <si>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</si>
  <si>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</si>
  <si>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</si>
  <si>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</si>
  <si>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</si>
  <si>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</si>
  <si>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</si>
  <si>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</si>
  <si>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</si>
  <si>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</si>
  <si>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</si>
  <si>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</si>
  <si>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</si>
  <si>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</si>
  <si>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</si>
  <si>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</si>
  <si>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</si>
  <si>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</si>
  <si>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</si>
  <si>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</si>
  <si>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</si>
  <si>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</si>
  <si>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</si>
  <si>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</si>
  <si>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</si>
  <si>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</si>
  <si>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</si>
  <si>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</si>
  <si>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</si>
  <si>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</si>
  <si>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</si>
  <si>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</si>
  <si>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</si>
  <si>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</si>
  <si>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</si>
  <si>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</si>
  <si>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</si>
  <si>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</si>
  <si>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</si>
  <si>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</si>
  <si>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</si>
  <si>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</si>
  <si>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</si>
  <si>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</si>
  <si>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</si>
  <si>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</si>
  <si>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</si>
  <si>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</si>
  <si>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</si>
  <si>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</si>
  <si>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</si>
  <si>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</si>
  <si>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</si>
  <si>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</si>
  <si>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</si>
  <si>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</si>
  <si>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</si>
  <si>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</si>
  <si>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</si>
  <si>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</si>
  <si>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</si>
  <si>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</si>
  <si>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</si>
  <si>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</si>
  <si>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</si>
  <si>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</si>
  <si>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</si>
  <si>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</si>
  <si>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</si>
  <si>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</si>
  <si>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</si>
  <si>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</si>
  <si>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</si>
  <si>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</si>
  <si>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</si>
  <si>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</si>
  <si>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</si>
  <si>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</si>
  <si>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</si>
  <si>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</si>
  <si>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</si>
  <si>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</si>
  <si>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</si>
  <si>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</si>
  <si>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</si>
  <si>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</si>
  <si>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</si>
  <si>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</si>
  <si>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</si>
  <si>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</si>
  <si>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</si>
  <si>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</si>
  <si>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</si>
  <si>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</si>
  <si>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</si>
  <si>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</si>
  <si>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</si>
  <si>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</si>
  <si>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</si>
  <si>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</si>
  <si>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</si>
  <si>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</si>
  <si>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</si>
  <si>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</si>
  <si>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</si>
  <si>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</si>
  <si>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</si>
  <si>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</si>
  <si>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</si>
  <si>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</si>
  <si>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</si>
  <si>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</si>
  <si>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</si>
  <si>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</si>
  <si>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</si>
  <si>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</si>
  <si>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</si>
  <si>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</si>
  <si>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</si>
  <si>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</si>
  <si>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</si>
  <si>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</si>
  <si>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</si>
  <si>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</si>
  <si>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</si>
  <si>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</si>
  <si>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</si>
  <si>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</si>
  <si>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</si>
  <si>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</si>
  <si>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</si>
  <si>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</si>
  <si>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</si>
  <si>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</si>
  <si>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</si>
  <si>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</si>
  <si>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</si>
  <si>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</si>
  <si>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</si>
  <si>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</si>
  <si>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</si>
  <si>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</si>
  <si>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</si>
  <si>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</si>
  <si>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</si>
  <si>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</si>
  <si>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</si>
  <si>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</si>
  <si>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</si>
  <si>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</si>
  <si>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</si>
  <si>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</si>
  <si>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</si>
  <si>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</si>
  <si>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</si>
  <si>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</si>
  <si>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</si>
  <si>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</si>
  <si>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</si>
  <si>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</si>
  <si>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</si>
  <si>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</si>
  <si>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</si>
  <si>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</si>
  <si>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</si>
  <si>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</si>
  <si>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</si>
  <si>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</si>
  <si>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</si>
  <si>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</si>
  <si>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</si>
  <si>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</si>
  <si>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</si>
  <si>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</si>
  <si>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</si>
  <si>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</si>
  <si>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</si>
  <si>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</si>
  <si>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</si>
  <si>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</si>
  <si>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</si>
  <si>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</si>
  <si>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</si>
  <si>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</si>
  <si>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</si>
  <si>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</si>
  <si>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</si>
  <si>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</si>
  <si>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</si>
  <si>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</si>
  <si>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</si>
  <si>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</si>
  <si>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</si>
  <si>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</si>
  <si>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</si>
  <si>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</si>
  <si>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</si>
  <si>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</si>
  <si>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</si>
  <si>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</si>
  <si>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</si>
  <si>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</si>
  <si>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</si>
  <si>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</si>
  <si>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</si>
  <si>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</si>
  <si>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</si>
  <si>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</si>
  <si>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</si>
  <si>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</si>
  <si>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</si>
  <si>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</si>
  <si>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</si>
  <si>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</si>
  <si>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X18E4 - spot</t>
  </si>
  <si>
    <t>X18E4 - 48hs</t>
  </si>
  <si>
    <t>XE4C - spot</t>
  </si>
  <si>
    <t>XE4C - 48hs</t>
  </si>
  <si>
    <t>XE4D - spot</t>
  </si>
  <si>
    <t>XE4D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</si>
  <si>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</si>
  <si>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</si>
  <si>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</si>
  <si>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</si>
  <si>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</si>
  <si>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</si>
  <si>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</si>
  <si>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</si>
  <si>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</si>
  <si>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</si>
  <si>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</si>
  <si>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</si>
  <si>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</si>
  <si>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</si>
  <si>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DI</t>
  </si>
  <si>
    <t>GFGC14915D</t>
  </si>
  <si>
    <t>GFGC17715D</t>
  </si>
  <si>
    <t>GFGC18515D</t>
  </si>
  <si>
    <t>GFGC19315D</t>
  </si>
  <si>
    <t>GFGC20915D</t>
  </si>
  <si>
    <t>GFGV90152D</t>
  </si>
  <si>
    <t>GFGV94152D</t>
  </si>
  <si>
    <t>GFGV1033DI</t>
  </si>
  <si>
    <t>GFGV10915D</t>
  </si>
  <si>
    <t>GFGC1570DI</t>
  </si>
  <si>
    <t>GFGC1640DI</t>
  </si>
  <si>
    <t>GFGC2020DI</t>
  </si>
  <si>
    <t>GFGV80456D</t>
  </si>
  <si>
    <t>GFGV830.DI</t>
  </si>
  <si>
    <t>GFGV990.DI</t>
  </si>
  <si>
    <t>GFGV1150DI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</si>
  <si>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</si>
  <si>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</si>
  <si>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</si>
  <si>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</si>
  <si>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</si>
  <si>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</si>
  <si>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</si>
  <si>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</si>
  <si>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</si>
  <si>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</si>
  <si>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</si>
  <si>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</si>
  <si>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</si>
  <si>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</si>
  <si>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</si>
  <si>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</si>
  <si>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</si>
  <si>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</si>
  <si>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</si>
  <si>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</si>
  <si>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</si>
  <si>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</si>
  <si>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</si>
  <si>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</si>
  <si>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</si>
  <si>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</si>
  <si>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</si>
  <si>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</si>
  <si>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</si>
  <si>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</si>
  <si>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</si>
  <si>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</si>
  <si>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</si>
  <si>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</si>
  <si>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</si>
  <si>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</si>
  <si>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</si>
  <si>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</si>
  <si>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</si>
  <si>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</si>
  <si>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</si>
  <si>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</si>
  <si>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</si>
  <si>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MGC9O - spot</t>
  </si>
  <si>
    <t>MGC9O - 48hs</t>
  </si>
  <si>
    <t>MGC9C - spot</t>
  </si>
  <si>
    <t>MGC9C - 48hs</t>
  </si>
  <si>
    <t>MGC9D - spot</t>
  </si>
  <si>
    <t>MGC9D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</si>
</sst>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0"/>
  </numFmts>
  <fonts count="11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7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sz val="8"/>
      <color theme="4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8"/>
      <color theme="4" tint="-0.499984740745262"/>
      <name val="Arial"/>
      <family val="2"/>
    </font>
    <font>
      <sz val="11"/>
      <color rgb="FF6A9955"/>
      <name val="Consolas"/>
      <family val="3"/>
    </font>
    <font>
      <sz val="8"/>
      <color theme="4" tint="-0.249977111117893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7"/>
      <color rgb="FF00B050"/>
      <name val="Arial"/>
      <family val="2"/>
    </font>
    <font>
      <sz val="7"/>
      <color rgb="FFFF000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 tint="0.14999847407452621"/>
      <name val="Calibri"/>
      <family val="2"/>
      <scheme val="minor"/>
    </font>
    <font>
      <sz val="8"/>
      <color theme="1" tint="0.499984740745262"/>
      <name val="Arial"/>
      <family val="2"/>
    </font>
    <font>
      <sz val="7"/>
      <color theme="0" tint="-0.499984740745262"/>
      <name val="Verdana"/>
      <family val="2"/>
    </font>
    <font>
      <b/>
      <sz val="8"/>
      <color rgb="FF00B050"/>
      <name val="Arial"/>
      <family val="2"/>
    </font>
    <font>
      <u/>
      <sz val="8"/>
      <color rgb="FF00B050"/>
      <name val="Arial"/>
      <family val="2"/>
    </font>
    <font>
      <b/>
      <sz val="8"/>
      <color theme="4" tint="-0.499984740745262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12782D"/>
      <name val="Arial"/>
      <family val="2"/>
    </font>
    <font>
      <sz val="8"/>
      <color rgb="FF12782D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970E03"/>
      <name val="Arial"/>
      <family val="2"/>
    </font>
    <font>
      <sz val="8"/>
      <color theme="9" tint="-0.24997711111789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14999847407452621"/>
        <bgColor theme="9" tint="0.59999389629810485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2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/>
      <top style="thin">
        <color theme="0"/>
      </top>
      <bottom style="thin">
        <color rgb="FFFFFF99"/>
      </bottom>
      <diagonal/>
    </border>
    <border>
      <left style="thin">
        <color theme="0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rgb="FFFFFF99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FFFF9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FF99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/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theme="1"/>
      </bottom>
      <diagonal/>
    </border>
    <border>
      <left style="thin">
        <color theme="3" tint="4.9989318521683403E-2"/>
      </left>
      <right/>
      <top/>
      <bottom style="thin">
        <color theme="1" tint="0.14999847407452621"/>
      </bottom>
      <diagonal/>
    </border>
    <border>
      <left style="thin">
        <color theme="3" tint="4.9989318521683403E-2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indexed="64"/>
      </bottom>
      <diagonal/>
    </border>
    <border>
      <left style="thin">
        <color theme="3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rgb="FFFFFF99"/>
      </top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249977111117893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</borders>
  <cellStyleXfs count="184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40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88" fillId="0" borderId="0" applyFont="0" applyFill="0" applyBorder="0" applyAlignment="0" applyProtection="0"/>
  </cellStyleXfs>
  <cellXfs count="70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42" fillId="10" borderId="10" xfId="55" applyNumberFormat="1" applyFont="1" applyFill="1" applyBorder="1" applyAlignment="1">
      <alignment horizontal="right" vertical="center"/>
    </xf>
    <xf numFmtId="0" fontId="13" fillId="17" borderId="12" xfId="15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0" borderId="5" xfId="3" applyFont="1" applyBorder="1" applyAlignment="1">
      <alignment horizontal="center" vertical="center"/>
    </xf>
    <xf numFmtId="10" fontId="32" fillId="10" borderId="10" xfId="114" applyNumberFormat="1" applyFont="1" applyFill="1" applyBorder="1" applyAlignment="1">
      <alignment horizontal="right" vertical="center"/>
    </xf>
    <xf numFmtId="168" fontId="49" fillId="16" borderId="8" xfId="15" applyNumberFormat="1" applyFont="1" applyFill="1" applyBorder="1" applyAlignment="1">
      <alignment horizontal="center" vertical="center"/>
    </xf>
    <xf numFmtId="0" fontId="50" fillId="16" borderId="8" xfId="15" applyFont="1" applyFill="1" applyBorder="1" applyAlignment="1">
      <alignment horizontal="center" vertical="center"/>
    </xf>
    <xf numFmtId="0" fontId="51" fillId="19" borderId="13" xfId="0" applyFont="1" applyFill="1" applyBorder="1" applyAlignment="1">
      <alignment vertical="center"/>
    </xf>
    <xf numFmtId="0" fontId="52" fillId="19" borderId="14" xfId="0" applyFont="1" applyFill="1" applyBorder="1" applyAlignment="1">
      <alignment horizontal="center" vertical="center"/>
    </xf>
    <xf numFmtId="1" fontId="52" fillId="19" borderId="14" xfId="0" applyNumberFormat="1" applyFont="1" applyFill="1" applyBorder="1" applyAlignment="1">
      <alignment horizontal="center" vertical="center"/>
    </xf>
    <xf numFmtId="0" fontId="52" fillId="19" borderId="14" xfId="0" applyFont="1" applyFill="1" applyBorder="1" applyAlignment="1">
      <alignment vertical="center"/>
    </xf>
    <xf numFmtId="164" fontId="52" fillId="19" borderId="14" xfId="0" applyNumberFormat="1" applyFont="1" applyFill="1" applyBorder="1" applyAlignment="1">
      <alignment vertical="center"/>
    </xf>
    <xf numFmtId="2" fontId="52" fillId="19" borderId="14" xfId="0" applyNumberFormat="1" applyFont="1" applyFill="1" applyBorder="1" applyAlignment="1">
      <alignment vertical="center"/>
    </xf>
    <xf numFmtId="0" fontId="53" fillId="19" borderId="15" xfId="0" applyFont="1" applyFill="1" applyBorder="1" applyAlignment="1">
      <alignment vertical="center"/>
    </xf>
    <xf numFmtId="0" fontId="53" fillId="19" borderId="2" xfId="0" applyFont="1" applyFill="1" applyBorder="1" applyAlignment="1">
      <alignment vertical="center"/>
    </xf>
    <xf numFmtId="0" fontId="54" fillId="19" borderId="2" xfId="0" applyFont="1" applyFill="1" applyBorder="1" applyAlignment="1">
      <alignment vertical="center"/>
    </xf>
    <xf numFmtId="0" fontId="55" fillId="19" borderId="2" xfId="0" applyFont="1" applyFill="1" applyBorder="1" applyAlignment="1">
      <alignment horizontal="center" vertical="center"/>
    </xf>
    <xf numFmtId="0" fontId="51" fillId="19" borderId="2" xfId="0" applyFont="1" applyFill="1" applyBorder="1" applyAlignment="1">
      <alignment vertical="center"/>
    </xf>
    <xf numFmtId="0" fontId="52" fillId="19" borderId="2" xfId="0" applyFont="1" applyFill="1" applyBorder="1" applyAlignment="1">
      <alignment vertical="center"/>
    </xf>
    <xf numFmtId="0" fontId="56" fillId="19" borderId="2" xfId="0" applyFont="1" applyFill="1" applyBorder="1" applyAlignment="1">
      <alignment vertical="center"/>
    </xf>
    <xf numFmtId="0" fontId="51" fillId="19" borderId="2" xfId="0" applyFont="1" applyFill="1" applyBorder="1" applyAlignment="1">
      <alignment horizontal="center" vertical="center"/>
    </xf>
    <xf numFmtId="0" fontId="54" fillId="19" borderId="2" xfId="0" applyFont="1" applyFill="1" applyBorder="1" applyAlignment="1">
      <alignment horizontal="center" vertical="center"/>
    </xf>
    <xf numFmtId="1" fontId="54" fillId="19" borderId="2" xfId="0" applyNumberFormat="1" applyFont="1" applyFill="1" applyBorder="1" applyAlignment="1">
      <alignment horizontal="center" vertical="center"/>
    </xf>
    <xf numFmtId="2" fontId="54" fillId="19" borderId="2" xfId="0" applyNumberFormat="1" applyFont="1" applyFill="1" applyBorder="1" applyAlignment="1">
      <alignment horizontal="right" vertical="center"/>
    </xf>
    <xf numFmtId="0" fontId="53" fillId="0" borderId="0" xfId="0" applyFont="1" applyAlignment="1">
      <alignment vertical="center"/>
    </xf>
    <xf numFmtId="0" fontId="57" fillId="20" borderId="13" xfId="0" applyFont="1" applyFill="1" applyBorder="1" applyAlignment="1">
      <alignment horizontal="center" vertical="center"/>
    </xf>
    <xf numFmtId="0" fontId="58" fillId="20" borderId="16" xfId="0" applyFont="1" applyFill="1" applyBorder="1" applyAlignment="1">
      <alignment horizontal="center" vertical="center"/>
    </xf>
    <xf numFmtId="1" fontId="57" fillId="20" borderId="17" xfId="0" applyNumberFormat="1" applyFont="1" applyFill="1" applyBorder="1" applyAlignment="1">
      <alignment horizontal="center" vertical="center"/>
    </xf>
    <xf numFmtId="0" fontId="57" fillId="20" borderId="18" xfId="0" applyFont="1" applyFill="1" applyBorder="1" applyAlignment="1">
      <alignment horizontal="center" vertical="center"/>
    </xf>
    <xf numFmtId="164" fontId="57" fillId="20" borderId="19" xfId="0" applyNumberFormat="1" applyFont="1" applyFill="1" applyBorder="1" applyAlignment="1">
      <alignment horizontal="center" vertical="center"/>
    </xf>
    <xf numFmtId="164" fontId="57" fillId="20" borderId="20" xfId="0" applyNumberFormat="1" applyFont="1" applyFill="1" applyBorder="1" applyAlignment="1">
      <alignment horizontal="center" vertical="center"/>
    </xf>
    <xf numFmtId="2" fontId="58" fillId="20" borderId="19" xfId="0" applyNumberFormat="1" applyFont="1" applyFill="1" applyBorder="1" applyAlignment="1">
      <alignment horizontal="center" vertical="center"/>
    </xf>
    <xf numFmtId="0" fontId="57" fillId="20" borderId="17" xfId="0" applyFont="1" applyFill="1" applyBorder="1" applyAlignment="1">
      <alignment horizontal="center" vertical="center"/>
    </xf>
    <xf numFmtId="0" fontId="57" fillId="20" borderId="21" xfId="0" applyFont="1" applyFill="1" applyBorder="1" applyAlignment="1">
      <alignment horizontal="center" vertical="center"/>
    </xf>
    <xf numFmtId="2" fontId="57" fillId="20" borderId="16" xfId="0" applyNumberFormat="1" applyFont="1" applyFill="1" applyBorder="1" applyAlignment="1">
      <alignment horizontal="center" vertical="center"/>
    </xf>
    <xf numFmtId="2" fontId="57" fillId="20" borderId="21" xfId="0" applyNumberFormat="1" applyFont="1" applyFill="1" applyBorder="1" applyAlignment="1">
      <alignment horizontal="center" vertical="center"/>
    </xf>
    <xf numFmtId="3" fontId="58" fillId="20" borderId="22" xfId="0" applyNumberFormat="1" applyFont="1" applyFill="1" applyBorder="1" applyAlignment="1">
      <alignment horizontal="center" vertical="center"/>
    </xf>
    <xf numFmtId="3" fontId="58" fillId="20" borderId="23" xfId="0" applyNumberFormat="1" applyFont="1" applyFill="1" applyBorder="1" applyAlignment="1">
      <alignment horizontal="center" vertical="center"/>
    </xf>
    <xf numFmtId="0" fontId="60" fillId="19" borderId="2" xfId="0" applyFont="1" applyFill="1" applyBorder="1" applyAlignment="1">
      <alignment vertical="center"/>
    </xf>
    <xf numFmtId="0" fontId="57" fillId="21" borderId="24" xfId="0" applyFont="1" applyFill="1" applyBorder="1" applyAlignment="1">
      <alignment horizontal="center" vertical="center"/>
    </xf>
    <xf numFmtId="0" fontId="58" fillId="22" borderId="26" xfId="0" applyFont="1" applyFill="1" applyBorder="1" applyAlignment="1">
      <alignment horizontal="center" vertical="center"/>
    </xf>
    <xf numFmtId="0" fontId="58" fillId="20" borderId="27" xfId="0" applyFont="1" applyFill="1" applyBorder="1" applyAlignment="1">
      <alignment horizontal="center" vertical="center"/>
    </xf>
    <xf numFmtId="0" fontId="57" fillId="20" borderId="28" xfId="0" applyFont="1" applyFill="1" applyBorder="1" applyAlignment="1">
      <alignment horizontal="center" vertical="center"/>
    </xf>
    <xf numFmtId="0" fontId="58" fillId="20" borderId="19" xfId="0" applyFont="1" applyFill="1" applyBorder="1" applyAlignment="1">
      <alignment horizontal="center" vertical="center"/>
    </xf>
    <xf numFmtId="1" fontId="57" fillId="20" borderId="14" xfId="0" applyNumberFormat="1" applyFont="1" applyFill="1" applyBorder="1" applyAlignment="1">
      <alignment horizontal="center" vertical="center"/>
    </xf>
    <xf numFmtId="2" fontId="57" fillId="20" borderId="19" xfId="0" applyNumberFormat="1" applyFont="1" applyFill="1" applyBorder="1" applyAlignment="1">
      <alignment horizontal="center" vertical="center"/>
    </xf>
    <xf numFmtId="2" fontId="57" fillId="20" borderId="18" xfId="0" applyNumberFormat="1" applyFont="1" applyFill="1" applyBorder="1" applyAlignment="1">
      <alignment horizontal="center" vertical="center"/>
    </xf>
    <xf numFmtId="0" fontId="58" fillId="20" borderId="14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horizontal="center" vertical="center"/>
    </xf>
    <xf numFmtId="0" fontId="61" fillId="24" borderId="29" xfId="0" applyFont="1" applyFill="1" applyBorder="1" applyAlignment="1">
      <alignment horizontal="center" vertical="center"/>
    </xf>
    <xf numFmtId="0" fontId="61" fillId="24" borderId="30" xfId="0" applyFont="1" applyFill="1" applyBorder="1" applyAlignment="1">
      <alignment horizontal="center" vertical="center"/>
    </xf>
    <xf numFmtId="0" fontId="60" fillId="24" borderId="30" xfId="0" applyFont="1" applyFill="1" applyBorder="1" applyAlignment="1">
      <alignment horizontal="center" vertical="center"/>
    </xf>
    <xf numFmtId="0" fontId="61" fillId="25" borderId="30" xfId="0" applyFont="1" applyFill="1" applyBorder="1" applyAlignment="1">
      <alignment horizontal="center" vertical="center"/>
    </xf>
    <xf numFmtId="0" fontId="61" fillId="26" borderId="29" xfId="0" applyFont="1" applyFill="1" applyBorder="1" applyAlignment="1">
      <alignment horizontal="center" vertical="center"/>
    </xf>
    <xf numFmtId="0" fontId="61" fillId="26" borderId="30" xfId="0" applyFont="1" applyFill="1" applyBorder="1" applyAlignment="1">
      <alignment horizontal="center" vertical="center"/>
    </xf>
    <xf numFmtId="0" fontId="61" fillId="26" borderId="31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2" fillId="24" borderId="32" xfId="0" applyFont="1" applyFill="1" applyBorder="1" applyAlignment="1">
      <alignment horizontal="center" vertical="center"/>
    </xf>
    <xf numFmtId="2" fontId="64" fillId="27" borderId="34" xfId="0" applyNumberFormat="1" applyFont="1" applyFill="1" applyBorder="1" applyAlignment="1">
      <alignment horizontal="center" vertical="center"/>
    </xf>
    <xf numFmtId="9" fontId="54" fillId="29" borderId="33" xfId="0" applyNumberFormat="1" applyFont="1" applyFill="1" applyBorder="1" applyAlignment="1">
      <alignment horizontal="center" vertical="center"/>
    </xf>
    <xf numFmtId="3" fontId="65" fillId="30" borderId="40" xfId="0" applyNumberFormat="1" applyFont="1" applyFill="1" applyBorder="1" applyAlignment="1">
      <alignment horizontal="right" vertical="center"/>
    </xf>
    <xf numFmtId="2" fontId="51" fillId="31" borderId="34" xfId="2" applyNumberFormat="1" applyFont="1" applyFill="1" applyBorder="1" applyAlignment="1">
      <alignment horizontal="center" vertical="center"/>
    </xf>
    <xf numFmtId="0" fontId="66" fillId="32" borderId="34" xfId="0" applyFont="1" applyFill="1" applyBorder="1" applyAlignment="1">
      <alignment horizontal="center" vertical="center"/>
    </xf>
    <xf numFmtId="1" fontId="67" fillId="33" borderId="34" xfId="0" applyNumberFormat="1" applyFont="1" applyFill="1" applyBorder="1" applyAlignment="1">
      <alignment horizontal="center" vertical="center"/>
    </xf>
    <xf numFmtId="4" fontId="51" fillId="34" borderId="34" xfId="0" applyNumberFormat="1" applyFont="1" applyFill="1" applyBorder="1" applyAlignment="1">
      <alignment horizontal="center" vertical="center"/>
    </xf>
    <xf numFmtId="0" fontId="51" fillId="27" borderId="34" xfId="0" applyFont="1" applyFill="1" applyBorder="1" applyAlignment="1">
      <alignment horizontal="center" vertical="center"/>
    </xf>
    <xf numFmtId="2" fontId="68" fillId="31" borderId="34" xfId="0" applyNumberFormat="1" applyFont="1" applyFill="1" applyBorder="1" applyAlignment="1">
      <alignment horizontal="center" vertical="center"/>
    </xf>
    <xf numFmtId="1" fontId="51" fillId="31" borderId="34" xfId="0" applyNumberFormat="1" applyFont="1" applyFill="1" applyBorder="1" applyAlignment="1">
      <alignment horizontal="center" vertical="center"/>
    </xf>
    <xf numFmtId="14" fontId="51" fillId="27" borderId="41" xfId="0" applyNumberFormat="1" applyFont="1" applyFill="1" applyBorder="1" applyAlignment="1">
      <alignment horizontal="center" vertical="center"/>
    </xf>
    <xf numFmtId="0" fontId="51" fillId="24" borderId="42" xfId="0" applyFont="1" applyFill="1" applyBorder="1" applyAlignment="1">
      <alignment horizontal="center" vertical="center"/>
    </xf>
    <xf numFmtId="0" fontId="69" fillId="27" borderId="37" xfId="0" applyFont="1" applyFill="1" applyBorder="1" applyAlignment="1">
      <alignment horizontal="center" vertical="center"/>
    </xf>
    <xf numFmtId="2" fontId="51" fillId="27" borderId="35" xfId="0" applyNumberFormat="1" applyFont="1" applyFill="1" applyBorder="1" applyAlignment="1">
      <alignment horizontal="center" vertical="center"/>
    </xf>
    <xf numFmtId="0" fontId="51" fillId="35" borderId="45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horizontal="center" vertical="center"/>
    </xf>
    <xf numFmtId="0" fontId="51" fillId="36" borderId="45" xfId="0" applyFont="1" applyFill="1" applyBorder="1" applyAlignment="1">
      <alignment horizontal="center" vertical="center"/>
    </xf>
    <xf numFmtId="2" fontId="55" fillId="25" borderId="47" xfId="0" applyNumberFormat="1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vertical="center"/>
    </xf>
    <xf numFmtId="0" fontId="52" fillId="25" borderId="2" xfId="0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horizontal="center" vertical="center"/>
    </xf>
    <xf numFmtId="4" fontId="55" fillId="26" borderId="47" xfId="0" applyNumberFormat="1" applyFont="1" applyFill="1" applyBorder="1" applyAlignment="1">
      <alignment horizontal="center" vertical="center"/>
    </xf>
    <xf numFmtId="0" fontId="52" fillId="26" borderId="2" xfId="0" applyFont="1" applyFill="1" applyBorder="1" applyAlignment="1">
      <alignment horizontal="center" vertical="center"/>
    </xf>
    <xf numFmtId="4" fontId="55" fillId="26" borderId="37" xfId="0" applyNumberFormat="1" applyFont="1" applyFill="1" applyBorder="1" applyAlignment="1">
      <alignment horizontal="center" vertical="center"/>
    </xf>
    <xf numFmtId="0" fontId="70" fillId="24" borderId="32" xfId="0" applyFont="1" applyFill="1" applyBorder="1" applyAlignment="1">
      <alignment horizontal="center" vertical="center"/>
    </xf>
    <xf numFmtId="2" fontId="69" fillId="19" borderId="2" xfId="0" applyNumberFormat="1" applyFont="1" applyFill="1" applyBorder="1" applyAlignment="1">
      <alignment horizontal="center" vertical="center"/>
    </xf>
    <xf numFmtId="2" fontId="69" fillId="19" borderId="48" xfId="0" applyNumberFormat="1" applyFont="1" applyFill="1" applyBorder="1" applyAlignment="1">
      <alignment horizontal="center" vertical="center"/>
    </xf>
    <xf numFmtId="10" fontId="69" fillId="19" borderId="2" xfId="2" applyNumberFormat="1" applyFont="1" applyFill="1" applyBorder="1" applyAlignment="1">
      <alignment horizontal="center" vertical="center"/>
    </xf>
    <xf numFmtId="164" fontId="69" fillId="19" borderId="2" xfId="2" applyNumberFormat="1" applyFont="1" applyFill="1" applyBorder="1" applyAlignment="1">
      <alignment horizontal="center" vertical="center"/>
    </xf>
    <xf numFmtId="3" fontId="65" fillId="30" borderId="50" xfId="0" applyNumberFormat="1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1" fontId="64" fillId="27" borderId="34" xfId="0" applyNumberFormat="1" applyFont="1" applyFill="1" applyBorder="1" applyAlignment="1">
      <alignment horizontal="center" vertical="center"/>
    </xf>
    <xf numFmtId="0" fontId="52" fillId="26" borderId="47" xfId="0" applyFont="1" applyFill="1" applyBorder="1" applyAlignment="1">
      <alignment horizontal="center" vertical="center"/>
    </xf>
    <xf numFmtId="0" fontId="71" fillId="24" borderId="32" xfId="0" applyFont="1" applyFill="1" applyBorder="1" applyAlignment="1">
      <alignment horizontal="center" vertical="center"/>
    </xf>
    <xf numFmtId="1" fontId="64" fillId="27" borderId="2" xfId="0" applyNumberFormat="1" applyFont="1" applyFill="1" applyBorder="1" applyAlignment="1">
      <alignment horizontal="center" vertical="center"/>
    </xf>
    <xf numFmtId="0" fontId="51" fillId="27" borderId="35" xfId="0" applyFont="1" applyFill="1" applyBorder="1" applyAlignment="1">
      <alignment horizontal="center" vertical="center"/>
    </xf>
    <xf numFmtId="3" fontId="65" fillId="30" borderId="51" xfId="0" applyNumberFormat="1" applyFont="1" applyFill="1" applyBorder="1" applyAlignment="1">
      <alignment horizontal="right" vertical="center"/>
    </xf>
    <xf numFmtId="2" fontId="64" fillId="27" borderId="2" xfId="0" applyNumberFormat="1" applyFont="1" applyFill="1" applyBorder="1" applyAlignment="1">
      <alignment horizontal="center" vertical="center"/>
    </xf>
    <xf numFmtId="9" fontId="69" fillId="29" borderId="33" xfId="0" applyNumberFormat="1" applyFont="1" applyFill="1" applyBorder="1" applyAlignment="1">
      <alignment horizontal="center" vertical="center"/>
    </xf>
    <xf numFmtId="9" fontId="69" fillId="24" borderId="52" xfId="0" applyNumberFormat="1" applyFont="1" applyFill="1" applyBorder="1" applyAlignment="1">
      <alignment horizontal="center" vertical="center"/>
    </xf>
    <xf numFmtId="9" fontId="69" fillId="24" borderId="33" xfId="0" applyNumberFormat="1" applyFont="1" applyFill="1" applyBorder="1" applyAlignment="1">
      <alignment horizontal="center" vertical="center"/>
    </xf>
    <xf numFmtId="9" fontId="69" fillId="37" borderId="52" xfId="0" applyNumberFormat="1" applyFont="1" applyFill="1" applyBorder="1" applyAlignment="1">
      <alignment horizontal="center" vertical="center"/>
    </xf>
    <xf numFmtId="9" fontId="69" fillId="37" borderId="33" xfId="0" applyNumberFormat="1" applyFont="1" applyFill="1" applyBorder="1" applyAlignment="1">
      <alignment horizontal="center" vertical="center"/>
    </xf>
    <xf numFmtId="2" fontId="67" fillId="33" borderId="34" xfId="0" applyNumberFormat="1" applyFont="1" applyFill="1" applyBorder="1" applyAlignment="1">
      <alignment horizontal="center" vertical="center"/>
    </xf>
    <xf numFmtId="9" fontId="69" fillId="38" borderId="52" xfId="0" applyNumberFormat="1" applyFont="1" applyFill="1" applyBorder="1" applyAlignment="1">
      <alignment horizontal="center" vertical="center"/>
    </xf>
    <xf numFmtId="4" fontId="73" fillId="26" borderId="37" xfId="0" applyNumberFormat="1" applyFont="1" applyFill="1" applyBorder="1" applyAlignment="1">
      <alignment horizontal="center" vertical="center"/>
    </xf>
    <xf numFmtId="9" fontId="69" fillId="24" borderId="53" xfId="0" applyNumberFormat="1" applyFont="1" applyFill="1" applyBorder="1" applyAlignment="1">
      <alignment horizontal="center" vertical="center"/>
    </xf>
    <xf numFmtId="9" fontId="54" fillId="29" borderId="54" xfId="0" applyNumberFormat="1" applyFont="1" applyFill="1" applyBorder="1" applyAlignment="1">
      <alignment horizontal="center" vertical="center"/>
    </xf>
    <xf numFmtId="3" fontId="65" fillId="30" borderId="56" xfId="0" applyNumberFormat="1" applyFont="1" applyFill="1" applyBorder="1" applyAlignment="1">
      <alignment horizontal="right" vertical="center"/>
    </xf>
    <xf numFmtId="0" fontId="75" fillId="19" borderId="2" xfId="0" applyFont="1" applyFill="1" applyBorder="1" applyAlignment="1">
      <alignment vertical="center"/>
    </xf>
    <xf numFmtId="0" fontId="52" fillId="26" borderId="57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4" fontId="55" fillId="26" borderId="58" xfId="0" applyNumberFormat="1" applyFont="1" applyFill="1" applyBorder="1" applyAlignment="1">
      <alignment horizontal="center" vertical="center"/>
    </xf>
    <xf numFmtId="0" fontId="53" fillId="39" borderId="0" xfId="0" applyFont="1" applyFill="1" applyAlignment="1">
      <alignment vertical="center"/>
    </xf>
    <xf numFmtId="0" fontId="55" fillId="35" borderId="47" xfId="0" applyFont="1" applyFill="1" applyBorder="1" applyAlignment="1">
      <alignment horizontal="center" vertical="center"/>
    </xf>
    <xf numFmtId="0" fontId="53" fillId="35" borderId="2" xfId="0" applyFont="1" applyFill="1" applyBorder="1" applyAlignment="1">
      <alignment vertical="center"/>
    </xf>
    <xf numFmtId="0" fontId="53" fillId="36" borderId="2" xfId="0" applyFont="1" applyFill="1" applyBorder="1" applyAlignment="1">
      <alignment vertical="center"/>
    </xf>
    <xf numFmtId="0" fontId="66" fillId="35" borderId="37" xfId="0" applyFont="1" applyFill="1" applyBorder="1" applyAlignment="1">
      <alignment horizontal="center" vertical="center"/>
    </xf>
    <xf numFmtId="0" fontId="51" fillId="24" borderId="32" xfId="0" applyFont="1" applyFill="1" applyBorder="1" applyAlignment="1">
      <alignment horizontal="center" vertical="center"/>
    </xf>
    <xf numFmtId="3" fontId="64" fillId="41" borderId="62" xfId="0" applyNumberFormat="1" applyFont="1" applyFill="1" applyBorder="1" applyAlignment="1">
      <alignment horizontal="right" vertical="center"/>
    </xf>
    <xf numFmtId="2" fontId="52" fillId="25" borderId="37" xfId="0" applyNumberFormat="1" applyFont="1" applyFill="1" applyBorder="1" applyAlignment="1">
      <alignment horizontal="center" vertical="center"/>
    </xf>
    <xf numFmtId="0" fontId="51" fillId="24" borderId="63" xfId="0" applyFont="1" applyFill="1" applyBorder="1" applyAlignment="1">
      <alignment horizontal="center" vertical="center"/>
    </xf>
    <xf numFmtId="0" fontId="54" fillId="19" borderId="69" xfId="0" applyFont="1" applyFill="1" applyBorder="1" applyAlignment="1">
      <alignment horizontal="center" vertical="center"/>
    </xf>
    <xf numFmtId="0" fontId="54" fillId="19" borderId="67" xfId="0" applyFont="1" applyFill="1" applyBorder="1" applyAlignment="1">
      <alignment horizontal="center" vertical="center"/>
    </xf>
    <xf numFmtId="0" fontId="54" fillId="19" borderId="70" xfId="0" applyFont="1" applyFill="1" applyBorder="1" applyAlignment="1">
      <alignment horizontal="center" vertical="center"/>
    </xf>
    <xf numFmtId="3" fontId="64" fillId="40" borderId="62" xfId="0" applyNumberFormat="1" applyFont="1" applyFill="1" applyBorder="1" applyAlignment="1">
      <alignment vertical="center"/>
    </xf>
    <xf numFmtId="0" fontId="62" fillId="35" borderId="32" xfId="0" applyFont="1" applyFill="1" applyBorder="1" applyAlignment="1">
      <alignment horizontal="center" vertical="center" wrapText="1"/>
    </xf>
    <xf numFmtId="0" fontId="69" fillId="27" borderId="33" xfId="0" applyFont="1" applyFill="1" applyBorder="1" applyAlignment="1">
      <alignment horizontal="center" vertical="center"/>
    </xf>
    <xf numFmtId="1" fontId="64" fillId="24" borderId="62" xfId="0" applyNumberFormat="1" applyFont="1" applyFill="1" applyBorder="1" applyAlignment="1">
      <alignment vertical="center"/>
    </xf>
    <xf numFmtId="14" fontId="51" fillId="27" borderId="41" xfId="0" applyNumberFormat="1" applyFont="1" applyFill="1" applyBorder="1" applyAlignment="1">
      <alignment horizontal="center" vertical="center" wrapText="1"/>
    </xf>
    <xf numFmtId="0" fontId="51" fillId="24" borderId="45" xfId="0" applyFont="1" applyFill="1" applyBorder="1" applyAlignment="1">
      <alignment horizontal="center" vertical="center" wrapText="1"/>
    </xf>
    <xf numFmtId="0" fontId="51" fillId="35" borderId="45" xfId="0" applyFont="1" applyFill="1" applyBorder="1" applyAlignment="1">
      <alignment horizontal="center" vertical="center" wrapText="1"/>
    </xf>
    <xf numFmtId="0" fontId="51" fillId="36" borderId="45" xfId="0" applyFont="1" applyFill="1" applyBorder="1" applyAlignment="1">
      <alignment horizontal="center" vertical="center" wrapText="1"/>
    </xf>
    <xf numFmtId="0" fontId="76" fillId="35" borderId="32" xfId="0" applyFont="1" applyFill="1" applyBorder="1" applyAlignment="1">
      <alignment horizontal="center" vertical="center" wrapText="1"/>
    </xf>
    <xf numFmtId="1" fontId="64" fillId="35" borderId="62" xfId="0" applyNumberFormat="1" applyFont="1" applyFill="1" applyBorder="1" applyAlignment="1">
      <alignment vertical="center"/>
    </xf>
    <xf numFmtId="0" fontId="68" fillId="35" borderId="32" xfId="0" applyFont="1" applyFill="1" applyBorder="1" applyAlignment="1">
      <alignment horizontal="center" vertical="center" wrapText="1"/>
    </xf>
    <xf numFmtId="1" fontId="64" fillId="36" borderId="62" xfId="0" applyNumberFormat="1" applyFont="1" applyFill="1" applyBorder="1" applyAlignment="1">
      <alignment vertical="center"/>
    </xf>
    <xf numFmtId="0" fontId="77" fillId="39" borderId="0" xfId="0" applyFont="1" applyFill="1" applyAlignment="1">
      <alignment vertical="center"/>
    </xf>
    <xf numFmtId="9" fontId="64" fillId="27" borderId="61" xfId="0" applyNumberFormat="1" applyFont="1" applyFill="1" applyBorder="1" applyAlignment="1">
      <alignment horizontal="center" vertical="center"/>
    </xf>
    <xf numFmtId="0" fontId="51" fillId="41" borderId="72" xfId="0" applyFont="1" applyFill="1" applyBorder="1" applyAlignment="1">
      <alignment horizontal="center" vertical="center"/>
    </xf>
    <xf numFmtId="0" fontId="64" fillId="28" borderId="62" xfId="0" applyFont="1" applyFill="1" applyBorder="1" applyAlignment="1">
      <alignment horizontal="center" vertical="center"/>
    </xf>
    <xf numFmtId="0" fontId="51" fillId="41" borderId="62" xfId="0" applyFont="1" applyFill="1" applyBorder="1" applyAlignment="1">
      <alignment horizontal="center" vertical="center"/>
    </xf>
    <xf numFmtId="3" fontId="64" fillId="27" borderId="62" xfId="0" applyNumberFormat="1" applyFont="1" applyFill="1" applyBorder="1" applyAlignment="1">
      <alignment horizontal="center" vertical="center"/>
    </xf>
    <xf numFmtId="4" fontId="64" fillId="27" borderId="62" xfId="0" applyNumberFormat="1" applyFont="1" applyFill="1" applyBorder="1" applyAlignment="1">
      <alignment horizontal="center" vertical="center"/>
    </xf>
    <xf numFmtId="0" fontId="54" fillId="19" borderId="0" xfId="0" applyFont="1" applyFill="1" applyAlignment="1">
      <alignment vertical="center"/>
    </xf>
    <xf numFmtId="0" fontId="53" fillId="19" borderId="0" xfId="0" applyFont="1" applyFill="1" applyAlignment="1">
      <alignment vertical="center"/>
    </xf>
    <xf numFmtId="0" fontId="56" fillId="19" borderId="0" xfId="0" applyFont="1" applyFill="1" applyAlignment="1">
      <alignment vertical="center"/>
    </xf>
    <xf numFmtId="10" fontId="64" fillId="27" borderId="62" xfId="0" applyNumberFormat="1" applyFont="1" applyFill="1" applyBorder="1" applyAlignment="1">
      <alignment horizontal="center" vertical="center"/>
    </xf>
    <xf numFmtId="14" fontId="51" fillId="40" borderId="62" xfId="0" applyNumberFormat="1" applyFont="1" applyFill="1" applyBorder="1" applyAlignment="1">
      <alignment horizontal="center" vertical="center"/>
    </xf>
    <xf numFmtId="3" fontId="51" fillId="40" borderId="62" xfId="0" applyNumberFormat="1" applyFont="1" applyFill="1" applyBorder="1" applyAlignment="1">
      <alignment horizontal="center" vertical="center"/>
    </xf>
    <xf numFmtId="169" fontId="51" fillId="40" borderId="62" xfId="0" applyNumberFormat="1" applyFont="1" applyFill="1" applyBorder="1" applyAlignment="1">
      <alignment horizontal="center" vertical="center"/>
    </xf>
    <xf numFmtId="10" fontId="64" fillId="27" borderId="76" xfId="0" applyNumberFormat="1" applyFont="1" applyFill="1" applyBorder="1" applyAlignment="1">
      <alignment horizontal="center" vertical="center"/>
    </xf>
    <xf numFmtId="0" fontId="52" fillId="19" borderId="0" xfId="0" applyFont="1" applyFill="1" applyAlignment="1">
      <alignment vertical="center"/>
    </xf>
    <xf numFmtId="2" fontId="55" fillId="25" borderId="57" xfId="0" applyNumberFormat="1" applyFont="1" applyFill="1" applyBorder="1" applyAlignment="1">
      <alignment horizontal="center" vertical="center"/>
    </xf>
    <xf numFmtId="1" fontId="52" fillId="25" borderId="1" xfId="0" applyNumberFormat="1" applyFont="1" applyFill="1" applyBorder="1" applyAlignment="1">
      <alignment vertical="center"/>
    </xf>
    <xf numFmtId="0" fontId="52" fillId="25" borderId="1" xfId="0" applyFont="1" applyFill="1" applyBorder="1" applyAlignment="1">
      <alignment horizontal="center" vertical="center"/>
    </xf>
    <xf numFmtId="2" fontId="52" fillId="25" borderId="58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55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vertical="center"/>
    </xf>
    <xf numFmtId="0" fontId="78" fillId="24" borderId="30" xfId="0" applyFont="1" applyFill="1" applyBorder="1" applyAlignment="1">
      <alignment vertical="center"/>
    </xf>
    <xf numFmtId="0" fontId="66" fillId="24" borderId="31" xfId="0" applyFont="1" applyFill="1" applyBorder="1" applyAlignment="1">
      <alignment horizontal="center" vertical="center"/>
    </xf>
    <xf numFmtId="0" fontId="79" fillId="19" borderId="0" xfId="0" applyFont="1" applyFill="1" applyAlignment="1">
      <alignment vertical="center"/>
    </xf>
    <xf numFmtId="2" fontId="55" fillId="25" borderId="37" xfId="0" applyNumberFormat="1" applyFont="1" applyFill="1" applyBorder="1" applyAlignment="1">
      <alignment horizontal="center" vertical="center"/>
    </xf>
    <xf numFmtId="0" fontId="69" fillId="27" borderId="54" xfId="0" applyFont="1" applyFill="1" applyBorder="1" applyAlignment="1">
      <alignment horizontal="center" vertical="center"/>
    </xf>
    <xf numFmtId="0" fontId="69" fillId="27" borderId="80" xfId="0" applyFont="1" applyFill="1" applyBorder="1" applyAlignment="1">
      <alignment horizontal="center" vertical="center"/>
    </xf>
    <xf numFmtId="1" fontId="64" fillId="27" borderId="81" xfId="0" applyNumberFormat="1" applyFont="1" applyFill="1" applyBorder="1" applyAlignment="1">
      <alignment horizontal="center" vertical="center"/>
    </xf>
    <xf numFmtId="2" fontId="64" fillId="36" borderId="44" xfId="0" applyNumberFormat="1" applyFont="1" applyFill="1" applyBorder="1" applyAlignment="1">
      <alignment vertical="center"/>
    </xf>
    <xf numFmtId="164" fontId="64" fillId="36" borderId="43" xfId="0" applyNumberFormat="1" applyFont="1" applyFill="1" applyBorder="1" applyAlignment="1">
      <alignment vertical="center"/>
    </xf>
    <xf numFmtId="164" fontId="64" fillId="36" borderId="82" xfId="0" applyNumberFormat="1" applyFont="1" applyFill="1" applyBorder="1" applyAlignment="1">
      <alignment vertical="center"/>
    </xf>
    <xf numFmtId="1" fontId="64" fillId="36" borderId="34" xfId="0" applyNumberFormat="1" applyFont="1" applyFill="1" applyBorder="1" applyAlignment="1">
      <alignment vertical="center"/>
    </xf>
    <xf numFmtId="1" fontId="64" fillId="36" borderId="38" xfId="0" applyNumberFormat="1" applyFont="1" applyFill="1" applyBorder="1" applyAlignment="1">
      <alignment vertical="center"/>
    </xf>
    <xf numFmtId="2" fontId="64" fillId="36" borderId="35" xfId="0" applyNumberFormat="1" applyFont="1" applyFill="1" applyBorder="1" applyAlignment="1">
      <alignment vertical="center"/>
    </xf>
    <xf numFmtId="164" fontId="64" fillId="36" borderId="2" xfId="0" applyNumberFormat="1" applyFont="1" applyFill="1" applyBorder="1" applyAlignment="1">
      <alignment vertical="center"/>
    </xf>
    <xf numFmtId="164" fontId="64" fillId="36" borderId="36" xfId="0" applyNumberFormat="1" applyFont="1" applyFill="1" applyBorder="1" applyAlignment="1">
      <alignment vertical="center"/>
    </xf>
    <xf numFmtId="1" fontId="64" fillId="27" borderId="77" xfId="0" applyNumberFormat="1" applyFont="1" applyFill="1" applyBorder="1" applyAlignment="1">
      <alignment horizontal="center" vertical="center"/>
    </xf>
    <xf numFmtId="2" fontId="64" fillId="36" borderId="84" xfId="0" applyNumberFormat="1" applyFont="1" applyFill="1" applyBorder="1" applyAlignment="1">
      <alignment vertical="center"/>
    </xf>
    <xf numFmtId="164" fontId="64" fillId="36" borderId="15" xfId="0" applyNumberFormat="1" applyFont="1" applyFill="1" applyBorder="1" applyAlignment="1">
      <alignment vertical="center"/>
    </xf>
    <xf numFmtId="164" fontId="64" fillId="36" borderId="79" xfId="0" applyNumberFormat="1" applyFont="1" applyFill="1" applyBorder="1" applyAlignment="1">
      <alignment vertical="center"/>
    </xf>
    <xf numFmtId="1" fontId="64" fillId="36" borderId="65" xfId="0" applyNumberFormat="1" applyFont="1" applyFill="1" applyBorder="1" applyAlignment="1">
      <alignment vertical="center"/>
    </xf>
    <xf numFmtId="1" fontId="64" fillId="36" borderId="85" xfId="0" applyNumberFormat="1" applyFont="1" applyFill="1" applyBorder="1" applyAlignment="1">
      <alignment vertical="center"/>
    </xf>
    <xf numFmtId="0" fontId="64" fillId="40" borderId="86" xfId="0" applyFont="1" applyFill="1" applyBorder="1" applyAlignment="1">
      <alignment horizontal="center" vertical="center"/>
    </xf>
    <xf numFmtId="1" fontId="64" fillId="40" borderId="77" xfId="0" applyNumberFormat="1" applyFont="1" applyFill="1" applyBorder="1" applyAlignment="1">
      <alignment horizontal="center" vertical="center"/>
    </xf>
    <xf numFmtId="0" fontId="64" fillId="40" borderId="78" xfId="0" applyFont="1" applyFill="1" applyBorder="1" applyAlignment="1">
      <alignment horizontal="center" vertical="center"/>
    </xf>
    <xf numFmtId="164" fontId="64" fillId="40" borderId="88" xfId="0" applyNumberFormat="1" applyFont="1" applyFill="1" applyBorder="1" applyAlignment="1">
      <alignment horizontal="right" vertical="center"/>
    </xf>
    <xf numFmtId="164" fontId="64" fillId="40" borderId="89" xfId="0" applyNumberFormat="1" applyFont="1" applyFill="1" applyBorder="1" applyAlignment="1">
      <alignment horizontal="right" vertical="center"/>
    </xf>
    <xf numFmtId="2" fontId="64" fillId="40" borderId="87" xfId="0" applyNumberFormat="1" applyFont="1" applyFill="1" applyBorder="1" applyAlignment="1">
      <alignment vertical="center"/>
    </xf>
    <xf numFmtId="1" fontId="64" fillId="40" borderId="77" xfId="0" applyNumberFormat="1" applyFont="1" applyFill="1" applyBorder="1" applyAlignment="1">
      <alignment vertical="center"/>
    </xf>
    <xf numFmtId="164" fontId="64" fillId="40" borderId="89" xfId="0" applyNumberFormat="1" applyFont="1" applyFill="1" applyBorder="1" applyAlignment="1">
      <alignment horizontal="center" vertical="center"/>
    </xf>
    <xf numFmtId="0" fontId="53" fillId="35" borderId="0" xfId="0" applyFont="1" applyFill="1" applyAlignment="1">
      <alignment vertical="center"/>
    </xf>
    <xf numFmtId="2" fontId="55" fillId="25" borderId="58" xfId="0" applyNumberFormat="1" applyFont="1" applyFill="1" applyBorder="1" applyAlignment="1">
      <alignment horizontal="center" vertical="center"/>
    </xf>
    <xf numFmtId="1" fontId="68" fillId="31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7" fillId="33" borderId="34" xfId="55" applyNumberFormat="1" applyFont="1" applyFill="1" applyBorder="1" applyAlignment="1">
      <alignment horizontal="center" vertical="center"/>
    </xf>
    <xf numFmtId="0" fontId="57" fillId="23" borderId="91" xfId="0" applyFont="1" applyFill="1" applyBorder="1" applyAlignment="1">
      <alignment horizontal="center" vertical="center"/>
    </xf>
    <xf numFmtId="0" fontId="68" fillId="31" borderId="34" xfId="0" applyFont="1" applyFill="1" applyBorder="1" applyAlignment="1">
      <alignment horizontal="center" vertical="center"/>
    </xf>
    <xf numFmtId="0" fontId="55" fillId="27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51" fillId="31" borderId="34" xfId="2" applyNumberFormat="1" applyFont="1" applyFill="1" applyBorder="1" applyAlignment="1">
      <alignment horizontal="center" vertical="center"/>
    </xf>
    <xf numFmtId="0" fontId="51" fillId="31" borderId="37" xfId="0" applyFont="1" applyFill="1" applyBorder="1" applyAlignment="1">
      <alignment horizontal="center" vertical="center"/>
    </xf>
    <xf numFmtId="0" fontId="64" fillId="27" borderId="34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vertical="center"/>
    </xf>
    <xf numFmtId="0" fontId="64" fillId="35" borderId="2" xfId="0" applyFont="1" applyFill="1" applyBorder="1" applyAlignment="1">
      <alignment vertical="center"/>
    </xf>
    <xf numFmtId="0" fontId="64" fillId="35" borderId="36" xfId="0" applyFont="1" applyFill="1" applyBorder="1" applyAlignment="1">
      <alignment vertical="center"/>
    </xf>
    <xf numFmtId="0" fontId="64" fillId="28" borderId="37" xfId="0" applyFont="1" applyFill="1" applyBorder="1" applyAlignment="1">
      <alignment vertical="center"/>
    </xf>
    <xf numFmtId="0" fontId="64" fillId="35" borderId="37" xfId="0" applyFont="1" applyFill="1" applyBorder="1" applyAlignment="1">
      <alignment vertical="center"/>
    </xf>
    <xf numFmtId="0" fontId="64" fillId="35" borderId="38" xfId="0" applyFont="1" applyFill="1" applyBorder="1" applyAlignment="1">
      <alignment vertical="center"/>
    </xf>
    <xf numFmtId="0" fontId="63" fillId="27" borderId="33" xfId="0" applyFont="1" applyFill="1" applyBorder="1" applyAlignment="1">
      <alignment horizontal="center" vertical="center"/>
    </xf>
    <xf numFmtId="0" fontId="64" fillId="24" borderId="2" xfId="0" applyFont="1" applyFill="1" applyBorder="1" applyAlignment="1">
      <alignment vertical="center"/>
    </xf>
    <xf numFmtId="0" fontId="64" fillId="24" borderId="36" xfId="0" applyFont="1" applyFill="1" applyBorder="1" applyAlignment="1">
      <alignment vertical="center"/>
    </xf>
    <xf numFmtId="0" fontId="64" fillId="24" borderId="34" xfId="0" applyFont="1" applyFill="1" applyBorder="1" applyAlignment="1">
      <alignment vertical="center"/>
    </xf>
    <xf numFmtId="0" fontId="64" fillId="24" borderId="38" xfId="0" applyFont="1" applyFill="1" applyBorder="1" applyAlignment="1">
      <alignment vertical="center"/>
    </xf>
    <xf numFmtId="0" fontId="72" fillId="27" borderId="33" xfId="0" applyFont="1" applyFill="1" applyBorder="1" applyAlignment="1">
      <alignment horizontal="center" vertical="center"/>
    </xf>
    <xf numFmtId="0" fontId="74" fillId="27" borderId="33" xfId="0" applyFont="1" applyFill="1" applyBorder="1" applyAlignment="1">
      <alignment horizontal="center" vertical="center"/>
    </xf>
    <xf numFmtId="0" fontId="74" fillId="27" borderId="64" xfId="0" applyFont="1" applyFill="1" applyBorder="1" applyAlignment="1">
      <alignment horizontal="center" vertical="center"/>
    </xf>
    <xf numFmtId="0" fontId="64" fillId="27" borderId="65" xfId="0" applyFont="1" applyFill="1" applyBorder="1" applyAlignment="1">
      <alignment horizontal="center" vertical="center"/>
    </xf>
    <xf numFmtId="0" fontId="64" fillId="27" borderId="66" xfId="0" applyFont="1" applyFill="1" applyBorder="1" applyAlignment="1">
      <alignment vertical="center"/>
    </xf>
    <xf numFmtId="0" fontId="64" fillId="24" borderId="67" xfId="0" applyFont="1" applyFill="1" applyBorder="1" applyAlignment="1">
      <alignment vertical="center"/>
    </xf>
    <xf numFmtId="0" fontId="64" fillId="24" borderId="68" xfId="0" applyFont="1" applyFill="1" applyBorder="1" applyAlignment="1">
      <alignment vertical="center"/>
    </xf>
    <xf numFmtId="0" fontId="64" fillId="28" borderId="64" xfId="0" applyFont="1" applyFill="1" applyBorder="1" applyAlignment="1">
      <alignment vertical="center"/>
    </xf>
    <xf numFmtId="0" fontId="64" fillId="24" borderId="65" xfId="0" applyFont="1" applyFill="1" applyBorder="1" applyAlignment="1">
      <alignment vertical="center"/>
    </xf>
    <xf numFmtId="0" fontId="64" fillId="27" borderId="77" xfId="0" applyFont="1" applyFill="1" applyBorder="1" applyAlignment="1">
      <alignment horizontal="center" vertical="center"/>
    </xf>
    <xf numFmtId="0" fontId="64" fillId="27" borderId="78" xfId="0" applyFont="1" applyFill="1" applyBorder="1" applyAlignment="1">
      <alignment vertical="center"/>
    </xf>
    <xf numFmtId="0" fontId="64" fillId="35" borderId="15" xfId="0" applyFont="1" applyFill="1" applyBorder="1" applyAlignment="1">
      <alignment vertical="center"/>
    </xf>
    <xf numFmtId="0" fontId="64" fillId="35" borderId="79" xfId="0" applyFont="1" applyFill="1" applyBorder="1" applyAlignment="1">
      <alignment vertical="center"/>
    </xf>
    <xf numFmtId="0" fontId="64" fillId="35" borderId="65" xfId="0" applyFont="1" applyFill="1" applyBorder="1" applyAlignment="1">
      <alignment vertical="center"/>
    </xf>
    <xf numFmtId="0" fontId="64" fillId="35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41" fillId="18" borderId="3" xfId="55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0" fontId="4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7" fillId="9" borderId="96" xfId="0" applyNumberFormat="1" applyFont="1" applyFill="1" applyBorder="1" applyAlignment="1">
      <alignment vertical="center"/>
    </xf>
    <xf numFmtId="0" fontId="31" fillId="13" borderId="98" xfId="0" applyFont="1" applyFill="1" applyBorder="1" applyAlignment="1">
      <alignment horizontal="center" vertical="center"/>
    </xf>
    <xf numFmtId="167" fontId="31" fillId="13" borderId="98" xfId="40" applyNumberFormat="1" applyFont="1" applyFill="1" applyBorder="1" applyAlignment="1">
      <alignment horizontal="center" vertical="center" wrapText="1"/>
    </xf>
    <xf numFmtId="2" fontId="41" fillId="13" borderId="98" xfId="0" applyNumberFormat="1" applyFont="1" applyFill="1" applyBorder="1" applyAlignment="1">
      <alignment horizontal="center" vertical="center"/>
    </xf>
    <xf numFmtId="167" fontId="13" fillId="13" borderId="98" xfId="40" applyNumberFormat="1" applyFont="1" applyFill="1" applyBorder="1" applyAlignment="1">
      <alignment horizontal="center" vertical="center"/>
    </xf>
    <xf numFmtId="0" fontId="13" fillId="14" borderId="98" xfId="0" applyFont="1" applyFill="1" applyBorder="1" applyAlignment="1">
      <alignment horizontal="center" vertical="center"/>
    </xf>
    <xf numFmtId="0" fontId="19" fillId="13" borderId="98" xfId="0" applyFont="1" applyFill="1" applyBorder="1" applyAlignment="1">
      <alignment horizontal="center" vertical="center"/>
    </xf>
    <xf numFmtId="0" fontId="13" fillId="13" borderId="98" xfId="0" applyFont="1" applyFill="1" applyBorder="1" applyAlignment="1">
      <alignment horizontal="center" vertical="center"/>
    </xf>
    <xf numFmtId="3" fontId="13" fillId="13" borderId="98" xfId="0" applyNumberFormat="1" applyFont="1" applyFill="1" applyBorder="1" applyAlignment="1">
      <alignment horizontal="center" vertical="center"/>
    </xf>
    <xf numFmtId="0" fontId="13" fillId="13" borderId="99" xfId="0" applyFont="1" applyFill="1" applyBorder="1" applyAlignment="1">
      <alignment horizontal="right" vertical="center"/>
    </xf>
    <xf numFmtId="166" fontId="13" fillId="13" borderId="98" xfId="0" applyNumberFormat="1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/>
    </xf>
    <xf numFmtId="3" fontId="85" fillId="7" borderId="101" xfId="0" applyNumberFormat="1" applyFont="1" applyFill="1" applyBorder="1" applyAlignment="1">
      <alignment horizontal="center" vertical="center"/>
    </xf>
    <xf numFmtId="3" fontId="85" fillId="7" borderId="102" xfId="0" applyNumberFormat="1" applyFont="1" applyFill="1" applyBorder="1" applyAlignment="1">
      <alignment horizontal="center" vertical="center"/>
    </xf>
    <xf numFmtId="3" fontId="86" fillId="7" borderId="103" xfId="0" applyNumberFormat="1" applyFont="1" applyFill="1" applyBorder="1" applyAlignment="1">
      <alignment horizontal="center" vertical="center"/>
    </xf>
    <xf numFmtId="3" fontId="86" fillId="7" borderId="104" xfId="0" applyNumberFormat="1" applyFont="1" applyFill="1" applyBorder="1" applyAlignment="1">
      <alignment horizontal="center" vertical="center"/>
    </xf>
    <xf numFmtId="0" fontId="64" fillId="36" borderId="37" xfId="0" applyFont="1" applyFill="1" applyBorder="1" applyAlignment="1">
      <alignment vertical="center"/>
    </xf>
    <xf numFmtId="0" fontId="64" fillId="36" borderId="64" xfId="0" applyFont="1" applyFill="1" applyBorder="1" applyAlignment="1">
      <alignment vertical="center"/>
    </xf>
    <xf numFmtId="0" fontId="80" fillId="28" borderId="87" xfId="0" applyFont="1" applyFill="1" applyBorder="1" applyAlignment="1">
      <alignment horizontal="center" vertical="center"/>
    </xf>
    <xf numFmtId="0" fontId="51" fillId="29" borderId="39" xfId="0" applyFont="1" applyFill="1" applyBorder="1" applyAlignment="1">
      <alignment horizontal="center" vertical="center"/>
    </xf>
    <xf numFmtId="0" fontId="51" fillId="29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37" borderId="49" xfId="0" applyFont="1" applyFill="1" applyBorder="1" applyAlignment="1">
      <alignment horizontal="center" vertical="center"/>
    </xf>
    <xf numFmtId="0" fontId="64" fillId="38" borderId="49" xfId="0" applyFont="1" applyFill="1" applyBorder="1" applyAlignment="1">
      <alignment horizontal="right" vertical="center"/>
    </xf>
    <xf numFmtId="0" fontId="54" fillId="29" borderId="49" xfId="0" applyFont="1" applyFill="1" applyBorder="1" applyAlignment="1">
      <alignment horizontal="center" vertical="center"/>
    </xf>
    <xf numFmtId="0" fontId="54" fillId="29" borderId="55" xfId="0" applyFont="1" applyFill="1" applyBorder="1" applyAlignment="1">
      <alignment horizontal="center" vertical="center"/>
    </xf>
    <xf numFmtId="0" fontId="64" fillId="24" borderId="43" xfId="0" applyFont="1" applyFill="1" applyBorder="1" applyAlignment="1">
      <alignment horizontal="right" vertical="center"/>
    </xf>
    <xf numFmtId="0" fontId="64" fillId="24" borderId="44" xfId="0" applyFont="1" applyFill="1" applyBorder="1" applyAlignment="1">
      <alignment horizontal="right" vertical="center"/>
    </xf>
    <xf numFmtId="0" fontId="64" fillId="24" borderId="2" xfId="0" applyFont="1" applyFill="1" applyBorder="1" applyAlignment="1">
      <alignment horizontal="right" vertical="center"/>
    </xf>
    <xf numFmtId="0" fontId="64" fillId="24" borderId="35" xfId="0" applyFont="1" applyFill="1" applyBorder="1" applyAlignment="1">
      <alignment horizontal="right" vertical="center"/>
    </xf>
    <xf numFmtId="0" fontId="51" fillId="31" borderId="93" xfId="0" applyFont="1" applyFill="1" applyBorder="1" applyAlignment="1">
      <alignment horizontal="center" vertical="center"/>
    </xf>
    <xf numFmtId="0" fontId="64" fillId="35" borderId="2" xfId="0" applyFont="1" applyFill="1" applyBorder="1" applyAlignment="1">
      <alignment horizontal="right" vertical="center"/>
    </xf>
    <xf numFmtId="0" fontId="64" fillId="35" borderId="46" xfId="0" applyFont="1" applyFill="1" applyBorder="1" applyAlignment="1">
      <alignment horizontal="right" vertical="center"/>
    </xf>
    <xf numFmtId="0" fontId="64" fillId="35" borderId="35" xfId="0" applyFont="1" applyFill="1" applyBorder="1" applyAlignment="1">
      <alignment horizontal="right" vertical="center"/>
    </xf>
    <xf numFmtId="0" fontId="64" fillId="36" borderId="2" xfId="0" applyFont="1" applyFill="1" applyBorder="1" applyAlignment="1">
      <alignment horizontal="right" vertical="center"/>
    </xf>
    <xf numFmtId="0" fontId="64" fillId="36" borderId="35" xfId="0" applyFont="1" applyFill="1" applyBorder="1" applyAlignment="1">
      <alignment horizontal="right" vertical="center"/>
    </xf>
    <xf numFmtId="0" fontId="8" fillId="4" borderId="105" xfId="31" applyFont="1" applyFill="1" applyBorder="1" applyAlignment="1">
      <alignment horizontal="center"/>
    </xf>
    <xf numFmtId="0" fontId="67" fillId="33" borderId="34" xfId="0" applyFont="1" applyFill="1" applyBorder="1" applyAlignment="1">
      <alignment horizontal="center" vertical="center"/>
    </xf>
    <xf numFmtId="0" fontId="57" fillId="21" borderId="25" xfId="0" applyFont="1" applyFill="1" applyBorder="1" applyAlignment="1">
      <alignment horizontal="center" vertical="center"/>
    </xf>
    <xf numFmtId="0" fontId="58" fillId="23" borderId="25" xfId="0" applyFont="1" applyFill="1" applyBorder="1" applyAlignment="1">
      <alignment horizontal="center" vertical="center"/>
    </xf>
    <xf numFmtId="0" fontId="57" fillId="23" borderId="25" xfId="0" applyFont="1" applyFill="1" applyBorder="1" applyAlignment="1">
      <alignment horizontal="center" vertical="center"/>
    </xf>
    <xf numFmtId="2" fontId="47" fillId="9" borderId="106" xfId="0" applyNumberFormat="1" applyFont="1" applyFill="1" applyBorder="1" applyAlignment="1">
      <alignment vertical="center"/>
    </xf>
    <xf numFmtId="0" fontId="47" fillId="9" borderId="3" xfId="0" applyFont="1" applyFill="1" applyBorder="1" applyAlignment="1">
      <alignment vertical="center"/>
    </xf>
    <xf numFmtId="0" fontId="47" fillId="9" borderId="96" xfId="0" applyFont="1" applyFill="1" applyBorder="1" applyAlignment="1">
      <alignment vertical="center"/>
    </xf>
    <xf numFmtId="2" fontId="3" fillId="0" borderId="97" xfId="55" applyNumberFormat="1" applyFont="1" applyBorder="1" applyAlignment="1">
      <alignment vertical="center"/>
    </xf>
    <xf numFmtId="2" fontId="47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42" fillId="10" borderId="108" xfId="55" applyNumberFormat="1" applyFont="1" applyFill="1" applyBorder="1" applyAlignment="1">
      <alignment horizontal="right" vertical="center"/>
    </xf>
    <xf numFmtId="167" fontId="42" fillId="10" borderId="116" xfId="55" applyNumberFormat="1" applyFont="1" applyFill="1" applyBorder="1" applyAlignment="1">
      <alignment horizontal="right" vertical="center"/>
    </xf>
    <xf numFmtId="0" fontId="82" fillId="10" borderId="108" xfId="0" applyFont="1" applyFill="1" applyBorder="1" applyAlignment="1">
      <alignment horizontal="right" vertical="center"/>
    </xf>
    <xf numFmtId="0" fontId="32" fillId="10" borderId="116" xfId="0" applyFont="1" applyFill="1" applyBorder="1" applyAlignment="1">
      <alignment horizontal="right" vertical="center"/>
    </xf>
    <xf numFmtId="0" fontId="81" fillId="9" borderId="108" xfId="0" applyFont="1" applyFill="1" applyBorder="1" applyAlignment="1">
      <alignment horizontal="center" vertical="center"/>
    </xf>
    <xf numFmtId="10" fontId="30" fillId="10" borderId="108" xfId="114" applyNumberFormat="1" applyFont="1" applyFill="1" applyBorder="1" applyAlignment="1">
      <alignment horizontal="center" vertical="center"/>
    </xf>
    <xf numFmtId="10" fontId="30" fillId="10" borderId="116" xfId="114" applyNumberFormat="1" applyFont="1" applyFill="1" applyBorder="1" applyAlignment="1">
      <alignment horizontal="center" vertical="center"/>
    </xf>
    <xf numFmtId="0" fontId="46" fillId="10" borderId="108" xfId="0" applyFont="1" applyFill="1" applyBorder="1" applyAlignment="1">
      <alignment horizontal="right" vertical="center"/>
    </xf>
    <xf numFmtId="0" fontId="46" fillId="10" borderId="116" xfId="0" applyFont="1" applyFill="1" applyBorder="1" applyAlignment="1">
      <alignment horizontal="right" vertical="center"/>
    </xf>
    <xf numFmtId="0" fontId="46" fillId="10" borderId="118" xfId="0" applyFont="1" applyFill="1" applyBorder="1" applyAlignment="1">
      <alignment horizontal="right" vertical="center"/>
    </xf>
    <xf numFmtId="0" fontId="46" fillId="10" borderId="115" xfId="0" applyFont="1" applyFill="1" applyBorder="1" applyAlignment="1">
      <alignment horizontal="right" vertical="center"/>
    </xf>
    <xf numFmtId="0" fontId="42" fillId="10" borderId="108" xfId="0" applyFont="1" applyFill="1" applyBorder="1" applyAlignment="1">
      <alignment horizontal="right" vertical="center"/>
    </xf>
    <xf numFmtId="0" fontId="42" fillId="10" borderId="116" xfId="0" applyFont="1" applyFill="1" applyBorder="1" applyAlignment="1">
      <alignment horizontal="right" vertical="center"/>
    </xf>
    <xf numFmtId="0" fontId="42" fillId="10" borderId="118" xfId="0" applyFont="1" applyFill="1" applyBorder="1" applyAlignment="1">
      <alignment horizontal="right" vertical="center"/>
    </xf>
    <xf numFmtId="0" fontId="42" fillId="10" borderId="115" xfId="0" applyFont="1" applyFill="1" applyBorder="1" applyAlignment="1">
      <alignment horizontal="right" vertical="center"/>
    </xf>
    <xf numFmtId="3" fontId="42" fillId="10" borderId="116" xfId="0" applyNumberFormat="1" applyFont="1" applyFill="1" applyBorder="1" applyAlignment="1">
      <alignment horizontal="right" vertical="center"/>
    </xf>
    <xf numFmtId="0" fontId="46" fillId="10" borderId="109" xfId="0" applyFont="1" applyFill="1" applyBorder="1" applyAlignment="1">
      <alignment horizontal="right" vertical="center"/>
    </xf>
    <xf numFmtId="0" fontId="46" fillId="10" borderId="96" xfId="0" applyFont="1" applyFill="1" applyBorder="1" applyAlignment="1">
      <alignment horizontal="right" vertical="center"/>
    </xf>
    <xf numFmtId="0" fontId="46" fillId="10" borderId="3" xfId="0" applyFont="1" applyFill="1" applyBorder="1" applyAlignment="1">
      <alignment horizontal="right" vertical="center"/>
    </xf>
    <xf numFmtId="10" fontId="30" fillId="10" borderId="115" xfId="114" applyNumberFormat="1" applyFont="1" applyFill="1" applyBorder="1" applyAlignment="1">
      <alignment horizontal="center" vertical="center"/>
    </xf>
    <xf numFmtId="0" fontId="32" fillId="9" borderId="116" xfId="0" applyFont="1" applyFill="1" applyBorder="1" applyAlignment="1">
      <alignment horizontal="center" vertical="center"/>
    </xf>
    <xf numFmtId="167" fontId="42" fillId="10" borderId="115" xfId="55" applyNumberFormat="1" applyFont="1" applyFill="1" applyBorder="1" applyAlignment="1">
      <alignment horizontal="right" vertical="center"/>
    </xf>
    <xf numFmtId="0" fontId="82" fillId="10" borderId="115" xfId="0" applyFont="1" applyFill="1" applyBorder="1" applyAlignment="1">
      <alignment horizontal="right" vertical="center"/>
    </xf>
    <xf numFmtId="0" fontId="81" fillId="10" borderId="116" xfId="0" applyFont="1" applyFill="1" applyBorder="1" applyAlignment="1">
      <alignment horizontal="right" vertical="center"/>
    </xf>
    <xf numFmtId="0" fontId="87" fillId="10" borderId="113" xfId="0" applyFont="1" applyFill="1" applyBorder="1" applyAlignment="1">
      <alignment horizontal="left" vertical="center"/>
    </xf>
    <xf numFmtId="0" fontId="42" fillId="10" borderId="97" xfId="55" applyNumberFormat="1" applyFont="1" applyFill="1" applyBorder="1" applyAlignment="1">
      <alignment horizontal="right" vertical="center"/>
    </xf>
    <xf numFmtId="0" fontId="83" fillId="10" borderId="97" xfId="55" applyNumberFormat="1" applyFont="1" applyFill="1" applyBorder="1" applyAlignment="1">
      <alignment horizontal="right" vertical="center"/>
    </xf>
    <xf numFmtId="0" fontId="81" fillId="10" borderId="97" xfId="0" applyFont="1" applyFill="1" applyBorder="1" applyAlignment="1">
      <alignment horizontal="right" vertical="center"/>
    </xf>
    <xf numFmtId="0" fontId="82" fillId="10" borderId="97" xfId="0" applyFont="1" applyFill="1" applyBorder="1" applyAlignment="1">
      <alignment horizontal="right" vertical="center"/>
    </xf>
    <xf numFmtId="0" fontId="32" fillId="9" borderId="97" xfId="0" applyFont="1" applyFill="1" applyBorder="1" applyAlignment="1">
      <alignment horizontal="center" vertical="center"/>
    </xf>
    <xf numFmtId="10" fontId="84" fillId="10" borderId="116" xfId="114" applyNumberFormat="1" applyFont="1" applyFill="1" applyBorder="1" applyAlignment="1">
      <alignment horizontal="center" vertical="center"/>
    </xf>
    <xf numFmtId="0" fontId="83" fillId="10" borderId="116" xfId="55" applyNumberFormat="1" applyFont="1" applyFill="1" applyBorder="1" applyAlignment="1">
      <alignment horizontal="right" vertical="center"/>
    </xf>
    <xf numFmtId="0" fontId="82" fillId="10" borderId="116" xfId="0" applyFont="1" applyFill="1" applyBorder="1" applyAlignment="1">
      <alignment horizontal="right" vertical="center"/>
    </xf>
    <xf numFmtId="0" fontId="42" fillId="10" borderId="119" xfId="55" applyNumberFormat="1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33" fillId="9" borderId="119" xfId="0" applyFont="1" applyFill="1" applyBorder="1" applyAlignment="1">
      <alignment horizontal="center" vertical="center"/>
    </xf>
    <xf numFmtId="10" fontId="30" fillId="10" borderId="118" xfId="114" applyNumberFormat="1" applyFont="1" applyFill="1" applyBorder="1" applyAlignment="1">
      <alignment horizontal="center" vertical="center"/>
    </xf>
    <xf numFmtId="0" fontId="46" fillId="10" borderId="120" xfId="0" applyFont="1" applyFill="1" applyBorder="1" applyAlignment="1">
      <alignment horizontal="right" vertical="center"/>
    </xf>
    <xf numFmtId="0" fontId="83" fillId="10" borderId="119" xfId="55" applyNumberFormat="1" applyFont="1" applyFill="1" applyBorder="1" applyAlignment="1">
      <alignment horizontal="right" vertical="center"/>
    </xf>
    <xf numFmtId="0" fontId="47" fillId="9" borderId="120" xfId="0" applyFont="1" applyFill="1" applyBorder="1" applyAlignment="1">
      <alignment vertical="center"/>
    </xf>
    <xf numFmtId="2" fontId="3" fillId="0" borderId="119" xfId="55" applyNumberFormat="1" applyFont="1" applyBorder="1" applyAlignment="1">
      <alignment vertical="center"/>
    </xf>
    <xf numFmtId="0" fontId="83" fillId="10" borderId="118" xfId="55" applyNumberFormat="1" applyFont="1" applyFill="1" applyBorder="1" applyAlignment="1">
      <alignment horizontal="right" vertical="center"/>
    </xf>
    <xf numFmtId="0" fontId="82" fillId="10" borderId="118" xfId="0" applyFont="1" applyFill="1" applyBorder="1" applyAlignment="1">
      <alignment horizontal="right" vertical="center"/>
    </xf>
    <xf numFmtId="0" fontId="33" fillId="9" borderId="118" xfId="0" applyFont="1" applyFill="1" applyBorder="1" applyAlignment="1">
      <alignment horizontal="center" vertical="center"/>
    </xf>
    <xf numFmtId="0" fontId="47" fillId="9" borderId="106" xfId="0" applyFont="1" applyFill="1" applyBorder="1" applyAlignment="1">
      <alignment vertical="center"/>
    </xf>
    <xf numFmtId="0" fontId="89" fillId="10" borderId="117" xfId="0" applyFont="1" applyFill="1" applyBorder="1" applyAlignment="1">
      <alignment horizontal="left" vertical="center"/>
    </xf>
    <xf numFmtId="0" fontId="87" fillId="10" borderId="117" xfId="0" applyFont="1" applyFill="1" applyBorder="1" applyAlignment="1">
      <alignment horizontal="left" vertical="center"/>
    </xf>
    <xf numFmtId="0" fontId="42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67" fontId="42" fillId="10" borderId="126" xfId="55" applyNumberFormat="1" applyFont="1" applyFill="1" applyBorder="1" applyAlignment="1">
      <alignment horizontal="right" vertical="center"/>
    </xf>
    <xf numFmtId="0" fontId="32" fillId="10" borderId="126" xfId="0" applyFont="1" applyFill="1" applyBorder="1" applyAlignment="1">
      <alignment horizontal="right" vertical="center"/>
    </xf>
    <xf numFmtId="10" fontId="30" fillId="10" borderId="126" xfId="114" applyNumberFormat="1" applyFont="1" applyFill="1" applyBorder="1" applyAlignment="1">
      <alignment horizontal="center" vertical="center"/>
    </xf>
    <xf numFmtId="0" fontId="46" fillId="10" borderId="127" xfId="0" applyFont="1" applyFill="1" applyBorder="1" applyAlignment="1">
      <alignment horizontal="right" vertical="center"/>
    </xf>
    <xf numFmtId="0" fontId="46" fillId="10" borderId="126" xfId="0" applyFont="1" applyFill="1" applyBorder="1" applyAlignment="1">
      <alignment horizontal="right" vertical="center"/>
    </xf>
    <xf numFmtId="0" fontId="42" fillId="10" borderId="126" xfId="0" applyFont="1" applyFill="1" applyBorder="1" applyAlignment="1">
      <alignment horizontal="right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67" fontId="42" fillId="10" borderId="118" xfId="55" applyNumberFormat="1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32" fillId="9" borderId="118" xfId="0" applyFont="1" applyFill="1" applyBorder="1" applyAlignment="1">
      <alignment horizontal="center" vertical="center"/>
    </xf>
    <xf numFmtId="3" fontId="42" fillId="10" borderId="118" xfId="0" applyNumberFormat="1" applyFont="1" applyFill="1" applyBorder="1" applyAlignment="1">
      <alignment horizontal="right" vertical="center"/>
    </xf>
    <xf numFmtId="2" fontId="47" fillId="9" borderId="120" xfId="0" applyNumberFormat="1" applyFont="1" applyFill="1" applyBorder="1" applyAlignment="1">
      <alignment vertical="center"/>
    </xf>
    <xf numFmtId="170" fontId="3" fillId="0" borderId="0" xfId="55" applyNumberFormat="1" applyFont="1"/>
    <xf numFmtId="0" fontId="83" fillId="10" borderId="107" xfId="55" applyNumberFormat="1" applyFont="1" applyFill="1" applyBorder="1" applyAlignment="1">
      <alignment horizontal="right" vertical="center"/>
    </xf>
    <xf numFmtId="0" fontId="83" fillId="10" borderId="114" xfId="55" applyNumberFormat="1" applyFont="1" applyFill="1" applyBorder="1" applyAlignment="1">
      <alignment horizontal="right" vertical="center"/>
    </xf>
    <xf numFmtId="0" fontId="42" fillId="10" borderId="107" xfId="55" applyNumberFormat="1" applyFont="1" applyFill="1" applyBorder="1" applyAlignment="1">
      <alignment horizontal="right" vertical="center"/>
    </xf>
    <xf numFmtId="0" fontId="91" fillId="22" borderId="25" xfId="0" applyFont="1" applyFill="1" applyBorder="1" applyAlignment="1">
      <alignment horizontal="center" vertical="center"/>
    </xf>
    <xf numFmtId="0" fontId="91" fillId="22" borderId="9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45" fillId="12" borderId="132" xfId="55" applyNumberFormat="1" applyFont="1" applyFill="1" applyBorder="1" applyAlignment="1">
      <alignment horizontal="center" vertical="center"/>
    </xf>
    <xf numFmtId="0" fontId="45" fillId="12" borderId="133" xfId="55" applyNumberFormat="1" applyFont="1" applyFill="1" applyBorder="1" applyAlignment="1">
      <alignment horizontal="center" vertical="center"/>
    </xf>
    <xf numFmtId="0" fontId="0" fillId="0" borderId="135" xfId="0" applyBorder="1" applyAlignment="1">
      <alignment horizontal="center"/>
    </xf>
    <xf numFmtId="2" fontId="92" fillId="0" borderId="0" xfId="0" applyNumberFormat="1" applyFont="1"/>
    <xf numFmtId="0" fontId="81" fillId="10" borderId="115" xfId="0" applyFont="1" applyFill="1" applyBorder="1" applyAlignment="1">
      <alignment horizontal="right" vertical="center"/>
    </xf>
    <xf numFmtId="0" fontId="32" fillId="9" borderId="115" xfId="0" applyFont="1" applyFill="1" applyBorder="1" applyAlignment="1">
      <alignment horizontal="center" vertical="center"/>
    </xf>
    <xf numFmtId="3" fontId="42" fillId="10" borderId="115" xfId="0" applyNumberFormat="1" applyFont="1" applyFill="1" applyBorder="1" applyAlignment="1">
      <alignment horizontal="right" vertical="center"/>
    </xf>
    <xf numFmtId="10" fontId="30" fillId="10" borderId="137" xfId="114" applyNumberFormat="1" applyFont="1" applyFill="1" applyBorder="1" applyAlignment="1">
      <alignment horizontal="center" vertical="center"/>
    </xf>
    <xf numFmtId="0" fontId="46" fillId="10" borderId="138" xfId="0" applyFont="1" applyFill="1" applyBorder="1" applyAlignment="1">
      <alignment horizontal="right" vertical="center"/>
    </xf>
    <xf numFmtId="0" fontId="46" fillId="10" borderId="137" xfId="0" applyFont="1" applyFill="1" applyBorder="1" applyAlignment="1">
      <alignment horizontal="right" vertical="center"/>
    </xf>
    <xf numFmtId="0" fontId="42" fillId="10" borderId="137" xfId="0" applyFont="1" applyFill="1" applyBorder="1" applyAlignment="1">
      <alignment horizontal="right" vertical="center"/>
    </xf>
    <xf numFmtId="1" fontId="25" fillId="9" borderId="140" xfId="0" applyNumberFormat="1" applyFont="1" applyFill="1" applyBorder="1" applyAlignment="1">
      <alignment horizontal="center" vertical="center"/>
    </xf>
    <xf numFmtId="0" fontId="81" fillId="10" borderId="107" xfId="0" applyFont="1" applyFill="1" applyBorder="1" applyAlignment="1">
      <alignment horizontal="right" vertical="center"/>
    </xf>
    <xf numFmtId="0" fontId="33" fillId="9" borderId="107" xfId="0" applyFont="1" applyFill="1" applyBorder="1" applyAlignment="1">
      <alignment horizontal="center" vertical="center"/>
    </xf>
    <xf numFmtId="3" fontId="42" fillId="10" borderId="137" xfId="0" applyNumberFormat="1" applyFont="1" applyFill="1" applyBorder="1" applyAlignment="1">
      <alignment horizontal="right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82" fillId="10" borderId="107" xfId="0" applyFont="1" applyFill="1" applyBorder="1" applyAlignment="1">
      <alignment horizontal="right" vertical="center"/>
    </xf>
    <xf numFmtId="0" fontId="32" fillId="9" borderId="143" xfId="0" applyFont="1" applyFill="1" applyBorder="1" applyAlignment="1">
      <alignment horizontal="center" vertical="center"/>
    </xf>
    <xf numFmtId="2" fontId="3" fillId="0" borderId="107" xfId="55" applyNumberFormat="1" applyFont="1" applyBorder="1" applyAlignment="1">
      <alignment vertical="center"/>
    </xf>
    <xf numFmtId="0" fontId="47" fillId="9" borderId="138" xfId="0" applyFont="1" applyFill="1" applyBorder="1" applyAlignment="1">
      <alignment vertical="center"/>
    </xf>
    <xf numFmtId="10" fontId="84" fillId="10" borderId="115" xfId="114" applyNumberFormat="1" applyFont="1" applyFill="1" applyBorder="1" applyAlignment="1">
      <alignment horizontal="center" vertical="center"/>
    </xf>
    <xf numFmtId="0" fontId="87" fillId="10" borderId="136" xfId="0" applyFont="1" applyFill="1" applyBorder="1" applyAlignment="1">
      <alignment horizontal="left" vertical="center"/>
    </xf>
    <xf numFmtId="0" fontId="83" fillId="10" borderId="143" xfId="55" applyNumberFormat="1" applyFont="1" applyFill="1" applyBorder="1" applyAlignment="1">
      <alignment horizontal="right" vertical="center"/>
    </xf>
    <xf numFmtId="0" fontId="81" fillId="10" borderId="143" xfId="0" applyFont="1" applyFill="1" applyBorder="1" applyAlignment="1">
      <alignment horizontal="right" vertical="center"/>
    </xf>
    <xf numFmtId="0" fontId="83" fillId="10" borderId="141" xfId="55" applyNumberFormat="1" applyFont="1" applyFill="1" applyBorder="1" applyAlignment="1">
      <alignment horizontal="right" vertical="center"/>
    </xf>
    <xf numFmtId="2" fontId="47" fillId="9" borderId="138" xfId="0" applyNumberFormat="1" applyFont="1" applyFill="1" applyBorder="1" applyAlignment="1">
      <alignment vertical="center"/>
    </xf>
    <xf numFmtId="0" fontId="83" fillId="10" borderId="115" xfId="55" applyNumberFormat="1" applyFont="1" applyFill="1" applyBorder="1" applyAlignment="1">
      <alignment horizontal="right" vertical="center"/>
    </xf>
    <xf numFmtId="0" fontId="33" fillId="9" borderId="115" xfId="0" applyFont="1" applyFill="1" applyBorder="1" applyAlignment="1">
      <alignment horizontal="center" vertical="center"/>
    </xf>
    <xf numFmtId="0" fontId="81" fillId="10" borderId="9" xfId="0" applyFont="1" applyFill="1" applyBorder="1" applyAlignment="1">
      <alignment horizontal="left" vertical="center"/>
    </xf>
    <xf numFmtId="0" fontId="81" fillId="10" borderId="113" xfId="0" applyFont="1" applyFill="1" applyBorder="1" applyAlignment="1">
      <alignment horizontal="left" vertical="center"/>
    </xf>
    <xf numFmtId="0" fontId="81" fillId="10" borderId="121" xfId="0" applyFont="1" applyFill="1" applyBorder="1" applyAlignment="1">
      <alignment horizontal="left" vertical="center"/>
    </xf>
    <xf numFmtId="43" fontId="3" fillId="0" borderId="0" xfId="55" applyFont="1" applyAlignment="1">
      <alignment horizontal="center"/>
    </xf>
    <xf numFmtId="3" fontId="13" fillId="13" borderId="144" xfId="0" applyNumberFormat="1" applyFont="1" applyFill="1" applyBorder="1" applyAlignment="1">
      <alignment horizontal="center" vertical="center"/>
    </xf>
    <xf numFmtId="0" fontId="42" fillId="10" borderId="96" xfId="0" applyFont="1" applyFill="1" applyBorder="1" applyAlignment="1">
      <alignment horizontal="right" vertical="center"/>
    </xf>
    <xf numFmtId="0" fontId="42" fillId="10" borderId="138" xfId="0" applyFont="1" applyFill="1" applyBorder="1" applyAlignment="1">
      <alignment horizontal="right" vertical="center"/>
    </xf>
    <xf numFmtId="3" fontId="42" fillId="10" borderId="145" xfId="0" applyNumberFormat="1" applyFont="1" applyFill="1" applyBorder="1" applyAlignment="1">
      <alignment horizontal="right" vertical="center"/>
    </xf>
    <xf numFmtId="3" fontId="42" fillId="10" borderId="108" xfId="0" applyNumberFormat="1" applyFont="1" applyFill="1" applyBorder="1" applyAlignment="1">
      <alignment horizontal="right" vertical="center"/>
    </xf>
    <xf numFmtId="0" fontId="42" fillId="10" borderId="3" xfId="0" applyFont="1" applyFill="1" applyBorder="1" applyAlignment="1">
      <alignment horizontal="right" vertical="center"/>
    </xf>
    <xf numFmtId="0" fontId="42" fillId="10" borderId="120" xfId="0" applyFont="1" applyFill="1" applyBorder="1" applyAlignment="1">
      <alignment horizontal="right" vertical="center"/>
    </xf>
    <xf numFmtId="3" fontId="42" fillId="10" borderId="126" xfId="0" applyNumberFormat="1" applyFont="1" applyFill="1" applyBorder="1" applyAlignment="1">
      <alignment horizontal="right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23" fillId="9" borderId="137" xfId="0" applyFont="1" applyFill="1" applyBorder="1" applyAlignment="1">
      <alignment horizontal="center" vertical="center"/>
    </xf>
    <xf numFmtId="0" fontId="23" fillId="9" borderId="115" xfId="0" applyFont="1" applyFill="1" applyBorder="1" applyAlignment="1">
      <alignment horizontal="center" vertical="center"/>
    </xf>
    <xf numFmtId="3" fontId="42" fillId="10" borderId="141" xfId="0" applyNumberFormat="1" applyFont="1" applyFill="1" applyBorder="1" applyAlignment="1">
      <alignment horizontal="right" vertical="center"/>
    </xf>
    <xf numFmtId="3" fontId="42" fillId="10" borderId="146" xfId="0" applyNumberFormat="1" applyFont="1" applyFill="1" applyBorder="1" applyAlignment="1">
      <alignment horizontal="right" vertical="center"/>
    </xf>
    <xf numFmtId="3" fontId="42" fillId="10" borderId="147" xfId="0" applyNumberFormat="1" applyFont="1" applyFill="1" applyBorder="1" applyAlignment="1">
      <alignment horizontal="right" vertical="center"/>
    </xf>
    <xf numFmtId="0" fontId="89" fillId="10" borderId="123" xfId="0" applyFont="1" applyFill="1" applyBorder="1" applyAlignment="1">
      <alignment horizontal="left" vertical="center"/>
    </xf>
    <xf numFmtId="0" fontId="47" fillId="9" borderId="3" xfId="55" applyNumberFormat="1" applyFont="1" applyFill="1" applyBorder="1" applyAlignment="1">
      <alignment vertical="center"/>
    </xf>
    <xf numFmtId="0" fontId="47" fillId="9" borderId="110" xfId="55" applyNumberFormat="1" applyFont="1" applyFill="1" applyBorder="1" applyAlignment="1">
      <alignment vertical="center"/>
    </xf>
    <xf numFmtId="0" fontId="32" fillId="10" borderId="150" xfId="0" applyFont="1" applyFill="1" applyBorder="1" applyAlignment="1">
      <alignment horizontal="right" vertical="center"/>
    </xf>
    <xf numFmtId="10" fontId="30" fillId="10" borderId="150" xfId="114" applyNumberFormat="1" applyFont="1" applyFill="1" applyBorder="1" applyAlignment="1">
      <alignment horizontal="center" vertical="center"/>
    </xf>
    <xf numFmtId="0" fontId="46" fillId="10" borderId="151" xfId="0" applyFont="1" applyFill="1" applyBorder="1" applyAlignment="1">
      <alignment horizontal="right" vertical="center"/>
    </xf>
    <xf numFmtId="0" fontId="46" fillId="10" borderId="150" xfId="0" applyFont="1" applyFill="1" applyBorder="1" applyAlignment="1">
      <alignment horizontal="right" vertical="center"/>
    </xf>
    <xf numFmtId="3" fontId="42" fillId="10" borderId="150" xfId="0" applyNumberFormat="1" applyFont="1" applyFill="1" applyBorder="1" applyAlignment="1">
      <alignment horizontal="right" vertical="center"/>
    </xf>
    <xf numFmtId="0" fontId="42" fillId="10" borderId="150" xfId="0" applyFont="1" applyFill="1" applyBorder="1" applyAlignment="1">
      <alignment horizontal="right" vertical="center"/>
    </xf>
    <xf numFmtId="1" fontId="25" fillId="9" borderId="153" xfId="0" applyNumberFormat="1" applyFont="1" applyFill="1" applyBorder="1" applyAlignment="1">
      <alignment horizontal="center" vertical="center"/>
    </xf>
    <xf numFmtId="0" fontId="47" fillId="9" borderId="154" xfId="55" applyNumberFormat="1" applyFont="1" applyFill="1" applyBorder="1" applyAlignment="1">
      <alignment vertical="center"/>
    </xf>
    <xf numFmtId="167" fontId="42" fillId="10" borderId="150" xfId="55" applyNumberFormat="1" applyFont="1" applyFill="1" applyBorder="1" applyAlignment="1">
      <alignment horizontal="right" vertical="center"/>
    </xf>
    <xf numFmtId="3" fontId="42" fillId="10" borderId="155" xfId="0" applyNumberFormat="1" applyFont="1" applyFill="1" applyBorder="1" applyAlignment="1">
      <alignment horizontal="right" vertical="center"/>
    </xf>
    <xf numFmtId="1" fontId="25" fillId="9" borderId="157" xfId="0" applyNumberFormat="1" applyFont="1" applyFill="1" applyBorder="1" applyAlignment="1">
      <alignment horizontal="center" vertical="center"/>
    </xf>
    <xf numFmtId="0" fontId="81" fillId="10" borderId="152" xfId="0" applyFont="1" applyFill="1" applyBorder="1" applyAlignment="1">
      <alignment horizontal="left" vertical="center"/>
    </xf>
    <xf numFmtId="0" fontId="81" fillId="10" borderId="150" xfId="0" applyFont="1" applyFill="1" applyBorder="1" applyAlignment="1">
      <alignment horizontal="right" vertical="center"/>
    </xf>
    <xf numFmtId="0" fontId="32" fillId="9" borderId="150" xfId="0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0" fontId="47" fillId="9" borderId="120" xfId="55" applyNumberFormat="1" applyFont="1" applyFill="1" applyBorder="1" applyAlignment="1">
      <alignment vertical="center"/>
    </xf>
    <xf numFmtId="0" fontId="42" fillId="10" borderId="143" xfId="55" applyNumberFormat="1" applyFont="1" applyFill="1" applyBorder="1" applyAlignment="1">
      <alignment horizontal="right" vertical="center"/>
    </xf>
    <xf numFmtId="0" fontId="82" fillId="10" borderId="143" xfId="0" applyFont="1" applyFill="1" applyBorder="1" applyAlignment="1">
      <alignment horizontal="right" vertical="center"/>
    </xf>
    <xf numFmtId="0" fontId="47" fillId="9" borderId="159" xfId="0" applyFont="1" applyFill="1" applyBorder="1" applyAlignment="1">
      <alignment vertical="center"/>
    </xf>
    <xf numFmtId="0" fontId="96" fillId="9" borderId="115" xfId="0" applyFont="1" applyFill="1" applyBorder="1" applyAlignment="1">
      <alignment horizontal="center" vertical="center"/>
    </xf>
    <xf numFmtId="0" fontId="96" fillId="9" borderId="126" xfId="0" applyFont="1" applyFill="1" applyBorder="1" applyAlignment="1">
      <alignment horizontal="center" vertical="center"/>
    </xf>
    <xf numFmtId="0" fontId="97" fillId="12" borderId="133" xfId="55" applyNumberFormat="1" applyFont="1" applyFill="1" applyBorder="1" applyAlignment="1">
      <alignment horizontal="center" vertical="center"/>
    </xf>
    <xf numFmtId="0" fontId="97" fillId="12" borderId="132" xfId="55" applyNumberFormat="1" applyFont="1" applyFill="1" applyBorder="1" applyAlignment="1">
      <alignment horizontal="center" vertical="center"/>
    </xf>
    <xf numFmtId="1" fontId="23" fillId="11" borderId="160" xfId="77" applyNumberFormat="1" applyFont="1" applyFill="1" applyBorder="1" applyAlignment="1">
      <alignment horizontal="center" vertical="center"/>
    </xf>
    <xf numFmtId="1" fontId="23" fillId="11" borderId="162" xfId="77" applyNumberFormat="1" applyFont="1" applyFill="1" applyBorder="1" applyAlignment="1">
      <alignment horizontal="center" vertical="center"/>
    </xf>
    <xf numFmtId="168" fontId="37" fillId="15" borderId="161" xfId="0" applyNumberFormat="1" applyFont="1" applyFill="1" applyBorder="1" applyAlignment="1">
      <alignment horizontal="center" vertical="center" wrapText="1"/>
    </xf>
    <xf numFmtId="0" fontId="81" fillId="10" borderId="113" xfId="0" applyFont="1" applyFill="1" applyBorder="1" applyAlignment="1">
      <alignment horizontal="right" vertical="center"/>
    </xf>
    <xf numFmtId="0" fontId="81" fillId="10" borderId="149" xfId="0" applyFont="1" applyFill="1" applyBorder="1" applyAlignment="1">
      <alignment horizontal="right" vertical="center"/>
    </xf>
    <xf numFmtId="0" fontId="98" fillId="10" borderId="123" xfId="0" applyFont="1" applyFill="1" applyBorder="1" applyAlignment="1">
      <alignment horizontal="left" vertical="center"/>
    </xf>
    <xf numFmtId="0" fontId="87" fillId="10" borderId="136" xfId="0" applyFont="1" applyFill="1" applyBorder="1" applyAlignment="1">
      <alignment horizontal="right" vertical="center"/>
    </xf>
    <xf numFmtId="0" fontId="47" fillId="9" borderId="111" xfId="55" applyNumberFormat="1" applyFont="1" applyFill="1" applyBorder="1" applyAlignment="1">
      <alignment vertical="center"/>
    </xf>
    <xf numFmtId="0" fontId="47" fillId="9" borderId="107" xfId="55" applyNumberFormat="1" applyFont="1" applyFill="1" applyBorder="1" applyAlignment="1">
      <alignment vertical="center"/>
    </xf>
    <xf numFmtId="0" fontId="47" fillId="9" borderId="156" xfId="55" applyNumberFormat="1" applyFont="1" applyFill="1" applyBorder="1" applyAlignment="1">
      <alignment vertical="center"/>
    </xf>
    <xf numFmtId="165" fontId="47" fillId="9" borderId="3" xfId="0" applyNumberFormat="1" applyFont="1" applyFill="1" applyBorder="1" applyAlignment="1">
      <alignment vertical="center"/>
    </xf>
    <xf numFmtId="165" fontId="47" fillId="9" borderId="120" xfId="0" applyNumberFormat="1" applyFont="1" applyFill="1" applyBorder="1" applyAlignment="1">
      <alignment vertical="center"/>
    </xf>
    <xf numFmtId="2" fontId="47" fillId="9" borderId="166" xfId="0" applyNumberFormat="1" applyFont="1" applyFill="1" applyBorder="1" applyAlignment="1">
      <alignment vertical="center"/>
    </xf>
    <xf numFmtId="2" fontId="47" fillId="9" borderId="163" xfId="0" applyNumberFormat="1" applyFont="1" applyFill="1" applyBorder="1" applyAlignment="1">
      <alignment vertical="center"/>
    </xf>
    <xf numFmtId="2" fontId="47" fillId="9" borderId="164" xfId="0" applyNumberFormat="1" applyFont="1" applyFill="1" applyBorder="1" applyAlignment="1">
      <alignment vertical="center"/>
    </xf>
    <xf numFmtId="0" fontId="43" fillId="9" borderId="170" xfId="0" applyFont="1" applyFill="1" applyBorder="1" applyAlignment="1">
      <alignment horizontal="center" vertical="center"/>
    </xf>
    <xf numFmtId="0" fontId="43" fillId="9" borderId="165" xfId="0" applyFont="1" applyFill="1" applyBorder="1" applyAlignment="1">
      <alignment horizontal="center" vertical="center"/>
    </xf>
    <xf numFmtId="0" fontId="94" fillId="9" borderId="170" xfId="55" applyNumberFormat="1" applyFont="1" applyFill="1" applyBorder="1" applyAlignment="1">
      <alignment horizontal="center" vertical="center"/>
    </xf>
    <xf numFmtId="0" fontId="43" fillId="9" borderId="163" xfId="0" applyFont="1" applyFill="1" applyBorder="1" applyAlignment="1">
      <alignment horizontal="center" vertical="center"/>
    </xf>
    <xf numFmtId="0" fontId="36" fillId="9" borderId="170" xfId="0" applyFont="1" applyFill="1" applyBorder="1" applyAlignment="1">
      <alignment horizontal="center" vertical="center"/>
    </xf>
    <xf numFmtId="0" fontId="36" fillId="9" borderId="172" xfId="0" applyFont="1" applyFill="1" applyBorder="1" applyAlignment="1">
      <alignment horizontal="center" vertical="center"/>
    </xf>
    <xf numFmtId="1" fontId="23" fillId="9" borderId="175" xfId="0" applyNumberFormat="1" applyFont="1" applyFill="1" applyBorder="1" applyAlignment="1">
      <alignment horizontal="center" vertical="center"/>
    </xf>
    <xf numFmtId="1" fontId="23" fillId="9" borderId="176" xfId="0" applyNumberFormat="1" applyFont="1" applyFill="1" applyBorder="1" applyAlignment="1">
      <alignment horizontal="center" vertical="center"/>
    </xf>
    <xf numFmtId="1" fontId="23" fillId="9" borderId="177" xfId="0" applyNumberFormat="1" applyFont="1" applyFill="1" applyBorder="1" applyAlignment="1">
      <alignment horizontal="center" vertical="center"/>
    </xf>
    <xf numFmtId="1" fontId="23" fillId="9" borderId="178" xfId="0" applyNumberFormat="1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93" fillId="9" borderId="178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56" xfId="0" applyNumberFormat="1" applyFont="1" applyFill="1" applyBorder="1" applyAlignment="1">
      <alignment horizontal="center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63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0" fontId="35" fillId="9" borderId="170" xfId="55" applyNumberFormat="1" applyFont="1" applyFill="1" applyBorder="1" applyAlignment="1">
      <alignment horizontal="center" vertical="center"/>
    </xf>
    <xf numFmtId="0" fontId="100" fillId="9" borderId="170" xfId="55" applyNumberFormat="1" applyFont="1" applyFill="1" applyBorder="1" applyAlignment="1">
      <alignment horizontal="center" vertical="center"/>
    </xf>
    <xf numFmtId="0" fontId="47" fillId="9" borderId="188" xfId="0" applyFont="1" applyFill="1" applyBorder="1" applyAlignment="1">
      <alignment vertical="center"/>
    </xf>
    <xf numFmtId="2" fontId="47" fillId="9" borderId="154" xfId="0" applyNumberFormat="1" applyFont="1" applyFill="1" applyBorder="1" applyAlignment="1">
      <alignment vertical="center"/>
    </xf>
    <xf numFmtId="2" fontId="47" fillId="9" borderId="167" xfId="0" applyNumberFormat="1" applyFont="1" applyFill="1" applyBorder="1" applyAlignment="1">
      <alignment vertical="center"/>
    </xf>
    <xf numFmtId="2" fontId="47" fillId="9" borderId="187" xfId="0" applyNumberFormat="1" applyFont="1" applyFill="1" applyBorder="1" applyAlignment="1">
      <alignment vertical="center"/>
    </xf>
    <xf numFmtId="0" fontId="101" fillId="10" borderId="123" xfId="0" applyFont="1" applyFill="1" applyBorder="1" applyAlignment="1">
      <alignment horizontal="left" vertical="center"/>
    </xf>
    <xf numFmtId="0" fontId="101" fillId="10" borderId="113" xfId="0" applyFont="1" applyFill="1" applyBorder="1" applyAlignment="1">
      <alignment horizontal="right" vertical="center"/>
    </xf>
    <xf numFmtId="1" fontId="100" fillId="9" borderId="168" xfId="55" applyNumberFormat="1" applyFont="1" applyFill="1" applyBorder="1" applyAlignment="1">
      <alignment horizontal="center" vertical="center"/>
    </xf>
    <xf numFmtId="1" fontId="100" fillId="9" borderId="163" xfId="0" applyNumberFormat="1" applyFont="1" applyFill="1" applyBorder="1" applyAlignment="1">
      <alignment horizontal="center" vertical="center"/>
    </xf>
    <xf numFmtId="0" fontId="32" fillId="9" borderId="108" xfId="0" applyFont="1" applyFill="1" applyBorder="1" applyAlignment="1">
      <alignment horizontal="center" vertical="center"/>
    </xf>
    <xf numFmtId="0" fontId="47" fillId="9" borderId="189" xfId="0" applyFont="1" applyFill="1" applyBorder="1" applyAlignment="1">
      <alignment vertical="center"/>
    </xf>
    <xf numFmtId="2" fontId="47" fillId="9" borderId="190" xfId="0" applyNumberFormat="1" applyFont="1" applyFill="1" applyBorder="1" applyAlignment="1">
      <alignment vertical="center"/>
    </xf>
    <xf numFmtId="0" fontId="102" fillId="9" borderId="185" xfId="55" applyNumberFormat="1" applyFont="1" applyFill="1" applyBorder="1" applyAlignment="1">
      <alignment horizontal="center" vertical="center"/>
    </xf>
    <xf numFmtId="0" fontId="102" fillId="9" borderId="186" xfId="55" applyNumberFormat="1" applyFont="1" applyFill="1" applyBorder="1" applyAlignment="1">
      <alignment horizontal="center" vertical="center"/>
    </xf>
    <xf numFmtId="0" fontId="103" fillId="9" borderId="191" xfId="55" applyNumberFormat="1" applyFont="1" applyFill="1" applyBorder="1" applyAlignment="1">
      <alignment horizontal="center" vertical="center"/>
    </xf>
    <xf numFmtId="0" fontId="102" fillId="9" borderId="186" xfId="0" applyFont="1" applyFill="1" applyBorder="1" applyAlignment="1">
      <alignment horizontal="center" vertical="center"/>
    </xf>
    <xf numFmtId="0" fontId="104" fillId="16" borderId="8" xfId="15" applyFont="1" applyFill="1" applyBorder="1" applyAlignment="1">
      <alignment horizontal="center" vertical="center"/>
    </xf>
    <xf numFmtId="0" fontId="105" fillId="16" borderId="8" xfId="15" applyFont="1" applyFill="1" applyBorder="1" applyAlignment="1">
      <alignment horizontal="center" vertical="center"/>
    </xf>
    <xf numFmtId="0" fontId="106" fillId="16" borderId="8" xfId="15" applyFont="1" applyFill="1" applyBorder="1" applyAlignment="1">
      <alignment horizontal="center" vertical="center"/>
    </xf>
    <xf numFmtId="166" fontId="42" fillId="10" borderId="192" xfId="0" applyNumberFormat="1" applyFont="1" applyFill="1" applyBorder="1" applyAlignment="1">
      <alignment horizontal="center" vertical="center"/>
    </xf>
    <xf numFmtId="166" fontId="42" fillId="10" borderId="97" xfId="0" applyNumberFormat="1" applyFont="1" applyFill="1" applyBorder="1" applyAlignment="1">
      <alignment horizontal="center" vertical="center"/>
    </xf>
    <xf numFmtId="166" fontId="42" fillId="10" borderId="193" xfId="0" applyNumberFormat="1" applyFont="1" applyFill="1" applyBorder="1" applyAlignment="1">
      <alignment horizontal="center" vertical="center"/>
    </xf>
    <xf numFmtId="166" fontId="42" fillId="10" borderId="180" xfId="0" applyNumberFormat="1" applyFont="1" applyFill="1" applyBorder="1" applyAlignment="1">
      <alignment horizontal="center" vertical="center"/>
    </xf>
    <xf numFmtId="166" fontId="42" fillId="10" borderId="107" xfId="0" applyNumberFormat="1" applyFont="1" applyFill="1" applyBorder="1" applyAlignment="1">
      <alignment horizontal="center" vertical="center"/>
    </xf>
    <xf numFmtId="166" fontId="42" fillId="10" borderId="194" xfId="0" applyNumberFormat="1" applyFont="1" applyFill="1" applyBorder="1" applyAlignment="1">
      <alignment horizontal="center" vertical="center"/>
    </xf>
    <xf numFmtId="166" fontId="42" fillId="10" borderId="3" xfId="0" applyNumberFormat="1" applyFont="1" applyFill="1" applyBorder="1" applyAlignment="1">
      <alignment horizontal="center" vertical="center"/>
    </xf>
    <xf numFmtId="166" fontId="42" fillId="10" borderId="96" xfId="0" applyNumberFormat="1" applyFont="1" applyFill="1" applyBorder="1" applyAlignment="1">
      <alignment horizontal="center" vertical="center"/>
    </xf>
    <xf numFmtId="166" fontId="42" fillId="10" borderId="151" xfId="0" applyNumberFormat="1" applyFont="1" applyFill="1" applyBorder="1" applyAlignment="1">
      <alignment horizontal="center" vertical="center"/>
    </xf>
    <xf numFmtId="166" fontId="42" fillId="10" borderId="120" xfId="0" applyNumberFormat="1" applyFont="1" applyFill="1" applyBorder="1" applyAlignment="1">
      <alignment horizontal="center" vertical="center"/>
    </xf>
    <xf numFmtId="166" fontId="42" fillId="10" borderId="138" xfId="0" applyNumberFormat="1" applyFont="1" applyFill="1" applyBorder="1" applyAlignment="1">
      <alignment horizontal="center" vertical="center"/>
    </xf>
    <xf numFmtId="166" fontId="42" fillId="10" borderId="2" xfId="0" applyNumberFormat="1" applyFont="1" applyFill="1" applyBorder="1" applyAlignment="1">
      <alignment horizontal="center" vertical="center"/>
    </xf>
    <xf numFmtId="166" fontId="42" fillId="10" borderId="195" xfId="0" applyNumberFormat="1" applyFont="1" applyFill="1" applyBorder="1" applyAlignment="1">
      <alignment horizontal="center" vertical="center"/>
    </xf>
    <xf numFmtId="0" fontId="46" fillId="10" borderId="192" xfId="0" applyFont="1" applyFill="1" applyBorder="1" applyAlignment="1">
      <alignment horizontal="right" vertical="center"/>
    </xf>
    <xf numFmtId="0" fontId="46" fillId="10" borderId="97" xfId="0" applyFont="1" applyFill="1" applyBorder="1" applyAlignment="1">
      <alignment horizontal="right" vertical="center"/>
    </xf>
    <xf numFmtId="0" fontId="46" fillId="10" borderId="193" xfId="0" applyFont="1" applyFill="1" applyBorder="1" applyAlignment="1">
      <alignment horizontal="right" vertical="center"/>
    </xf>
    <xf numFmtId="0" fontId="46" fillId="10" borderId="180" xfId="0" applyFont="1" applyFill="1" applyBorder="1" applyAlignment="1">
      <alignment horizontal="right" vertical="center"/>
    </xf>
    <xf numFmtId="0" fontId="46" fillId="10" borderId="107" xfId="0" applyFont="1" applyFill="1" applyBorder="1" applyAlignment="1">
      <alignment horizontal="right" vertical="center"/>
    </xf>
    <xf numFmtId="0" fontId="46" fillId="10" borderId="194" xfId="0" applyFont="1" applyFill="1" applyBorder="1" applyAlignment="1">
      <alignment horizontal="right" vertical="center"/>
    </xf>
    <xf numFmtId="0" fontId="46" fillId="10" borderId="143" xfId="0" applyFont="1" applyFill="1" applyBorder="1" applyAlignment="1">
      <alignment horizontal="right" vertical="center"/>
    </xf>
    <xf numFmtId="0" fontId="46" fillId="10" borderId="119" xfId="0" applyFont="1" applyFill="1" applyBorder="1" applyAlignment="1">
      <alignment horizontal="right" vertical="center"/>
    </xf>
    <xf numFmtId="0" fontId="42" fillId="10" borderId="147" xfId="0" applyFont="1" applyFill="1" applyBorder="1" applyAlignment="1">
      <alignment horizontal="right" vertical="center"/>
    </xf>
    <xf numFmtId="0" fontId="42" fillId="10" borderId="196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93" xfId="0" applyFont="1" applyFill="1" applyBorder="1" applyAlignment="1">
      <alignment horizontal="center" vertical="center"/>
    </xf>
    <xf numFmtId="0" fontId="23" fillId="9" borderId="197" xfId="0" applyFont="1" applyFill="1" applyBorder="1" applyAlignment="1">
      <alignment horizontal="center" vertical="center"/>
    </xf>
    <xf numFmtId="0" fontId="23" fillId="9" borderId="198" xfId="0" applyFont="1" applyFill="1" applyBorder="1" applyAlignment="1">
      <alignment horizontal="center" vertical="center"/>
    </xf>
    <xf numFmtId="0" fontId="23" fillId="9" borderId="199" xfId="0" applyFont="1" applyFill="1" applyBorder="1" applyAlignment="1">
      <alignment horizontal="center" vertical="center"/>
    </xf>
    <xf numFmtId="0" fontId="23" fillId="9" borderId="200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46" xfId="0" applyFont="1" applyFill="1" applyBorder="1" applyAlignment="1">
      <alignment horizontal="center" vertical="center"/>
    </xf>
    <xf numFmtId="0" fontId="87" fillId="10" borderId="113" xfId="0" applyFont="1" applyFill="1" applyBorder="1" applyAlignment="1">
      <alignment horizontal="right" vertical="center"/>
    </xf>
    <xf numFmtId="0" fontId="81" fillId="10" borderId="148" xfId="0" applyFont="1" applyFill="1" applyBorder="1" applyAlignment="1">
      <alignment horizontal="right" vertical="center"/>
    </xf>
    <xf numFmtId="0" fontId="42" fillId="10" borderId="180" xfId="55" applyNumberFormat="1" applyFont="1" applyFill="1" applyBorder="1" applyAlignment="1">
      <alignment horizontal="right" vertical="center"/>
    </xf>
    <xf numFmtId="0" fontId="82" fillId="10" borderId="180" xfId="0" applyFont="1" applyFill="1" applyBorder="1" applyAlignment="1">
      <alignment horizontal="right" vertical="center"/>
    </xf>
    <xf numFmtId="0" fontId="32" fillId="9" borderId="180" xfId="0" applyFont="1" applyFill="1" applyBorder="1" applyAlignment="1">
      <alignment horizontal="center" vertical="center"/>
    </xf>
    <xf numFmtId="166" fontId="42" fillId="10" borderId="202" xfId="0" applyNumberFormat="1" applyFont="1" applyFill="1" applyBorder="1" applyAlignment="1">
      <alignment horizontal="center" vertical="center"/>
    </xf>
    <xf numFmtId="0" fontId="103" fillId="9" borderId="170" xfId="55" applyNumberFormat="1" applyFont="1" applyFill="1" applyBorder="1" applyAlignment="1">
      <alignment horizontal="center" vertical="center"/>
    </xf>
    <xf numFmtId="0" fontId="47" fillId="9" borderId="202" xfId="0" applyFont="1" applyFill="1" applyBorder="1" applyAlignment="1">
      <alignment vertical="center"/>
    </xf>
    <xf numFmtId="2" fontId="47" fillId="9" borderId="151" xfId="0" applyNumberFormat="1" applyFont="1" applyFill="1" applyBorder="1" applyAlignment="1">
      <alignment vertical="center"/>
    </xf>
    <xf numFmtId="0" fontId="102" fillId="9" borderId="183" xfId="0" applyFont="1" applyFill="1" applyBorder="1" applyAlignment="1">
      <alignment horizontal="center" vertical="center"/>
    </xf>
    <xf numFmtId="0" fontId="47" fillId="9" borderId="119" xfId="55" applyNumberFormat="1" applyFont="1" applyFill="1" applyBorder="1" applyAlignment="1">
      <alignment vertical="center"/>
    </xf>
    <xf numFmtId="1" fontId="90" fillId="9" borderId="203" xfId="183" applyNumberFormat="1" applyFont="1" applyFill="1" applyBorder="1" applyAlignment="1">
      <alignment horizontal="center" vertical="center"/>
    </xf>
    <xf numFmtId="1" fontId="90" fillId="9" borderId="204" xfId="183" applyNumberFormat="1" applyFont="1" applyFill="1" applyBorder="1" applyAlignment="1">
      <alignment horizontal="center" vertical="center"/>
    </xf>
    <xf numFmtId="1" fontId="90" fillId="9" borderId="205" xfId="183" applyNumberFormat="1" applyFont="1" applyFill="1" applyBorder="1" applyAlignment="1">
      <alignment horizontal="center" vertical="center"/>
    </xf>
    <xf numFmtId="0" fontId="95" fillId="9" borderId="12" xfId="0" applyFont="1" applyFill="1" applyBorder="1" applyAlignment="1">
      <alignment horizontal="center" vertical="center"/>
    </xf>
    <xf numFmtId="0" fontId="95" fillId="9" borderId="112" xfId="0" applyFont="1" applyFill="1" applyBorder="1" applyAlignment="1">
      <alignment horizontal="center" vertical="center"/>
    </xf>
    <xf numFmtId="43" fontId="100" fillId="9" borderId="114" xfId="55" applyFont="1" applyFill="1" applyBorder="1" applyAlignment="1">
      <alignment horizontal="center" vertical="center"/>
    </xf>
    <xf numFmtId="43" fontId="100" fillId="9" borderId="115" xfId="55" applyFont="1" applyFill="1" applyBorder="1" applyAlignment="1">
      <alignment horizontal="center" vertical="center"/>
    </xf>
    <xf numFmtId="2" fontId="99" fillId="0" borderId="196" xfId="55" applyNumberFormat="1" applyFont="1" applyBorder="1" applyAlignment="1">
      <alignment horizontal="right" vertical="center"/>
    </xf>
    <xf numFmtId="2" fontId="3" fillId="0" borderId="137" xfId="55" applyNumberFormat="1" applyFont="1" applyBorder="1" applyAlignment="1">
      <alignment horizontal="right" vertical="center"/>
    </xf>
    <xf numFmtId="2" fontId="43" fillId="9" borderId="146" xfId="55" applyNumberFormat="1" applyFont="1" applyFill="1" applyBorder="1" applyAlignment="1">
      <alignment horizontal="right" vertical="center"/>
    </xf>
    <xf numFmtId="2" fontId="43" fillId="9" borderId="155" xfId="55" applyNumberFormat="1" applyFont="1" applyFill="1" applyBorder="1" applyAlignment="1">
      <alignment horizontal="right" vertical="center"/>
    </xf>
    <xf numFmtId="2" fontId="43" fillId="9" borderId="115" xfId="55" applyNumberFormat="1" applyFont="1" applyFill="1" applyBorder="1" applyAlignment="1">
      <alignment horizontal="right" vertical="center"/>
    </xf>
    <xf numFmtId="2" fontId="43" fillId="9" borderId="116" xfId="55" applyNumberFormat="1" applyFont="1" applyFill="1" applyBorder="1" applyAlignment="1">
      <alignment horizontal="right" vertical="center"/>
    </xf>
    <xf numFmtId="2" fontId="35" fillId="9" borderId="118" xfId="55" applyNumberFormat="1" applyFont="1" applyFill="1" applyBorder="1" applyAlignment="1">
      <alignment horizontal="right" vertical="center"/>
    </xf>
    <xf numFmtId="2" fontId="35" fillId="9" borderId="116" xfId="55" applyNumberFormat="1" applyFont="1" applyFill="1" applyBorder="1" applyAlignment="1">
      <alignment horizontal="right" vertical="center"/>
    </xf>
    <xf numFmtId="2" fontId="34" fillId="9" borderId="118" xfId="55" applyNumberFormat="1" applyFont="1" applyFill="1" applyBorder="1" applyAlignment="1">
      <alignment horizontal="right" vertical="center"/>
    </xf>
    <xf numFmtId="2" fontId="34" fillId="9" borderId="137" xfId="55" applyNumberFormat="1" applyFont="1" applyFill="1" applyBorder="1" applyAlignment="1">
      <alignment horizontal="right" vertical="center"/>
    </xf>
    <xf numFmtId="2" fontId="3" fillId="0" borderId="115" xfId="55" applyNumberFormat="1" applyFont="1" applyBorder="1" applyAlignment="1">
      <alignment horizontal="right" vertical="center"/>
    </xf>
    <xf numFmtId="2" fontId="3" fillId="0" borderId="116" xfId="55" applyNumberFormat="1" applyFont="1" applyBorder="1" applyAlignment="1">
      <alignment horizontal="right" vertical="center"/>
    </xf>
    <xf numFmtId="1" fontId="32" fillId="9" borderId="118" xfId="0" applyNumberFormat="1" applyFont="1" applyFill="1" applyBorder="1" applyAlignment="1">
      <alignment horizontal="center" vertical="center"/>
    </xf>
    <xf numFmtId="1" fontId="32" fillId="9" borderId="116" xfId="0" applyNumberFormat="1" applyFont="1" applyFill="1" applyBorder="1" applyAlignment="1">
      <alignment horizontal="center" vertical="center"/>
    </xf>
    <xf numFmtId="1" fontId="32" fillId="9" borderId="137" xfId="0" applyNumberFormat="1" applyFont="1" applyFill="1" applyBorder="1" applyAlignment="1">
      <alignment horizontal="center" vertical="center"/>
    </xf>
    <xf numFmtId="167" fontId="42" fillId="10" borderId="210" xfId="55" applyNumberFormat="1" applyFont="1" applyFill="1" applyBorder="1" applyAlignment="1">
      <alignment horizontal="right" vertical="center"/>
    </xf>
    <xf numFmtId="10" fontId="32" fillId="10" borderId="210" xfId="114" applyNumberFormat="1" applyFont="1" applyFill="1" applyBorder="1" applyAlignment="1">
      <alignment horizontal="right" vertical="center"/>
    </xf>
    <xf numFmtId="0" fontId="13" fillId="17" borderId="211" xfId="15" applyFont="1" applyFill="1" applyBorder="1" applyAlignment="1">
      <alignment horizontal="center" vertical="center"/>
    </xf>
    <xf numFmtId="167" fontId="42" fillId="10" borderId="212" xfId="55" applyNumberFormat="1" applyFont="1" applyFill="1" applyBorder="1" applyAlignment="1">
      <alignment horizontal="right" vertical="center"/>
    </xf>
    <xf numFmtId="10" fontId="32" fillId="10" borderId="212" xfId="114" applyNumberFormat="1" applyFont="1" applyFill="1" applyBorder="1" applyAlignment="1">
      <alignment horizontal="right" vertical="center"/>
    </xf>
    <xf numFmtId="10" fontId="104" fillId="10" borderId="210" xfId="114" applyNumberFormat="1" applyFont="1" applyFill="1" applyBorder="1" applyAlignment="1">
      <alignment horizontal="right" vertical="center"/>
    </xf>
    <xf numFmtId="10" fontId="104" fillId="10" borderId="10" xfId="114" applyNumberFormat="1" applyFont="1" applyFill="1" applyBorder="1" applyAlignment="1">
      <alignment horizontal="right" vertical="center"/>
    </xf>
    <xf numFmtId="10" fontId="104" fillId="10" borderId="212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32" fillId="9" borderId="213" xfId="0" applyFont="1" applyFill="1" applyBorder="1" applyAlignment="1">
      <alignment horizontal="center" vertical="center"/>
    </xf>
    <xf numFmtId="167" fontId="83" fillId="10" borderId="107" xfId="55" applyNumberFormat="1" applyFont="1" applyFill="1" applyBorder="1" applyAlignment="1">
      <alignment horizontal="right" vertical="center"/>
    </xf>
    <xf numFmtId="167" fontId="83" fillId="10" borderId="97" xfId="55" applyNumberFormat="1" applyFont="1" applyFill="1" applyBorder="1" applyAlignment="1">
      <alignment horizontal="right" vertical="center"/>
    </xf>
    <xf numFmtId="0" fontId="107" fillId="10" borderId="117" xfId="0" applyFont="1" applyFill="1" applyBorder="1" applyAlignment="1">
      <alignment horizontal="right" vertical="center"/>
    </xf>
    <xf numFmtId="43" fontId="35" fillId="9" borderId="118" xfId="55" applyFont="1" applyFill="1" applyBorder="1" applyAlignment="1">
      <alignment horizontal="center" vertical="center"/>
    </xf>
    <xf numFmtId="0" fontId="109" fillId="9" borderId="108" xfId="0" applyFont="1" applyFill="1" applyBorder="1" applyAlignment="1">
      <alignment horizontal="center" vertical="center"/>
    </xf>
    <xf numFmtId="0" fontId="108" fillId="9" borderId="97" xfId="0" applyFont="1" applyFill="1" applyBorder="1" applyAlignment="1">
      <alignment horizontal="center" vertical="center"/>
    </xf>
    <xf numFmtId="43" fontId="37" fillId="15" borderId="134" xfId="55" applyFont="1" applyFill="1" applyBorder="1" applyAlignment="1">
      <alignment horizontal="center" vertical="center" wrapText="1"/>
    </xf>
    <xf numFmtId="0" fontId="82" fillId="9" borderId="108" xfId="0" applyFont="1" applyFill="1" applyBorder="1" applyAlignment="1">
      <alignment horizontal="center" vertical="center"/>
    </xf>
    <xf numFmtId="0" fontId="82" fillId="9" borderId="97" xfId="0" applyFont="1" applyFill="1" applyBorder="1" applyAlignment="1">
      <alignment horizontal="center" vertical="center"/>
    </xf>
    <xf numFmtId="1" fontId="92" fillId="11" borderId="162" xfId="77" applyNumberFormat="1" applyFont="1" applyFill="1" applyBorder="1" applyAlignment="1">
      <alignment horizontal="center" vertical="center"/>
    </xf>
    <xf numFmtId="1" fontId="110" fillId="11" borderId="162" xfId="77" applyNumberFormat="1" applyFont="1" applyFill="1" applyBorder="1" applyAlignment="1">
      <alignment horizontal="center" vertical="center"/>
    </xf>
    <xf numFmtId="1" fontId="110" fillId="11" borderId="160" xfId="77" applyNumberFormat="1" applyFont="1" applyFill="1" applyBorder="1" applyAlignment="1">
      <alignment horizontal="center" vertical="center"/>
    </xf>
    <xf numFmtId="0" fontId="81" fillId="9" borderId="150" xfId="0" applyFont="1" applyFill="1" applyBorder="1" applyAlignment="1">
      <alignment horizontal="center" vertical="center"/>
    </xf>
    <xf numFmtId="1" fontId="92" fillId="11" borderId="160" xfId="77" applyNumberFormat="1" applyFont="1" applyFill="1" applyBorder="1" applyAlignment="1">
      <alignment horizontal="center" vertical="center"/>
    </xf>
    <xf numFmtId="1" fontId="111" fillId="11" borderId="162" xfId="77" applyNumberFormat="1" applyFont="1" applyFill="1" applyBorder="1" applyAlignment="1">
      <alignment horizontal="center" vertical="center"/>
    </xf>
    <xf numFmtId="1" fontId="112" fillId="11" borderId="160" xfId="77" applyNumberFormat="1" applyFont="1" applyFill="1" applyBorder="1" applyAlignment="1">
      <alignment horizontal="center" vertical="center"/>
    </xf>
    <xf numFmtId="1" fontId="113" fillId="11" borderId="160" xfId="77" applyNumberFormat="1" applyFont="1" applyFill="1" applyBorder="1" applyAlignment="1">
      <alignment horizontal="center" vertical="center"/>
    </xf>
    <xf numFmtId="1" fontId="114" fillId="11" borderId="162" xfId="77" applyNumberFormat="1" applyFont="1" applyFill="1" applyBorder="1" applyAlignment="1">
      <alignment horizontal="center" vertical="center"/>
    </xf>
    <xf numFmtId="0" fontId="47" fillId="9" borderId="3" xfId="0" applyNumberFormat="1" applyFont="1" applyFill="1" applyBorder="1" applyAlignment="1">
      <alignment vertical="center"/>
    </xf>
    <xf numFmtId="0" fontId="47" fillId="9" borderId="96" xfId="0" applyNumberFormat="1" applyFont="1" applyFill="1" applyBorder="1" applyAlignment="1">
      <alignment vertical="center"/>
    </xf>
    <xf numFmtId="0" fontId="47" fillId="9" borderId="120" xfId="0" applyNumberFormat="1" applyFont="1" applyFill="1" applyBorder="1" applyAlignment="1">
      <alignment vertical="center"/>
    </xf>
    <xf numFmtId="0" fontId="47" fillId="9" borderId="138" xfId="0" applyNumberFormat="1" applyFont="1" applyFill="1" applyBorder="1" applyAlignment="1">
      <alignment vertical="center"/>
    </xf>
    <xf numFmtId="0" fontId="47" fillId="9" borderId="139" xfId="0" applyNumberFormat="1" applyFont="1" applyFill="1" applyBorder="1" applyAlignment="1">
      <alignment vertical="center"/>
    </xf>
    <xf numFmtId="1" fontId="115" fillId="9" borderId="173" xfId="55" applyNumberFormat="1" applyFont="1" applyFill="1" applyBorder="1" applyAlignment="1">
      <alignment horizontal="center" vertical="center"/>
    </xf>
    <xf numFmtId="1" fontId="115" fillId="9" borderId="168" xfId="55" applyNumberFormat="1" applyFont="1" applyFill="1" applyBorder="1" applyAlignment="1">
      <alignment horizontal="center" vertical="center"/>
    </xf>
    <xf numFmtId="1" fontId="115" fillId="9" borderId="174" xfId="55" applyNumberFormat="1" applyFont="1" applyFill="1" applyBorder="1" applyAlignment="1">
      <alignment horizontal="center" vertical="center"/>
    </xf>
    <xf numFmtId="0" fontId="47" fillId="9" borderId="215" xfId="0" applyNumberFormat="1" applyFont="1" applyFill="1" applyBorder="1" applyAlignment="1">
      <alignment vertical="center"/>
    </xf>
    <xf numFmtId="0" fontId="47" fillId="9" borderId="216" xfId="55" applyNumberFormat="1" applyFont="1" applyFill="1" applyBorder="1" applyAlignment="1">
      <alignment vertical="center"/>
    </xf>
    <xf numFmtId="0" fontId="81" fillId="10" borderId="217" xfId="0" applyFont="1" applyFill="1" applyBorder="1" applyAlignment="1">
      <alignment horizontal="left" vertical="center"/>
    </xf>
    <xf numFmtId="0" fontId="81" fillId="10" borderId="218" xfId="0" applyFont="1" applyFill="1" applyBorder="1" applyAlignment="1">
      <alignment horizontal="right" vertical="center"/>
    </xf>
    <xf numFmtId="0" fontId="108" fillId="9" borderId="213" xfId="0" applyFont="1" applyFill="1" applyBorder="1" applyAlignment="1">
      <alignment horizontal="center" vertical="center"/>
    </xf>
    <xf numFmtId="0" fontId="115" fillId="9" borderId="173" xfId="55" applyNumberFormat="1" applyFont="1" applyFill="1" applyBorder="1" applyAlignment="1">
      <alignment horizontal="center" vertical="center"/>
    </xf>
    <xf numFmtId="0" fontId="115" fillId="9" borderId="168" xfId="55" applyNumberFormat="1" applyFont="1" applyFill="1" applyBorder="1" applyAlignment="1">
      <alignment horizontal="center" vertical="center"/>
    </xf>
    <xf numFmtId="0" fontId="115" fillId="9" borderId="174" xfId="55" applyNumberFormat="1" applyFont="1" applyFill="1" applyBorder="1" applyAlignment="1">
      <alignment horizontal="center" vertical="center"/>
    </xf>
    <xf numFmtId="0" fontId="116" fillId="10" borderId="117" xfId="0" applyFont="1" applyFill="1" applyBorder="1" applyAlignment="1">
      <alignment horizontal="right" vertical="center"/>
    </xf>
    <xf numFmtId="0" fontId="116" fillId="10" borderId="152" xfId="0" applyFont="1" applyFill="1" applyBorder="1" applyAlignment="1">
      <alignment horizontal="left" vertical="center"/>
    </xf>
    <xf numFmtId="0" fontId="113" fillId="9" borderId="169" xfId="0" applyFont="1" applyFill="1" applyBorder="1" applyAlignment="1">
      <alignment horizontal="center" vertical="center"/>
    </xf>
    <xf numFmtId="43" fontId="113" fillId="9" borderId="118" xfId="55" applyFont="1" applyFill="1" applyBorder="1" applyAlignment="1">
      <alignment horizontal="center" vertical="center"/>
    </xf>
    <xf numFmtId="2" fontId="113" fillId="9" borderId="167" xfId="0" applyNumberFormat="1" applyFont="1" applyFill="1" applyBorder="1" applyAlignment="1">
      <alignment horizontal="center" vertical="center"/>
    </xf>
    <xf numFmtId="43" fontId="113" fillId="9" borderId="155" xfId="55" applyFont="1" applyFill="1" applyBorder="1" applyAlignment="1">
      <alignment horizontal="center" vertical="center"/>
    </xf>
    <xf numFmtId="0" fontId="107" fillId="10" borderId="149" xfId="0" applyFont="1" applyFill="1" applyBorder="1" applyAlignment="1">
      <alignment horizontal="left" vertical="center"/>
    </xf>
    <xf numFmtId="0" fontId="47" fillId="9" borderId="215" xfId="55" applyNumberFormat="1" applyFont="1" applyFill="1" applyBorder="1" applyAlignment="1">
      <alignment vertical="center"/>
    </xf>
    <xf numFmtId="43" fontId="35" fillId="9" borderId="155" xfId="55" applyFont="1" applyFill="1" applyBorder="1" applyAlignment="1">
      <alignment horizontal="center" vertical="center"/>
    </xf>
    <xf numFmtId="0" fontId="42" fillId="9" borderId="107" xfId="0" applyFont="1" applyFill="1" applyBorder="1" applyAlignment="1">
      <alignment horizontal="center" vertical="center"/>
    </xf>
    <xf numFmtId="0" fontId="42" fillId="9" borderId="114" xfId="0" applyFont="1" applyFill="1" applyBorder="1" applyAlignment="1">
      <alignment horizontal="center" vertical="center"/>
    </xf>
    <xf numFmtId="0" fontId="42" fillId="9" borderId="155" xfId="0" applyFont="1" applyFill="1" applyBorder="1" applyAlignment="1">
      <alignment horizontal="center" vertical="center"/>
    </xf>
    <xf numFmtId="0" fontId="41" fillId="9" borderId="207" xfId="0" applyFont="1" applyFill="1" applyBorder="1" applyAlignment="1">
      <alignment horizontal="center" vertical="center"/>
    </xf>
    <xf numFmtId="0" fontId="41" fillId="9" borderId="116" xfId="0" applyFont="1" applyFill="1" applyBorder="1" applyAlignment="1">
      <alignment horizontal="center" vertical="center"/>
    </xf>
    <xf numFmtId="0" fontId="13" fillId="9" borderId="208" xfId="0" applyFont="1" applyFill="1" applyBorder="1" applyAlignment="1">
      <alignment horizontal="center" vertical="center"/>
    </xf>
    <xf numFmtId="0" fontId="13" fillId="9" borderId="150" xfId="0" applyFont="1" applyFill="1" applyBorder="1" applyAlignment="1">
      <alignment horizontal="center" vertical="center"/>
    </xf>
    <xf numFmtId="0" fontId="41" fillId="9" borderId="137" xfId="0" applyFont="1" applyFill="1" applyBorder="1" applyAlignment="1">
      <alignment horizontal="center" vertical="center"/>
    </xf>
    <xf numFmtId="0" fontId="41" fillId="9" borderId="209" xfId="0" applyFont="1" applyFill="1" applyBorder="1" applyAlignment="1">
      <alignment horizontal="center" vertical="center"/>
    </xf>
    <xf numFmtId="0" fontId="90" fillId="9" borderId="206" xfId="0" applyFont="1" applyFill="1" applyBorder="1" applyAlignment="1">
      <alignment vertical="center"/>
    </xf>
    <xf numFmtId="0" fontId="90" fillId="9" borderId="214" xfId="0" applyFont="1" applyFill="1" applyBorder="1" applyAlignment="1">
      <alignment vertical="center"/>
    </xf>
    <xf numFmtId="0" fontId="23" fillId="9" borderId="171" xfId="0" applyFont="1" applyFill="1" applyBorder="1" applyAlignment="1">
      <alignment horizontal="center" vertical="center"/>
    </xf>
    <xf numFmtId="0" fontId="23" fillId="9" borderId="165" xfId="0" applyFont="1" applyFill="1" applyBorder="1" applyAlignment="1">
      <alignment horizontal="center" vertical="center"/>
    </xf>
    <xf numFmtId="0" fontId="35" fillId="9" borderId="171" xfId="0" applyFont="1" applyFill="1" applyBorder="1" applyAlignment="1">
      <alignment horizontal="center" vertical="center"/>
    </xf>
    <xf numFmtId="0" fontId="35" fillId="9" borderId="163" xfId="0" applyFont="1" applyFill="1" applyBorder="1" applyAlignment="1">
      <alignment horizontal="center" vertical="center"/>
    </xf>
    <xf numFmtId="0" fontId="51" fillId="36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51" fillId="40" borderId="71" xfId="0" applyFont="1" applyFill="1" applyBorder="1" applyAlignment="1">
      <alignment horizontal="center" vertical="center"/>
    </xf>
    <xf numFmtId="164" fontId="59" fillId="20" borderId="13" xfId="0" applyNumberFormat="1" applyFont="1" applyFill="1" applyBorder="1" applyAlignment="1">
      <alignment horizontal="center" vertical="center"/>
    </xf>
    <xf numFmtId="0" fontId="59" fillId="20" borderId="21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 vertical="center"/>
    </xf>
    <xf numFmtId="0" fontId="64" fillId="24" borderId="59" xfId="0" applyFont="1" applyFill="1" applyBorder="1" applyAlignment="1">
      <alignment horizontal="center" vertical="center"/>
    </xf>
    <xf numFmtId="0" fontId="64" fillId="35" borderId="71" xfId="0" applyFont="1" applyFill="1" applyBorder="1" applyAlignment="1">
      <alignment horizontal="center" vertical="center"/>
    </xf>
    <xf numFmtId="0" fontId="64" fillId="36" borderId="73" xfId="0" applyFont="1" applyFill="1" applyBorder="1" applyAlignment="1">
      <alignment horizontal="center" vertical="center"/>
    </xf>
    <xf numFmtId="0" fontId="64" fillId="36" borderId="11" xfId="0" applyFont="1" applyFill="1" applyBorder="1" applyAlignment="1">
      <alignment horizontal="center" vertical="center"/>
    </xf>
    <xf numFmtId="0" fontId="64" fillId="36" borderId="94" xfId="0" applyFont="1" applyFill="1" applyBorder="1" applyAlignment="1">
      <alignment horizontal="center" vertical="center"/>
    </xf>
    <xf numFmtId="0" fontId="64" fillId="36" borderId="9" xfId="0" applyFont="1" applyFill="1" applyBorder="1" applyAlignment="1">
      <alignment horizontal="center" vertical="center"/>
    </xf>
    <xf numFmtId="0" fontId="64" fillId="36" borderId="3" xfId="0" applyFont="1" applyFill="1" applyBorder="1" applyAlignment="1">
      <alignment horizontal="center" vertical="center"/>
    </xf>
    <xf numFmtId="0" fontId="64" fillId="36" borderId="95" xfId="0" applyFont="1" applyFill="1" applyBorder="1" applyAlignment="1">
      <alignment horizontal="center" vertical="center"/>
    </xf>
    <xf numFmtId="1" fontId="64" fillId="33" borderId="11" xfId="0" applyNumberFormat="1" applyFont="1" applyFill="1" applyBorder="1" applyAlignment="1">
      <alignment horizontal="center" vertical="center"/>
    </xf>
    <xf numFmtId="1" fontId="64" fillId="33" borderId="74" xfId="0" applyNumberFormat="1" applyFont="1" applyFill="1" applyBorder="1" applyAlignment="1">
      <alignment horizontal="center" vertical="center"/>
    </xf>
    <xf numFmtId="1" fontId="64" fillId="33" borderId="3" xfId="0" applyNumberFormat="1" applyFont="1" applyFill="1" applyBorder="1" applyAlignment="1">
      <alignment horizontal="center" vertical="center"/>
    </xf>
    <xf numFmtId="1" fontId="64" fillId="33" borderId="12" xfId="0" applyNumberFormat="1" applyFont="1" applyFill="1" applyBorder="1" applyAlignment="1">
      <alignment horizontal="center" vertical="center"/>
    </xf>
    <xf numFmtId="0" fontId="69" fillId="40" borderId="71" xfId="0" applyFont="1" applyFill="1" applyBorder="1" applyAlignment="1">
      <alignment horizontal="center" vertical="center"/>
    </xf>
    <xf numFmtId="0" fontId="69" fillId="36" borderId="71" xfId="0" applyFont="1" applyFill="1" applyBorder="1" applyAlignment="1">
      <alignment horizontal="center" vertical="center"/>
    </xf>
    <xf numFmtId="0" fontId="51" fillId="40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9" fillId="24" borderId="71" xfId="0" applyFont="1" applyFill="1" applyBorder="1" applyAlignment="1">
      <alignment horizontal="center" vertical="center"/>
    </xf>
    <xf numFmtId="0" fontId="51" fillId="36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9" fillId="35" borderId="71" xfId="0" applyFont="1" applyFill="1" applyBorder="1" applyAlignment="1">
      <alignment horizontal="center" vertical="center"/>
    </xf>
    <xf numFmtId="0" fontId="54" fillId="40" borderId="71" xfId="0" applyFont="1" applyFill="1" applyBorder="1" applyAlignment="1">
      <alignment horizontal="center" vertical="center"/>
    </xf>
    <xf numFmtId="164" fontId="100" fillId="9" borderId="168" xfId="55" applyNumberFormat="1" applyFont="1" applyFill="1" applyBorder="1" applyAlignment="1">
      <alignment horizontal="center" vertical="center"/>
    </xf>
    <xf numFmtId="164" fontId="100" fillId="9" borderId="163" xfId="0" applyNumberFormat="1" applyFont="1" applyFill="1" applyBorder="1" applyAlignment="1">
      <alignment horizontal="center" vertical="center"/>
    </xf>
    <xf numFmtId="164" fontId="35" fillId="9" borderId="169" xfId="0" applyNumberFormat="1" applyFont="1" applyFill="1" applyBorder="1" applyAlignment="1">
      <alignment horizontal="center" vertical="center"/>
    </xf>
    <xf numFmtId="164" fontId="35" fillId="9" borderId="167" xfId="0" applyNumberFormat="1" applyFont="1" applyFill="1" applyBorder="1" applyAlignment="1">
      <alignment horizontal="center" vertical="center"/>
    </xf>
  </cellXfs>
  <cellStyles count="184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" xfId="183" builtinId="4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026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480000"/>
      <color rgb="FF12782D"/>
      <color rgb="FFFFFF99"/>
      <color rgb="FFCFFDA5"/>
      <color rgb="FFB9FFD9"/>
      <color rgb="FFB7FFD8"/>
      <color rgb="FFFD999B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L157"/>
  <sheetViews>
    <sheetView tabSelected="1" zoomScale="85" zoomScaleNormal="85" workbookViewId="0">
      <pane ySplit="1" topLeftCell="A2" activePane="bottomLeft" state="frozen"/>
      <selection pane="bottomLeft" activeCell="F16" sqref="F16"/>
    </sheetView>
  </sheetViews>
  <sheetFormatPr baseColWidth="10" defaultRowHeight="12.75" customHeight="1"/>
  <cols>
    <col min="1" max="1" width="15" style="38" bestFit="1" customWidth="1"/>
    <col min="2" max="2" width="9.7109375" style="33" bestFit="1" customWidth="1"/>
    <col min="3" max="4" width="7.42578125" style="13" bestFit="1" customWidth="1"/>
    <col min="5" max="5" width="9.42578125" style="33" bestFit="1" customWidth="1"/>
    <col min="6" max="6" width="9.140625" style="40" bestFit="1" customWidth="1"/>
    <col min="7" max="7" width="5.7109375" style="38" bestFit="1" customWidth="1"/>
    <col min="8" max="8" width="5.28515625" style="12" hidden="1" customWidth="1"/>
    <col min="9" max="10" width="6" style="12" customWidth="1"/>
    <col min="11" max="11" width="5.85546875" style="12" hidden="1" customWidth="1"/>
    <col min="12" max="12" width="11.28515625" style="12" hidden="1" customWidth="1"/>
    <col min="13" max="13" width="8.85546875" style="12" hidden="1" customWidth="1"/>
    <col min="14" max="14" width="5.85546875" style="12" hidden="1" customWidth="1"/>
    <col min="15" max="15" width="7.7109375" style="38" hidden="1" customWidth="1"/>
    <col min="16" max="16" width="3.7109375" style="44" hidden="1" customWidth="1"/>
    <col min="17" max="17" width="4.7109375" style="10" customWidth="1"/>
    <col min="18" max="18" width="4.7109375" style="39" customWidth="1"/>
    <col min="19" max="19" width="4.7109375" style="34" customWidth="1"/>
    <col min="20" max="20" width="4.7109375" style="11" customWidth="1"/>
    <col min="21" max="21" width="5.28515625" style="11" customWidth="1"/>
    <col min="22" max="22" width="6.5703125" style="11" customWidth="1"/>
    <col min="23" max="23" width="6.5703125" customWidth="1"/>
    <col min="24" max="24" width="6" customWidth="1"/>
    <col min="25" max="25" width="7.85546875" customWidth="1"/>
    <col min="26" max="26" width="9.85546875" style="40" bestFit="1" customWidth="1"/>
    <col min="27" max="27" width="10.140625" style="40" customWidth="1"/>
    <col min="28" max="28" width="9.42578125" style="47" customWidth="1"/>
    <col min="29" max="29" width="8.7109375" style="47" customWidth="1"/>
    <col min="30" max="30" width="5.7109375" style="47" bestFit="1" customWidth="1"/>
    <col min="31" max="31" width="8.140625" style="47" bestFit="1" customWidth="1"/>
    <col min="32" max="32" width="9.855468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140625" bestFit="1" customWidth="1"/>
    <col min="38" max="38" width="7.140625" bestFit="1" customWidth="1"/>
  </cols>
  <sheetData>
    <row r="1" spans="1:38" s="1" customFormat="1" ht="12.75" customHeight="1">
      <c r="A1" s="282" t="s">
        <v>126</v>
      </c>
      <c r="B1" s="283" t="s">
        <v>337</v>
      </c>
      <c r="C1" s="284" t="s">
        <v>306</v>
      </c>
      <c r="D1" s="284" t="s">
        <v>307</v>
      </c>
      <c r="E1" s="285" t="s">
        <v>338</v>
      </c>
      <c r="F1" s="286" t="s">
        <v>127</v>
      </c>
      <c r="G1" s="287" t="s">
        <v>304</v>
      </c>
      <c r="H1" s="288" t="s">
        <v>128</v>
      </c>
      <c r="I1" s="288" t="s">
        <v>129</v>
      </c>
      <c r="J1" s="288" t="s">
        <v>130</v>
      </c>
      <c r="K1" s="288" t="s">
        <v>308</v>
      </c>
      <c r="L1" s="432" t="s">
        <v>305</v>
      </c>
      <c r="M1" s="289" t="s">
        <v>131</v>
      </c>
      <c r="N1" s="290" t="s">
        <v>132</v>
      </c>
      <c r="O1" s="291" t="s">
        <v>133</v>
      </c>
      <c r="P1" s="292"/>
      <c r="Q1" s="293">
        <v>1</v>
      </c>
      <c r="R1" s="294">
        <v>2</v>
      </c>
      <c r="S1" s="295">
        <v>3</v>
      </c>
      <c r="T1" s="296">
        <v>4</v>
      </c>
      <c r="U1" s="620">
        <v>0</v>
      </c>
      <c r="V1" s="475">
        <v>0</v>
      </c>
      <c r="W1" s="275">
        <v>1</v>
      </c>
      <c r="X1" s="276">
        <f>W1</f>
        <v>1</v>
      </c>
      <c r="Y1" s="277">
        <v>20800</v>
      </c>
      <c r="Z1" s="278">
        <f>Y1*($AE$1*$AD$1)</f>
        <v>136.76712328767124</v>
      </c>
      <c r="AA1" s="38">
        <f>AD1</f>
        <v>5</v>
      </c>
      <c r="AB1" s="403">
        <v>525</v>
      </c>
      <c r="AC1" s="279" t="s">
        <v>312</v>
      </c>
      <c r="AD1" s="54">
        <f>IF(AJ3&lt;&gt;0,2,IF(AJ4&lt;&gt;0,4,IF(AJ5&lt;&gt;0,5,IF(AJ6&lt;&gt;0,6,IF(AJ7&lt;&gt;0,7,IF(AJ8&lt;&gt;0,8,30))))))</f>
        <v>5</v>
      </c>
      <c r="AE1" s="53">
        <f>IF(AJ3&lt;&gt;0,AJ3/365,IF(AJ4&lt;&gt;0,AJ5/365,IF(AJ5&lt;&gt;0,AJ6/365,IF(AJ6&lt;&gt;0,AJ7/365,IF(AJ7&lt;&gt;0,AJ8/365,IF(AJ8&lt;&gt;0,AJ9/365,110/365))))))</f>
        <v>1.315068493150685E-3</v>
      </c>
      <c r="AF1" s="532" t="s">
        <v>315</v>
      </c>
      <c r="AG1" s="532" t="s">
        <v>316</v>
      </c>
      <c r="AH1" s="532" t="s">
        <v>317</v>
      </c>
      <c r="AI1" s="532" t="s">
        <v>318</v>
      </c>
      <c r="AJ1" s="533" t="s">
        <v>313</v>
      </c>
      <c r="AK1" s="531" t="s">
        <v>314</v>
      </c>
    </row>
    <row r="2" spans="1:38" ht="12.75" customHeight="1">
      <c r="A2" s="520" t="s">
        <v>4</v>
      </c>
      <c r="B2" s="349">
        <f>VLOOKUP($A2,$A$42:$N$157,2,0)</f>
        <v>10000</v>
      </c>
      <c r="C2" s="330">
        <f>VLOOKUP($A2,$A$42:$N$157,3,0)</f>
        <v>37.100999999999999</v>
      </c>
      <c r="D2" s="350">
        <f>VLOOKUP($A2,$A$42:$N$157,4,0)</f>
        <v>37.15</v>
      </c>
      <c r="E2" s="349">
        <f>VLOOKUP($A2,$A$42:$N$157,5,0)</f>
        <v>845</v>
      </c>
      <c r="F2" s="618">
        <f>VLOOKUP($A2,$A$42:$N$157,6,0)</f>
        <v>37.15</v>
      </c>
      <c r="G2" s="347">
        <f>VLOOKUP($A2,$A$42:$N$157,7,0)</f>
        <v>4.0000000000000001E-3</v>
      </c>
      <c r="H2" s="346">
        <f>VLOOKUP($A2,$A$42:$N$157,8,0)</f>
        <v>37</v>
      </c>
      <c r="I2" s="338">
        <f>VLOOKUP($A2,$A$42:$N$157,9,0)</f>
        <v>38.08</v>
      </c>
      <c r="J2" s="551">
        <f>VLOOKUP($A2,$A$42:$N$157,10,0)</f>
        <v>36.6</v>
      </c>
      <c r="K2" s="342">
        <f>VLOOKUP($A2,$A$42:$N$157,11,0)</f>
        <v>37</v>
      </c>
      <c r="L2" s="406">
        <f>VLOOKUP($A2,$A$42:$N$157,12,0)</f>
        <v>31102020</v>
      </c>
      <c r="M2" s="342">
        <f>VLOOKUP($A2,$A$42:$N$157,13,0)</f>
        <v>83374315</v>
      </c>
      <c r="N2" s="406">
        <f>VLOOKUP($A2,$A$42:$N$157,14,0)</f>
        <v>31114</v>
      </c>
      <c r="O2" s="538">
        <f>VLOOKUP($A2,$A$42:$O$157,15,0)</f>
        <v>45267.708368055559</v>
      </c>
      <c r="P2" s="558">
        <v>1</v>
      </c>
      <c r="Q2" s="563">
        <v>0</v>
      </c>
      <c r="R2" s="499">
        <v>0</v>
      </c>
      <c r="S2" s="510">
        <v>0</v>
      </c>
      <c r="T2" s="411">
        <v>0</v>
      </c>
      <c r="U2" s="401">
        <v>0</v>
      </c>
      <c r="V2" s="623">
        <v>0</v>
      </c>
      <c r="W2" s="448">
        <v>-524.23712999999998</v>
      </c>
      <c r="X2" s="481">
        <v>0.37101000000000001</v>
      </c>
      <c r="Y2" s="702">
        <f>IFERROR($AB$1/(VLOOKUP($A2,$A$42:$N$157,6,0)/100),"")</f>
        <v>1413.1897711978465</v>
      </c>
      <c r="Z2" s="587">
        <f>IFERROR($F2*(1-$V$1)/100*$Y2,"")</f>
        <v>525</v>
      </c>
      <c r="AA2" s="584" t="str">
        <f>MID(A2,1,5)</f>
        <v>AL30D</v>
      </c>
      <c r="AD2" s="605" t="s">
        <v>319</v>
      </c>
      <c r="AE2" s="611">
        <v>45268</v>
      </c>
      <c r="AF2" s="603"/>
      <c r="AG2" s="604"/>
      <c r="AH2" s="604"/>
      <c r="AI2" s="603"/>
      <c r="AJ2" s="608"/>
      <c r="AK2" s="603"/>
    </row>
    <row r="3" spans="1:38" ht="12.75" customHeight="1">
      <c r="A3" s="521" t="s">
        <v>7</v>
      </c>
      <c r="B3" s="378">
        <f>VLOOKUP($A3,$A$42:$N$157,2,0)</f>
        <v>7649</v>
      </c>
      <c r="C3" s="379">
        <f>VLOOKUP($A3,$A$42:$N$157,3,0)</f>
        <v>40.39</v>
      </c>
      <c r="D3" s="379">
        <f>VLOOKUP($A3,$A$42:$N$157,4,0)</f>
        <v>40.4</v>
      </c>
      <c r="E3" s="378">
        <f>VLOOKUP($A3,$A$42:$N$157,5,0)</f>
        <v>39</v>
      </c>
      <c r="F3" s="619">
        <f>VLOOKUP($A3,$A$42:$N$157,6,0)</f>
        <v>40.39</v>
      </c>
      <c r="G3" s="380">
        <f>VLOOKUP($A3,$A$42:$N$157,7,0)</f>
        <v>-2.0000000000000001E-4</v>
      </c>
      <c r="H3" s="381">
        <f>VLOOKUP($A3,$A$42:$N$157,8,0)</f>
        <v>40.9</v>
      </c>
      <c r="I3" s="382">
        <f>VLOOKUP($A3,$A$42:$N$157,9,0)</f>
        <v>41.5</v>
      </c>
      <c r="J3" s="552">
        <f>VLOOKUP($A3,$A$42:$N$157,10,0)</f>
        <v>39.701999999999998</v>
      </c>
      <c r="K3" s="383">
        <f>VLOOKUP($A3,$A$42:$N$157,11,0)</f>
        <v>40.4</v>
      </c>
      <c r="L3" s="439">
        <f>VLOOKUP($A3,$A$42:$N$157,12,0)</f>
        <v>456519</v>
      </c>
      <c r="M3" s="383">
        <f>VLOOKUP($A3,$A$42:$N$157,13,0)</f>
        <v>1119326</v>
      </c>
      <c r="N3" s="439">
        <f>VLOOKUP($A3,$A$42:$N$157,14,0)</f>
        <v>676</v>
      </c>
      <c r="O3" s="539">
        <f>VLOOKUP($A3,$A$42:$O$157,15,0)</f>
        <v>45267.708437499998</v>
      </c>
      <c r="P3" s="557">
        <v>2</v>
      </c>
      <c r="Q3" s="564">
        <v>0</v>
      </c>
      <c r="R3" s="498">
        <v>0</v>
      </c>
      <c r="S3" s="511">
        <v>0</v>
      </c>
      <c r="T3" s="384">
        <v>0</v>
      </c>
      <c r="U3" s="400">
        <v>0</v>
      </c>
      <c r="V3" s="627">
        <v>0</v>
      </c>
      <c r="W3" s="449">
        <v>570.85199999999998</v>
      </c>
      <c r="X3" s="480">
        <v>0.40399999999999997</v>
      </c>
      <c r="Y3" s="703">
        <f>IFERROR(ROUND((($F2*(1-$V$1)/100)*$Y2)/($F3/100),0),0)</f>
        <v>1300</v>
      </c>
      <c r="Z3" s="586">
        <f>$F3/100*INT($Y3)</f>
        <v>525.06999999999994</v>
      </c>
      <c r="AA3" s="585" t="str">
        <f>MID(A3,1,5)</f>
        <v>GD30D</v>
      </c>
      <c r="AD3" s="49" t="s">
        <v>320</v>
      </c>
      <c r="AE3" s="612">
        <v>45269</v>
      </c>
      <c r="AF3" s="48"/>
      <c r="AG3" s="52"/>
      <c r="AH3" s="52"/>
      <c r="AI3" s="48"/>
      <c r="AJ3" s="609"/>
      <c r="AK3" s="48"/>
    </row>
    <row r="4" spans="1:38" ht="12.75" customHeight="1">
      <c r="A4" s="616" t="s">
        <v>6</v>
      </c>
      <c r="B4" s="328">
        <f>VLOOKUP($A4,$A$42:$N$157,2,0)</f>
        <v>200000</v>
      </c>
      <c r="C4" s="330">
        <f>VLOOKUP($A4,$A$42:$N$157,3,0)</f>
        <v>39</v>
      </c>
      <c r="D4" s="330">
        <f>VLOOKUP($A4,$A$42:$N$157,4,0)</f>
        <v>43.7</v>
      </c>
      <c r="E4" s="328">
        <f>VLOOKUP($A4,$A$42:$N$157,5,0)</f>
        <v>10000</v>
      </c>
      <c r="F4" s="618">
        <f>VLOOKUP($A4,$A$42:$N$157,6,0)</f>
        <v>43.8</v>
      </c>
      <c r="G4" s="333">
        <f>VLOOKUP($A4,$A$42:$N$157,7,0)</f>
        <v>3.0499999999999999E-2</v>
      </c>
      <c r="H4" s="344">
        <f>VLOOKUP($A4,$A$42:$N$157,8,0)</f>
        <v>43.75</v>
      </c>
      <c r="I4" s="335">
        <f>VLOOKUP($A4,$A$42:$N$157,9,0)</f>
        <v>44</v>
      </c>
      <c r="J4" s="549">
        <f>VLOOKUP($A4,$A$42:$N$157,10,0)</f>
        <v>43.75</v>
      </c>
      <c r="K4" s="339">
        <f>VLOOKUP($A4,$A$42:$N$157,11,0)</f>
        <v>42.5</v>
      </c>
      <c r="L4" s="436">
        <f>VLOOKUP($A4,$A$42:$N$157,12,0)</f>
        <v>657</v>
      </c>
      <c r="M4" s="339">
        <f>VLOOKUP($A4,$A$42:$N$157,13,0)</f>
        <v>1501</v>
      </c>
      <c r="N4" s="436">
        <f>VLOOKUP($A4,$A$42:$N$157,14,0)</f>
        <v>3</v>
      </c>
      <c r="O4" s="536">
        <f>VLOOKUP($A4,$A$42:$O$157,15,0)</f>
        <v>45267.587719907409</v>
      </c>
      <c r="P4" s="558">
        <v>3</v>
      </c>
      <c r="Q4" s="565">
        <v>0</v>
      </c>
      <c r="R4" s="494">
        <v>0</v>
      </c>
      <c r="S4" s="508">
        <v>0</v>
      </c>
      <c r="T4" s="377">
        <v>0</v>
      </c>
      <c r="U4" s="401">
        <v>0</v>
      </c>
      <c r="V4" s="624">
        <v>0</v>
      </c>
      <c r="W4" s="465">
        <v>-507</v>
      </c>
      <c r="X4" s="580">
        <v>0.39</v>
      </c>
      <c r="Y4" s="704">
        <f t="shared" ref="Y4:Y8" si="0">Y3</f>
        <v>1300</v>
      </c>
      <c r="Z4" s="617">
        <f>$F4*(1-$V$1)/100*INT($Y4)</f>
        <v>569.4</v>
      </c>
      <c r="AA4" s="666">
        <f>IFERROR((Z5/(VLOOKUP($A5,$A$46:$N$157,6,0)/100))*(VLOOKUP($A2,$A$46:$N$157,6,0)/100),"")</f>
        <v>579.54</v>
      </c>
      <c r="AD4" s="605" t="s">
        <v>321</v>
      </c>
      <c r="AE4" s="612">
        <v>45270</v>
      </c>
      <c r="AF4" s="603"/>
      <c r="AG4" s="604"/>
      <c r="AH4" s="604"/>
      <c r="AI4" s="603"/>
      <c r="AJ4" s="608"/>
      <c r="AK4" s="603"/>
      <c r="AL4" s="47"/>
    </row>
    <row r="5" spans="1:38" ht="12.75" customHeight="1">
      <c r="A5" s="654" t="s">
        <v>3</v>
      </c>
      <c r="B5" s="458">
        <f>VLOOKUP($A5,$A$42:$N$157,2,0)</f>
        <v>12929</v>
      </c>
      <c r="C5" s="450">
        <f>VLOOKUP($A5,$A$42:$N$157,3,0)</f>
        <v>36.6</v>
      </c>
      <c r="D5" s="450">
        <f>VLOOKUP($A5,$A$42:$N$157,4,0)</f>
        <v>37.99</v>
      </c>
      <c r="E5" s="458">
        <f>VLOOKUP($A5,$A$42:$N$157,5,0)</f>
        <v>98673</v>
      </c>
      <c r="F5" s="644">
        <f>VLOOKUP($A5,$A$42:$N$157,6,0)</f>
        <v>36.5</v>
      </c>
      <c r="G5" s="451">
        <f>VLOOKUP($A5,$A$42:$N$157,7,0)</f>
        <v>-1.3500000000000002E-2</v>
      </c>
      <c r="H5" s="452">
        <f>VLOOKUP($A5,$A$42:$N$157,8,0)</f>
        <v>36.728999999999999</v>
      </c>
      <c r="I5" s="453">
        <f>VLOOKUP($A5,$A$42:$N$157,9,0)</f>
        <v>38.5</v>
      </c>
      <c r="J5" s="550">
        <f>VLOOKUP($A5,$A$42:$N$157,10,0)</f>
        <v>36.5</v>
      </c>
      <c r="K5" s="455">
        <f>VLOOKUP($A5,$A$42:$N$157,11,0)</f>
        <v>37</v>
      </c>
      <c r="L5" s="454">
        <f>VLOOKUP($A5,$A$42:$N$157,12,0)</f>
        <v>188118</v>
      </c>
      <c r="M5" s="455">
        <f>VLOOKUP($A5,$A$42:$N$157,13,0)</f>
        <v>504371</v>
      </c>
      <c r="N5" s="454">
        <f>VLOOKUP($A5,$A$42:$N$157,14,0)</f>
        <v>86</v>
      </c>
      <c r="O5" s="537">
        <f>VLOOKUP($A5,$A$42:$O$157,15,0)</f>
        <v>45267.704444444447</v>
      </c>
      <c r="P5" s="557">
        <v>4</v>
      </c>
      <c r="Q5" s="562">
        <v>0</v>
      </c>
      <c r="R5" s="496">
        <v>0</v>
      </c>
      <c r="S5" s="509">
        <v>0</v>
      </c>
      <c r="T5" s="456">
        <v>0</v>
      </c>
      <c r="U5" s="400">
        <v>0</v>
      </c>
      <c r="V5" s="625">
        <v>0</v>
      </c>
      <c r="W5" s="655">
        <v>475.8</v>
      </c>
      <c r="X5" s="482">
        <v>0.36599999999999999</v>
      </c>
      <c r="Y5" s="705">
        <f>IFERROR(($Y4*($F4*(1-$V$1)/100)/($F5/100)),0)</f>
        <v>1560</v>
      </c>
      <c r="Z5" s="656">
        <f>$F5/100*INT($Y5)</f>
        <v>569.4</v>
      </c>
      <c r="AA5" s="667"/>
      <c r="AD5" s="49" t="s">
        <v>322</v>
      </c>
      <c r="AE5" s="612">
        <v>45271</v>
      </c>
      <c r="AF5" s="48">
        <v>1040421.82</v>
      </c>
      <c r="AG5" s="52">
        <v>0.25</v>
      </c>
      <c r="AH5" s="52">
        <v>0.27929999999999999</v>
      </c>
      <c r="AI5" s="48">
        <v>2627443.89</v>
      </c>
      <c r="AJ5" s="609">
        <v>0.25</v>
      </c>
      <c r="AK5" s="48">
        <v>852133991671</v>
      </c>
      <c r="AL5" s="47"/>
    </row>
    <row r="6" spans="1:38" ht="12.75" customHeight="1">
      <c r="A6" s="520" t="s">
        <v>14</v>
      </c>
      <c r="B6" s="349">
        <f>VLOOKUP($A6,$A$46:$N$157,2,0)</f>
        <v>42122</v>
      </c>
      <c r="C6" s="330">
        <f>VLOOKUP($A6,$A$42:$N$157,3,0)</f>
        <v>37.1</v>
      </c>
      <c r="D6" s="350">
        <f>VLOOKUP($A6,$A$42:$N$157,4,0)</f>
        <v>37.200000000000003</v>
      </c>
      <c r="E6" s="349">
        <f>VLOOKUP($A6,$A$42:$N$157,5,0)</f>
        <v>594</v>
      </c>
      <c r="F6" s="618">
        <f>VLOOKUP($A6,$A$42:$N$157,6,0)</f>
        <v>37.1</v>
      </c>
      <c r="G6" s="347">
        <f>VLOOKUP($A6,$A$42:$N$157,7,0)</f>
        <v>-7.4000000000000003E-3</v>
      </c>
      <c r="H6" s="346">
        <f>VLOOKUP($A6,$A$42:$N$157,8,0)</f>
        <v>36.950000000000003</v>
      </c>
      <c r="I6" s="338">
        <f>VLOOKUP($A6,$A$42:$N$157,9,0)</f>
        <v>40</v>
      </c>
      <c r="J6" s="551">
        <f>VLOOKUP($A6,$A$42:$N$157,10,0)</f>
        <v>36.551000000000002</v>
      </c>
      <c r="K6" s="342">
        <f>VLOOKUP($A6,$A$42:$N$157,11,0)</f>
        <v>37.380000000000003</v>
      </c>
      <c r="L6" s="406">
        <f>VLOOKUP($A6,$A$42:$N$157,12,0)</f>
        <v>43700597</v>
      </c>
      <c r="M6" s="342">
        <f>VLOOKUP($A6,$A$42:$N$157,13,0)</f>
        <v>116059842</v>
      </c>
      <c r="N6" s="406">
        <f>VLOOKUP($A6,$A$42:$N$157,14,0)</f>
        <v>40590</v>
      </c>
      <c r="O6" s="540">
        <f>VLOOKUP($A6,$A$42:$O$157,15,0)</f>
        <v>45267.6877662037</v>
      </c>
      <c r="P6" s="558">
        <v>5</v>
      </c>
      <c r="Q6" s="563">
        <v>0</v>
      </c>
      <c r="R6" s="500">
        <v>0</v>
      </c>
      <c r="S6" s="510">
        <v>0</v>
      </c>
      <c r="T6" s="387">
        <v>0</v>
      </c>
      <c r="U6" s="401">
        <v>0</v>
      </c>
      <c r="V6" s="623">
        <v>0</v>
      </c>
      <c r="W6" s="448">
        <v>0</v>
      </c>
      <c r="X6" s="448">
        <v>0</v>
      </c>
      <c r="Y6" s="522">
        <f>IFERROR($AB$1/(VLOOKUP($A6,$A$42:$N$157,6,0)/100),"")</f>
        <v>1415.0943396226414</v>
      </c>
      <c r="Z6" s="587">
        <f>IFERROR($F6*(1-$V$1)/100*$Y6,"")</f>
        <v>525</v>
      </c>
      <c r="AA6" s="584" t="str">
        <f>MID(A6,1,5)</f>
        <v>AL30D</v>
      </c>
      <c r="AB6" s="327"/>
      <c r="AD6" s="605" t="s">
        <v>323</v>
      </c>
      <c r="AE6" s="612">
        <v>45272</v>
      </c>
      <c r="AF6" s="603">
        <v>20000000</v>
      </c>
      <c r="AG6" s="604">
        <v>0.32020000000000004</v>
      </c>
      <c r="AH6" s="604">
        <v>0.48</v>
      </c>
      <c r="AI6" s="603">
        <v>154000</v>
      </c>
      <c r="AJ6" s="608">
        <v>0.48</v>
      </c>
      <c r="AK6" s="603">
        <v>17870587820</v>
      </c>
    </row>
    <row r="7" spans="1:38" ht="12.75" customHeight="1">
      <c r="A7" s="521" t="s">
        <v>619</v>
      </c>
      <c r="B7" s="329">
        <f>VLOOKUP($A7,$A$46:$N$157,2,0)</f>
        <v>214</v>
      </c>
      <c r="C7" s="379">
        <f>VLOOKUP($A7,$A$42:$N$157,3,0)</f>
        <v>74.7</v>
      </c>
      <c r="D7" s="379">
        <f>VLOOKUP($A7,$A$42:$N$157,4,0)</f>
        <v>76.099999999999994</v>
      </c>
      <c r="E7" s="329">
        <f>VLOOKUP($A7,$A$42:$N$157,5,0)</f>
        <v>749</v>
      </c>
      <c r="F7" s="619">
        <f>VLOOKUP($A7,$A$42:$N$157,6,0)</f>
        <v>75.5</v>
      </c>
      <c r="G7" s="334">
        <f>VLOOKUP($A7,$A$42:$N$157,7,0)</f>
        <v>-5.1999999999999998E-3</v>
      </c>
      <c r="H7" s="345">
        <f>VLOOKUP($A7,$A$42:$N$157,8,0)</f>
        <v>75.5</v>
      </c>
      <c r="I7" s="336">
        <f>VLOOKUP($A7,$A$42:$N$157,9,0)</f>
        <v>78.099999999999994</v>
      </c>
      <c r="J7" s="548">
        <f>VLOOKUP($A7,$A$42:$N$157,10,0)</f>
        <v>74.55</v>
      </c>
      <c r="K7" s="340">
        <f>VLOOKUP($A7,$A$42:$N$157,11,0)</f>
        <v>75.5</v>
      </c>
      <c r="L7" s="343">
        <f>VLOOKUP($A7,$A$42:$N$157,12,0)</f>
        <v>18198</v>
      </c>
      <c r="M7" s="340">
        <f>VLOOKUP($A7,$A$42:$N$157,13,0)</f>
        <v>24071</v>
      </c>
      <c r="N7" s="343">
        <f>VLOOKUP($A7,$A$42:$N$157,14,0)</f>
        <v>79</v>
      </c>
      <c r="O7" s="541">
        <f>VLOOKUP($A7,$A$42:$O$157,15,0)</f>
        <v>45267.681076388886</v>
      </c>
      <c r="P7" s="557">
        <v>6</v>
      </c>
      <c r="Q7" s="566">
        <v>0</v>
      </c>
      <c r="R7" s="501">
        <v>0</v>
      </c>
      <c r="S7" s="507">
        <v>0</v>
      </c>
      <c r="T7" s="386">
        <v>0</v>
      </c>
      <c r="U7" s="400">
        <v>0</v>
      </c>
      <c r="V7" s="627">
        <v>0</v>
      </c>
      <c r="W7" s="449">
        <v>0</v>
      </c>
      <c r="X7" s="449">
        <v>0</v>
      </c>
      <c r="Y7" s="523">
        <f>IFERROR(ROUND((($F6*(1-$V$1)/100)*$Y6)/($F7/100),0),0)</f>
        <v>695</v>
      </c>
      <c r="Z7" s="586">
        <f>$F7/100*INT($Y7)</f>
        <v>524.72500000000002</v>
      </c>
      <c r="AA7" s="585" t="str">
        <f>MID(A7,1,5)</f>
        <v>MRCAD</v>
      </c>
      <c r="AD7" s="49" t="s">
        <v>324</v>
      </c>
      <c r="AE7" s="612">
        <v>45273</v>
      </c>
      <c r="AF7" s="48">
        <v>16830149.57</v>
      </c>
      <c r="AG7" s="52">
        <v>0.5</v>
      </c>
      <c r="AH7" s="52">
        <v>0.66</v>
      </c>
      <c r="AI7" s="48">
        <v>721821</v>
      </c>
      <c r="AJ7" s="609">
        <v>0.5</v>
      </c>
      <c r="AK7" s="48">
        <v>2277996730</v>
      </c>
    </row>
    <row r="8" spans="1:38">
      <c r="A8" s="648" t="s">
        <v>617</v>
      </c>
      <c r="B8" s="349">
        <f>VLOOKUP($A8,$A$46:$N$157,2,0)</f>
        <v>0</v>
      </c>
      <c r="C8" s="330">
        <f>VLOOKUP($A8,$A$42:$N$157,3,0)</f>
        <v>0</v>
      </c>
      <c r="D8" s="330">
        <f>VLOOKUP($A8,$A$42:$N$157,4,0)</f>
        <v>0</v>
      </c>
      <c r="E8" s="349">
        <f>VLOOKUP($A8,$A$42:$N$157,5,0)</f>
        <v>0</v>
      </c>
      <c r="F8" s="618">
        <f>VLOOKUP($A8,$A$42:$N$157,6,0)</f>
        <v>0</v>
      </c>
      <c r="G8" s="347">
        <f>VLOOKUP($A8,$A$42:$N$157,7,0)</f>
        <v>0</v>
      </c>
      <c r="H8" s="346">
        <f>VLOOKUP($A8,$A$42:$N$157,8,0)</f>
        <v>0</v>
      </c>
      <c r="I8" s="338">
        <f>VLOOKUP($A8,$A$42:$N$157,9,0)</f>
        <v>0</v>
      </c>
      <c r="J8" s="551">
        <f>VLOOKUP($A8,$A$42:$N$157,10,0)</f>
        <v>0</v>
      </c>
      <c r="K8" s="342">
        <f>VLOOKUP($A8,$A$42:$N$157,11,0)</f>
        <v>72.757000000000005</v>
      </c>
      <c r="L8" s="406">
        <f>VLOOKUP($A8,$A$42:$N$157,12,0)</f>
        <v>0</v>
      </c>
      <c r="M8" s="342">
        <f>VLOOKUP($A8,$A$42:$N$157,13,0)</f>
        <v>0</v>
      </c>
      <c r="N8" s="406">
        <f>VLOOKUP($A8,$A$42:$N$157,14,0)</f>
        <v>0</v>
      </c>
      <c r="O8" s="540">
        <f>VLOOKUP($A8,$A$42:$O$157,15,0)</f>
        <v>0</v>
      </c>
      <c r="P8" s="558">
        <v>7</v>
      </c>
      <c r="Q8" s="563">
        <v>0</v>
      </c>
      <c r="R8" s="500">
        <v>0</v>
      </c>
      <c r="S8" s="510">
        <v>0</v>
      </c>
      <c r="T8" s="387">
        <v>0</v>
      </c>
      <c r="U8" s="401">
        <v>0</v>
      </c>
      <c r="V8" s="624">
        <v>0</v>
      </c>
      <c r="W8" s="465">
        <v>0</v>
      </c>
      <c r="X8" s="465">
        <v>0</v>
      </c>
      <c r="Y8" s="650">
        <f t="shared" si="0"/>
        <v>695</v>
      </c>
      <c r="Z8" s="651">
        <f>$F8*(1-$V$1)/100*INT($Y8)</f>
        <v>0</v>
      </c>
      <c r="AA8" s="666">
        <f>IFERROR((Z9/(VLOOKUP($A9,$A$46:$N$157,6,0)/100))*(VLOOKUP($A6,$A$46:$N$157,6,0)/100),"")</f>
        <v>0</v>
      </c>
      <c r="AD8" s="605" t="s">
        <v>325</v>
      </c>
      <c r="AE8" s="612">
        <v>45274</v>
      </c>
      <c r="AF8" s="603">
        <v>1000000</v>
      </c>
      <c r="AG8" s="604">
        <v>0.31</v>
      </c>
      <c r="AH8" s="604">
        <v>0.75</v>
      </c>
      <c r="AI8" s="603">
        <v>1227208</v>
      </c>
      <c r="AJ8" s="608">
        <v>0.75</v>
      </c>
      <c r="AK8" s="603">
        <v>59708422926</v>
      </c>
    </row>
    <row r="9" spans="1:38" ht="12.75" customHeight="1">
      <c r="A9" s="649" t="s">
        <v>18</v>
      </c>
      <c r="B9" s="458">
        <f>VLOOKUP($A9,$A$46:$N$157,2,0)</f>
        <v>6372</v>
      </c>
      <c r="C9" s="450">
        <f>VLOOKUP($A9,$A$42:$N$157,3,0)</f>
        <v>39.97</v>
      </c>
      <c r="D9" s="450">
        <f>VLOOKUP($A9,$A$42:$N$157,4,0)</f>
        <v>41.186</v>
      </c>
      <c r="E9" s="458">
        <f>VLOOKUP($A9,$A$42:$N$157,5,0)</f>
        <v>2934</v>
      </c>
      <c r="F9" s="644">
        <f>VLOOKUP($A9,$A$42:$N$157,6,0)</f>
        <v>40.051000000000002</v>
      </c>
      <c r="G9" s="451">
        <f>VLOOKUP($A9,$A$42:$N$157,7,0)</f>
        <v>-2.3099999999999999E-2</v>
      </c>
      <c r="H9" s="452">
        <f>VLOOKUP($A9,$A$42:$N$157,8,0)</f>
        <v>40</v>
      </c>
      <c r="I9" s="453">
        <f>VLOOKUP($A9,$A$42:$N$157,9,0)</f>
        <v>43.49</v>
      </c>
      <c r="J9" s="550">
        <f>VLOOKUP($A9,$A$42:$N$157,10,0)</f>
        <v>39.000999999999998</v>
      </c>
      <c r="K9" s="455">
        <f>VLOOKUP($A9,$A$42:$N$157,11,0)</f>
        <v>40.999000000000002</v>
      </c>
      <c r="L9" s="454">
        <f>VLOOKUP($A9,$A$42:$N$157,12,0)</f>
        <v>1706367</v>
      </c>
      <c r="M9" s="455">
        <f>VLOOKUP($A9,$A$42:$N$157,13,0)</f>
        <v>4083851</v>
      </c>
      <c r="N9" s="454">
        <f>VLOOKUP($A9,$A$42:$N$157,14,0)</f>
        <v>2346</v>
      </c>
      <c r="O9" s="542">
        <f>VLOOKUP($A9,$A$42:$O$157,15,0)</f>
        <v>45267.684490740743</v>
      </c>
      <c r="P9" s="557">
        <v>8</v>
      </c>
      <c r="Q9" s="567">
        <v>0</v>
      </c>
      <c r="R9" s="502">
        <v>0</v>
      </c>
      <c r="S9" s="509">
        <v>0</v>
      </c>
      <c r="T9" s="460">
        <v>0</v>
      </c>
      <c r="U9" s="400">
        <v>0</v>
      </c>
      <c r="V9" s="625">
        <v>0</v>
      </c>
      <c r="W9" s="457">
        <v>0</v>
      </c>
      <c r="X9" s="457">
        <v>0</v>
      </c>
      <c r="Y9" s="652">
        <f>IFERROR(($Y8*($F8*(1-$V$1)/100)/($F9/100)),0)</f>
        <v>0</v>
      </c>
      <c r="Z9" s="653">
        <f>$F9/100*INT($Y9)</f>
        <v>0</v>
      </c>
      <c r="AA9" s="667"/>
      <c r="AD9" s="49"/>
      <c r="AE9" s="612"/>
      <c r="AF9" s="606"/>
      <c r="AG9" s="607"/>
      <c r="AH9" s="607"/>
      <c r="AI9" s="606"/>
      <c r="AJ9" s="610"/>
      <c r="AK9" s="606"/>
    </row>
    <row r="10" spans="1:38" ht="12.75" customHeight="1">
      <c r="A10" s="520" t="s">
        <v>14</v>
      </c>
      <c r="B10" s="349">
        <f>VLOOKUP($A10,$A$46:$N$157,2,0)</f>
        <v>42122</v>
      </c>
      <c r="C10" s="330">
        <f>VLOOKUP($A10,$A$42:$N$157,3,0)</f>
        <v>37.1</v>
      </c>
      <c r="D10" s="350">
        <f>VLOOKUP($A10,$A$42:$N$157,4,0)</f>
        <v>37.200000000000003</v>
      </c>
      <c r="E10" s="349">
        <f>VLOOKUP($A10,$A$42:$N$157,5,0)</f>
        <v>594</v>
      </c>
      <c r="F10" s="618">
        <f>VLOOKUP($A10,$A$42:$N$157,6,0)</f>
        <v>37.1</v>
      </c>
      <c r="G10" s="347">
        <f>VLOOKUP($A10,$A$42:$N$157,7,0)</f>
        <v>-7.4000000000000003E-3</v>
      </c>
      <c r="H10" s="346">
        <f>VLOOKUP($A10,$A$42:$N$157,8,0)</f>
        <v>36.950000000000003</v>
      </c>
      <c r="I10" s="338">
        <f>VLOOKUP($A10,$A$42:$N$157,9,0)</f>
        <v>40</v>
      </c>
      <c r="J10" s="551">
        <f>VLOOKUP($A10,$A$42:$N$157,10,0)</f>
        <v>36.551000000000002</v>
      </c>
      <c r="K10" s="342">
        <f>VLOOKUP($A10,$A$42:$N$157,11,0)</f>
        <v>37.380000000000003</v>
      </c>
      <c r="L10" s="406">
        <f>VLOOKUP($A10,$A$42:$N$157,12,0)</f>
        <v>43700597</v>
      </c>
      <c r="M10" s="342">
        <f>VLOOKUP($A10,$A$42:$N$157,13,0)</f>
        <v>116059842</v>
      </c>
      <c r="N10" s="406">
        <f>VLOOKUP($A10,$A$42:$N$157,14,0)</f>
        <v>40590</v>
      </c>
      <c r="O10" s="540">
        <f>VLOOKUP($A10,$A$42:$O$157,15,0)</f>
        <v>45267.6877662037</v>
      </c>
      <c r="P10" s="558">
        <v>9</v>
      </c>
      <c r="Q10" s="563">
        <v>0</v>
      </c>
      <c r="R10" s="500">
        <v>0</v>
      </c>
      <c r="S10" s="510">
        <v>0</v>
      </c>
      <c r="T10" s="387">
        <v>0</v>
      </c>
      <c r="U10" s="401">
        <v>0</v>
      </c>
      <c r="V10" s="624">
        <v>0</v>
      </c>
      <c r="W10" s="632">
        <v>0</v>
      </c>
      <c r="X10" s="448">
        <v>0</v>
      </c>
      <c r="Y10" s="522">
        <f>IFERROR($AB$1/(VLOOKUP($A10,$A$42:$N$157,6,0)/100),"")</f>
        <v>1415.0943396226414</v>
      </c>
      <c r="Z10" s="587">
        <f>IFERROR($F10*(1-$V$1)/100*$Y10,"")</f>
        <v>525</v>
      </c>
      <c r="AA10" s="584" t="str">
        <f>MID(A10,1,5)</f>
        <v>AL30D</v>
      </c>
      <c r="AB10" s="327"/>
      <c r="AF10" s="280"/>
      <c r="AH10" s="280"/>
      <c r="AJ10" s="47"/>
      <c r="AK10" s="47"/>
    </row>
    <row r="11" spans="1:38" ht="12.75" customHeight="1">
      <c r="A11" s="521" t="s">
        <v>18</v>
      </c>
      <c r="B11" s="329">
        <f>VLOOKUP($A11,$A$46:$N$157,2,0)</f>
        <v>6372</v>
      </c>
      <c r="C11" s="379">
        <f>VLOOKUP($A11,$A$42:$N$157,3,0)</f>
        <v>39.97</v>
      </c>
      <c r="D11" s="379">
        <f>VLOOKUP($A11,$A$42:$N$157,4,0)</f>
        <v>41.186</v>
      </c>
      <c r="E11" s="329">
        <f>VLOOKUP($A11,$A$42:$N$157,5,0)</f>
        <v>2934</v>
      </c>
      <c r="F11" s="619">
        <f>VLOOKUP($A11,$A$42:$N$157,6,0)</f>
        <v>40.051000000000002</v>
      </c>
      <c r="G11" s="334">
        <f>VLOOKUP($A11,$A$42:$N$157,7,0)</f>
        <v>-2.3099999999999999E-2</v>
      </c>
      <c r="H11" s="345">
        <f>VLOOKUP($A11,$A$42:$N$157,8,0)</f>
        <v>40</v>
      </c>
      <c r="I11" s="336">
        <f>VLOOKUP($A11,$A$42:$N$157,9,0)</f>
        <v>43.49</v>
      </c>
      <c r="J11" s="548">
        <f>VLOOKUP($A11,$A$42:$N$157,10,0)</f>
        <v>39.000999999999998</v>
      </c>
      <c r="K11" s="340">
        <f>VLOOKUP($A11,$A$42:$N$157,11,0)</f>
        <v>40.999000000000002</v>
      </c>
      <c r="L11" s="343">
        <f>VLOOKUP($A11,$A$42:$N$157,12,0)</f>
        <v>1706367</v>
      </c>
      <c r="M11" s="340">
        <f>VLOOKUP($A11,$A$42:$N$157,13,0)</f>
        <v>4083851</v>
      </c>
      <c r="N11" s="343">
        <f>VLOOKUP($A11,$A$42:$N$157,14,0)</f>
        <v>2346</v>
      </c>
      <c r="O11" s="541">
        <f>VLOOKUP($A11,$A$42:$O$157,15,0)</f>
        <v>45267.684490740743</v>
      </c>
      <c r="P11" s="557">
        <v>10</v>
      </c>
      <c r="Q11" s="566">
        <v>0</v>
      </c>
      <c r="R11" s="501">
        <v>0</v>
      </c>
      <c r="S11" s="507">
        <v>0</v>
      </c>
      <c r="T11" s="386">
        <v>0</v>
      </c>
      <c r="U11" s="400">
        <v>0</v>
      </c>
      <c r="V11" s="625">
        <v>0</v>
      </c>
      <c r="W11" s="633">
        <v>0</v>
      </c>
      <c r="X11" s="449">
        <v>0</v>
      </c>
      <c r="Y11" s="523">
        <f>IFERROR(ROUND((($F10*(1-$V$1)/100)*$Y10)/($F11/100),0),0)</f>
        <v>1311</v>
      </c>
      <c r="Z11" s="586">
        <f>$F11/100*INT($Y11)</f>
        <v>525.06861000000004</v>
      </c>
      <c r="AA11" s="585" t="str">
        <f>MID(A11,1,5)</f>
        <v>GD30D</v>
      </c>
    </row>
    <row r="12" spans="1:38" ht="12.75" customHeight="1">
      <c r="A12" s="648" t="s">
        <v>17</v>
      </c>
      <c r="B12" s="349">
        <f>VLOOKUP($A12,$A$46:$N$157,2,0)</f>
        <v>292</v>
      </c>
      <c r="C12" s="330">
        <f>VLOOKUP($A12,$A$42:$N$157,3,0)</f>
        <v>39.6</v>
      </c>
      <c r="D12" s="330">
        <f>VLOOKUP($A12,$A$42:$N$157,4,0)</f>
        <v>41.99</v>
      </c>
      <c r="E12" s="349">
        <f>VLOOKUP($A12,$A$42:$N$157,5,0)</f>
        <v>1200</v>
      </c>
      <c r="F12" s="618">
        <f>VLOOKUP($A12,$A$42:$N$157,6,0)</f>
        <v>39.6</v>
      </c>
      <c r="G12" s="347">
        <f>VLOOKUP($A12,$A$42:$N$157,7,0)</f>
        <v>-5.7099999999999998E-2</v>
      </c>
      <c r="H12" s="346">
        <f>VLOOKUP($A12,$A$42:$N$157,8,0)</f>
        <v>43.99</v>
      </c>
      <c r="I12" s="338">
        <f>VLOOKUP($A12,$A$42:$N$157,9,0)</f>
        <v>43.99</v>
      </c>
      <c r="J12" s="551">
        <f>VLOOKUP($A12,$A$42:$N$157,10,0)</f>
        <v>39.6</v>
      </c>
      <c r="K12" s="342">
        <f>VLOOKUP($A12,$A$42:$N$157,11,0)</f>
        <v>42</v>
      </c>
      <c r="L12" s="406">
        <f>VLOOKUP($A12,$A$42:$N$157,12,0)</f>
        <v>61500</v>
      </c>
      <c r="M12" s="342">
        <f>VLOOKUP($A12,$A$42:$N$157,13,0)</f>
        <v>143206</v>
      </c>
      <c r="N12" s="406">
        <f>VLOOKUP($A12,$A$42:$N$157,14,0)</f>
        <v>92</v>
      </c>
      <c r="O12" s="540">
        <f>VLOOKUP($A12,$A$42:$O$157,15,0)</f>
        <v>45267.684618055559</v>
      </c>
      <c r="P12" s="558">
        <v>11</v>
      </c>
      <c r="Q12" s="563">
        <v>0</v>
      </c>
      <c r="R12" s="500">
        <v>0</v>
      </c>
      <c r="S12" s="510">
        <v>0</v>
      </c>
      <c r="T12" s="387">
        <v>0</v>
      </c>
      <c r="U12" s="401">
        <v>0</v>
      </c>
      <c r="V12" s="624">
        <v>0</v>
      </c>
      <c r="W12" s="632">
        <v>0</v>
      </c>
      <c r="X12" s="465">
        <v>0</v>
      </c>
      <c r="Y12" s="650">
        <f t="shared" ref="Y12" si="1">Y11</f>
        <v>1311</v>
      </c>
      <c r="Z12" s="651">
        <f>$F12*(1-$V$1)/100*INT($Y12)</f>
        <v>519.15600000000006</v>
      </c>
      <c r="AA12" s="666">
        <f>IFERROR((Z13/(VLOOKUP($A13,$A$46:$N$157,6,0)/100))*(VLOOKUP($A10,$A$46:$N$157,6,0)/100),"")</f>
        <v>504.18900000000002</v>
      </c>
    </row>
    <row r="13" spans="1:38" ht="12.75" customHeight="1">
      <c r="A13" s="649" t="s">
        <v>15</v>
      </c>
      <c r="B13" s="458">
        <f>VLOOKUP($A13,$A$46:$N$157,2,0)</f>
        <v>16627</v>
      </c>
      <c r="C13" s="450">
        <f>VLOOKUP($A13,$A$42:$N$157,3,0)</f>
        <v>37</v>
      </c>
      <c r="D13" s="450">
        <f>VLOOKUP($A13,$A$42:$N$157,4,0)</f>
        <v>38.200000000000003</v>
      </c>
      <c r="E13" s="458">
        <f>VLOOKUP($A13,$A$42:$N$157,5,0)</f>
        <v>98673</v>
      </c>
      <c r="F13" s="644">
        <f>VLOOKUP($A13,$A$42:$N$157,6,0)</f>
        <v>38.200000000000003</v>
      </c>
      <c r="G13" s="451">
        <f>VLOOKUP($A13,$A$42:$N$157,7,0)</f>
        <v>-1.54E-2</v>
      </c>
      <c r="H13" s="452">
        <f>VLOOKUP($A13,$A$42:$N$157,8,0)</f>
        <v>37.65</v>
      </c>
      <c r="I13" s="453">
        <f>VLOOKUP($A13,$A$42:$N$157,9,0)</f>
        <v>38.700000000000003</v>
      </c>
      <c r="J13" s="550">
        <f>VLOOKUP($A13,$A$42:$N$157,10,0)</f>
        <v>36.5</v>
      </c>
      <c r="K13" s="455">
        <f>VLOOKUP($A13,$A$42:$N$157,11,0)</f>
        <v>38.799999999999997</v>
      </c>
      <c r="L13" s="454">
        <f>VLOOKUP($A13,$A$42:$N$157,12,0)</f>
        <v>556393</v>
      </c>
      <c r="M13" s="455">
        <f>VLOOKUP($A13,$A$42:$N$157,13,0)</f>
        <v>1476085</v>
      </c>
      <c r="N13" s="459">
        <f>VLOOKUP($A13,$A$42:$N$157,14,0)</f>
        <v>506</v>
      </c>
      <c r="O13" s="542">
        <f>VLOOKUP($A13,$A$42:$O$157,15,0)</f>
        <v>45267.685196759259</v>
      </c>
      <c r="P13" s="557">
        <v>12</v>
      </c>
      <c r="Q13" s="567">
        <v>0</v>
      </c>
      <c r="R13" s="502">
        <v>0</v>
      </c>
      <c r="S13" s="509">
        <v>0</v>
      </c>
      <c r="T13" s="460">
        <v>0</v>
      </c>
      <c r="U13" s="400">
        <v>0</v>
      </c>
      <c r="V13" s="625">
        <v>0</v>
      </c>
      <c r="W13" s="640">
        <v>0</v>
      </c>
      <c r="X13" s="457">
        <v>0</v>
      </c>
      <c r="Y13" s="652">
        <f>IFERROR(($Y12*($F12*(1-$V$1)/100)/($F13/100)),0)</f>
        <v>1359.0471204188484</v>
      </c>
      <c r="Z13" s="653">
        <f>$F13/100*INT($Y13)</f>
        <v>519.13800000000003</v>
      </c>
      <c r="AA13" s="667"/>
    </row>
    <row r="14" spans="1:38" ht="12.75" customHeight="1">
      <c r="A14" s="642" t="s">
        <v>13</v>
      </c>
      <c r="B14" s="328">
        <f>VLOOKUP($A14,$A$42:$N$157,2,0)</f>
        <v>270</v>
      </c>
      <c r="C14" s="330">
        <f>VLOOKUP($A14,$A$42:$N$157,3,0)</f>
        <v>37045</v>
      </c>
      <c r="D14" s="330">
        <f>VLOOKUP($A14,$A$42:$N$157,4,0)</f>
        <v>37049</v>
      </c>
      <c r="E14" s="328">
        <f>VLOOKUP($A14,$A$42:$N$157,5,0)</f>
        <v>58</v>
      </c>
      <c r="F14" s="524">
        <f>VLOOKUP($A14,$A$42:$N$157,6,0)</f>
        <v>37045</v>
      </c>
      <c r="G14" s="333">
        <f>VLOOKUP($A14,$A$42:$N$157,7,0)</f>
        <v>7.46E-2</v>
      </c>
      <c r="H14" s="344">
        <f>VLOOKUP($A14,$A$42:$N$157,8,0)</f>
        <v>34999</v>
      </c>
      <c r="I14" s="335">
        <f>VLOOKUP($A14,$A$42:$N$157,9,0)</f>
        <v>37144</v>
      </c>
      <c r="J14" s="547">
        <f>VLOOKUP($A14,$A$42:$N$157,10,0)</f>
        <v>33000.5</v>
      </c>
      <c r="K14" s="555">
        <f>VLOOKUP($A14,$A$42:$N$157,11,0)</f>
        <v>34472</v>
      </c>
      <c r="L14" s="435">
        <f>VLOOKUP($A14,$A$42:$N$157,12,0)</f>
        <v>75104463132</v>
      </c>
      <c r="M14" s="339">
        <f>VLOOKUP($A14,$A$42:$N$157,13,0)</f>
        <v>212419019</v>
      </c>
      <c r="N14" s="446">
        <f>VLOOKUP($A14,$A$42:$N$157,14,0)</f>
        <v>96301</v>
      </c>
      <c r="O14" s="534">
        <f>VLOOKUP($A14,$A$42:$O$157,15,0)</f>
        <v>45267.687523148146</v>
      </c>
      <c r="P14" s="558">
        <v>13</v>
      </c>
      <c r="Q14" s="559">
        <v>0</v>
      </c>
      <c r="R14" s="494">
        <v>0</v>
      </c>
      <c r="S14" s="506">
        <v>0</v>
      </c>
      <c r="T14" s="377">
        <v>0</v>
      </c>
      <c r="U14" s="401">
        <v>0</v>
      </c>
      <c r="V14" s="624">
        <v>0</v>
      </c>
      <c r="W14" s="632">
        <v>0</v>
      </c>
      <c r="X14" s="481">
        <v>0</v>
      </c>
      <c r="Y14" s="646"/>
      <c r="Z14" s="638">
        <v>100</v>
      </c>
      <c r="AA14" s="657" t="str">
        <f>A15</f>
        <v>GD30 - spot</v>
      </c>
      <c r="AB14" s="581">
        <f>IFERROR((IF($Y14&lt;&gt;0,$Y14,VLOOKUP($A14,$A$42:$N$157,6,0))*$Z14/100)/(VLOOKUP($AA14,$A$42:$N$157,6,0)/100),"")</f>
        <v>93.19496855345912</v>
      </c>
    </row>
    <row r="15" spans="1:38" ht="12.75" customHeight="1">
      <c r="A15" s="643" t="s">
        <v>16</v>
      </c>
      <c r="B15" s="329">
        <f>VLOOKUP($A15,$A$42:$N$157,2,0)</f>
        <v>503</v>
      </c>
      <c r="C15" s="331">
        <f>VLOOKUP($A15,$A$42:$N$157,3,0)</f>
        <v>39700</v>
      </c>
      <c r="D15" s="331">
        <f>VLOOKUP($A15,$A$42:$N$157,4,0)</f>
        <v>40000</v>
      </c>
      <c r="E15" s="329">
        <f>VLOOKUP($A15,$A$42:$N$157,5,0)</f>
        <v>4900</v>
      </c>
      <c r="F15" s="357">
        <f>VLOOKUP($A15,$A$42:$N$157,6,0)</f>
        <v>39750</v>
      </c>
      <c r="G15" s="334">
        <f>VLOOKUP($A15,$A$42:$N$157,7,0)</f>
        <v>8.0299999999999996E-2</v>
      </c>
      <c r="H15" s="345">
        <f>VLOOKUP($A15,$A$42:$N$157,8,0)</f>
        <v>37850</v>
      </c>
      <c r="I15" s="336">
        <f>VLOOKUP($A15,$A$42:$N$157,9,0)</f>
        <v>41254.5</v>
      </c>
      <c r="J15" s="548">
        <f>VLOOKUP($A15,$A$42:$N$157,10,0)</f>
        <v>36550</v>
      </c>
      <c r="K15" s="340">
        <f>VLOOKUP($A15,$A$42:$N$157,11,0)</f>
        <v>36795</v>
      </c>
      <c r="L15" s="343">
        <f>VLOOKUP($A15,$A$42:$N$157,12,0)</f>
        <v>16540430013</v>
      </c>
      <c r="M15" s="375">
        <f>VLOOKUP($A15,$A$42:$N$157,13,0)</f>
        <v>43782941</v>
      </c>
      <c r="N15" s="343">
        <f>VLOOKUP($A15,$A$42:$N$157,14,0)</f>
        <v>11233</v>
      </c>
      <c r="O15" s="535">
        <f>VLOOKUP($A15,$A$42:$O$157,15,0)</f>
        <v>45267.687719907408</v>
      </c>
      <c r="P15" s="557">
        <v>14</v>
      </c>
      <c r="Q15" s="560">
        <v>0</v>
      </c>
      <c r="R15" s="495">
        <v>0</v>
      </c>
      <c r="S15" s="507">
        <v>0</v>
      </c>
      <c r="T15" s="376">
        <v>0</v>
      </c>
      <c r="U15" s="400">
        <v>0</v>
      </c>
      <c r="V15" s="625">
        <v>0</v>
      </c>
      <c r="W15" s="633">
        <v>0</v>
      </c>
      <c r="X15" s="480">
        <v>0</v>
      </c>
      <c r="Y15" s="645"/>
      <c r="Z15" s="637">
        <v>93</v>
      </c>
      <c r="AA15" s="658" t="str">
        <f>A14</f>
        <v>AL30 - spot</v>
      </c>
      <c r="AB15" s="582">
        <f>IFERROR((IF($Y15&lt;&gt;0,$Y15,VLOOKUP($A15,$A$42:$N$157,6,0))*$Z15/100)/(VLOOKUP($AA15,$A$42:$N$157,6,0)/100),"")</f>
        <v>99.790794979079507</v>
      </c>
    </row>
    <row r="16" spans="1:38" ht="12.75" customHeight="1">
      <c r="A16" s="642" t="s">
        <v>2</v>
      </c>
      <c r="B16" s="328">
        <f>VLOOKUP($A16,$A$42:$N$157,2,0)</f>
        <v>120</v>
      </c>
      <c r="C16" s="330">
        <f>VLOOKUP($A16,$A$42:$N$157,3,0)</f>
        <v>37196.5</v>
      </c>
      <c r="D16" s="330">
        <f>VLOOKUP($A16,$A$42:$N$157,4,0)</f>
        <v>37200</v>
      </c>
      <c r="E16" s="328">
        <f>VLOOKUP($A16,$A$42:$N$157,5,0)</f>
        <v>60120</v>
      </c>
      <c r="F16" s="524">
        <f>VLOOKUP($A16,$A$42:$N$157,6,0)</f>
        <v>37199</v>
      </c>
      <c r="G16" s="333">
        <f>VLOOKUP($A16,$A$42:$N$157,7,0)</f>
        <v>6.2800000000000009E-2</v>
      </c>
      <c r="H16" s="344">
        <f>VLOOKUP($A16,$A$42:$N$157,8,0)</f>
        <v>35000</v>
      </c>
      <c r="I16" s="335">
        <f>VLOOKUP($A16,$A$42:$N$157,9,0)</f>
        <v>37633.5</v>
      </c>
      <c r="J16" s="549">
        <f>VLOOKUP($A16,$A$42:$N$157,10,0)</f>
        <v>34650</v>
      </c>
      <c r="K16" s="339">
        <f>VLOOKUP($A16,$A$42:$N$157,11,0)</f>
        <v>34999</v>
      </c>
      <c r="L16" s="436">
        <f>VLOOKUP($A16,$A$42:$N$157,12,0)</f>
        <v>104071265602</v>
      </c>
      <c r="M16" s="339">
        <f>VLOOKUP($A16,$A$42:$N$157,13,0)</f>
        <v>288379692</v>
      </c>
      <c r="N16" s="436">
        <f>VLOOKUP($A16,$A$42:$N$157,14,0)</f>
        <v>53976</v>
      </c>
      <c r="O16" s="536">
        <f>VLOOKUP($A16,$A$42:$O$157,15,0)</f>
        <v>45267.708587962959</v>
      </c>
      <c r="P16" s="558">
        <v>15</v>
      </c>
      <c r="Q16" s="561">
        <v>0</v>
      </c>
      <c r="R16" s="494">
        <v>0</v>
      </c>
      <c r="S16" s="508">
        <v>0</v>
      </c>
      <c r="T16" s="377">
        <v>0</v>
      </c>
      <c r="U16" s="401">
        <v>0</v>
      </c>
      <c r="V16" s="624">
        <v>0</v>
      </c>
      <c r="W16" s="632">
        <v>0</v>
      </c>
      <c r="X16" s="481">
        <v>0</v>
      </c>
      <c r="Y16" s="646"/>
      <c r="Z16" s="638">
        <f>Z14</f>
        <v>100</v>
      </c>
      <c r="AA16" s="657" t="str">
        <f>A17</f>
        <v>GD30 - 48hs</v>
      </c>
      <c r="AB16" s="581">
        <f>IFERROR((IF($Y16&lt;&gt;0,$Y16,VLOOKUP($A16,$A$42:$N$157,6,0))*$Z16/100)/(VLOOKUP($AA16,$A$42:$N$157,6,0)/100),"")</f>
        <v>93.464824120603012</v>
      </c>
    </row>
    <row r="17" spans="1:29" ht="12.75" customHeight="1">
      <c r="A17" s="477" t="s">
        <v>5</v>
      </c>
      <c r="B17" s="458">
        <f>VLOOKUP($A17,$A$42:$N$157,2,0)</f>
        <v>354541</v>
      </c>
      <c r="C17" s="450">
        <f>VLOOKUP($A17,$A$42:$N$157,3,0)</f>
        <v>39800</v>
      </c>
      <c r="D17" s="450">
        <f>VLOOKUP($A17,$A$42:$N$157,4,0)</f>
        <v>39820</v>
      </c>
      <c r="E17" s="458">
        <f>VLOOKUP($A17,$A$42:$N$157,5,0)</f>
        <v>1201</v>
      </c>
      <c r="F17" s="613">
        <f>VLOOKUP($A17,$A$42:$N$157,6,0)</f>
        <v>39800</v>
      </c>
      <c r="G17" s="451">
        <f>VLOOKUP($A17,$A$42:$N$157,7,0)</f>
        <v>5.1399999999999994E-2</v>
      </c>
      <c r="H17" s="452">
        <f>VLOOKUP($A17,$A$42:$N$157,8,0)</f>
        <v>38000</v>
      </c>
      <c r="I17" s="453">
        <f>VLOOKUP($A17,$A$42:$N$157,9,0)</f>
        <v>40331.5</v>
      </c>
      <c r="J17" s="550">
        <f>VLOOKUP($A17,$A$42:$N$157,10,0)</f>
        <v>37200</v>
      </c>
      <c r="K17" s="455">
        <f>VLOOKUP($A17,$A$42:$N$157,11,0)</f>
        <v>37852</v>
      </c>
      <c r="L17" s="454">
        <f>VLOOKUP($A17,$A$42:$N$157,12,0)</f>
        <v>34863434661</v>
      </c>
      <c r="M17" s="455">
        <f>VLOOKUP($A17,$A$42:$N$157,13,0)</f>
        <v>90347990</v>
      </c>
      <c r="N17" s="454">
        <f>VLOOKUP($A17,$A$42:$N$157,14,0)</f>
        <v>13495</v>
      </c>
      <c r="O17" s="537">
        <f>VLOOKUP($A17,$A$42:$O$157,15,0)</f>
        <v>45267.708553240744</v>
      </c>
      <c r="P17" s="557">
        <v>16</v>
      </c>
      <c r="Q17" s="562">
        <v>0</v>
      </c>
      <c r="R17" s="496">
        <v>0</v>
      </c>
      <c r="S17" s="509">
        <v>0</v>
      </c>
      <c r="T17" s="456">
        <v>0</v>
      </c>
      <c r="U17" s="400">
        <v>0</v>
      </c>
      <c r="V17" s="625">
        <v>0</v>
      </c>
      <c r="W17" s="640">
        <v>0</v>
      </c>
      <c r="X17" s="482">
        <v>0</v>
      </c>
      <c r="Y17" s="647"/>
      <c r="Z17" s="639">
        <v>93</v>
      </c>
      <c r="AA17" s="659" t="str">
        <f>A16</f>
        <v>AL30 - 48hs</v>
      </c>
      <c r="AB17" s="583">
        <f>IFERROR((IF($Y17&lt;&gt;0,$Y17,VLOOKUP($A17,$A$42:$N$157,6,0))*$Z17/100)/(VLOOKUP($AA17,$A$42:$N$157,6,0)/100),"")</f>
        <v>99.502674803086109</v>
      </c>
    </row>
    <row r="18" spans="1:29" ht="12.75" customHeight="1">
      <c r="A18" s="642" t="s">
        <v>13</v>
      </c>
      <c r="B18" s="328">
        <f>VLOOKUP($A18,$A$42:$N$157,2,0)</f>
        <v>270</v>
      </c>
      <c r="C18" s="330">
        <f>VLOOKUP($A18,$A$42:$N$157,3,0)</f>
        <v>37045</v>
      </c>
      <c r="D18" s="330">
        <f>VLOOKUP($A18,$A$42:$N$157,4,0)</f>
        <v>37049</v>
      </c>
      <c r="E18" s="328">
        <f>VLOOKUP($A18,$A$42:$N$157,5,0)</f>
        <v>58</v>
      </c>
      <c r="F18" s="524">
        <f>VLOOKUP($A18,$A$42:$N$157,6,0)</f>
        <v>37045</v>
      </c>
      <c r="G18" s="333">
        <f>VLOOKUP($A18,$A$42:$N$157,7,0)</f>
        <v>7.46E-2</v>
      </c>
      <c r="H18" s="344">
        <f>VLOOKUP($A18,$A$42:$N$157,8,0)</f>
        <v>34999</v>
      </c>
      <c r="I18" s="335">
        <f>VLOOKUP($A18,$A$42:$N$157,9,0)</f>
        <v>37144</v>
      </c>
      <c r="J18" s="549">
        <f>VLOOKUP($A18,$A$42:$N$157,10,0)</f>
        <v>33000.5</v>
      </c>
      <c r="K18" s="339">
        <f>VLOOKUP($A18,$A$42:$N$157,11,0)</f>
        <v>34472</v>
      </c>
      <c r="L18" s="436">
        <f>VLOOKUP($A18,$A$42:$N$157,12,0)</f>
        <v>75104463132</v>
      </c>
      <c r="M18" s="339">
        <f>VLOOKUP($A18,$A$42:$N$157,13,0)</f>
        <v>212419019</v>
      </c>
      <c r="N18" s="436">
        <f>VLOOKUP($A18,$A$42:$N$157,14,0)</f>
        <v>96301</v>
      </c>
      <c r="O18" s="536">
        <f>VLOOKUP($A18,$A$42:$O$157,15,0)</f>
        <v>45267.687523148146</v>
      </c>
      <c r="P18" s="558">
        <v>17</v>
      </c>
      <c r="Q18" s="561">
        <v>0</v>
      </c>
      <c r="R18" s="494">
        <v>0</v>
      </c>
      <c r="S18" s="508">
        <v>0</v>
      </c>
      <c r="T18" s="377">
        <v>0</v>
      </c>
      <c r="U18" s="401">
        <v>0</v>
      </c>
      <c r="V18" s="624">
        <v>0</v>
      </c>
      <c r="W18" s="632">
        <v>0</v>
      </c>
      <c r="X18" s="481">
        <v>0</v>
      </c>
      <c r="Y18" s="646"/>
      <c r="Z18" s="638">
        <v>100</v>
      </c>
      <c r="AA18" s="657" t="str">
        <f>A19</f>
        <v>MRCAO - spot</v>
      </c>
      <c r="AB18" s="581">
        <f>IFERROR((IF($Y18&lt;&gt;0,$Y18,VLOOKUP($A18,$A$42:$N$157,6,0))*$Z18/100)/(VLOOKUP($AA18,$A$42:$N$157,6,0)/100),"")</f>
        <v>50.196476964769644</v>
      </c>
      <c r="AC18" s="327"/>
    </row>
    <row r="19" spans="1:29" ht="12.75" customHeight="1">
      <c r="A19" s="643" t="s">
        <v>615</v>
      </c>
      <c r="B19" s="329">
        <f>VLOOKUP($A19,$A$42:$N$157,2,0)</f>
        <v>15</v>
      </c>
      <c r="C19" s="331">
        <f>VLOOKUP($A19,$A$42:$N$157,3,0)</f>
        <v>73500</v>
      </c>
      <c r="D19" s="331">
        <f>VLOOKUP($A19,$A$42:$N$157,4,0)</f>
        <v>73800</v>
      </c>
      <c r="E19" s="329">
        <f>VLOOKUP($A19,$A$42:$N$157,5,0)</f>
        <v>19612</v>
      </c>
      <c r="F19" s="357">
        <f>VLOOKUP($A19,$A$42:$N$157,6,0)</f>
        <v>73800</v>
      </c>
      <c r="G19" s="334">
        <f>VLOOKUP($A19,$A$42:$N$157,7,0)</f>
        <v>5.4299999999999994E-2</v>
      </c>
      <c r="H19" s="345">
        <f>VLOOKUP($A19,$A$42:$N$157,8,0)</f>
        <v>70389</v>
      </c>
      <c r="I19" s="336">
        <f>VLOOKUP($A19,$A$42:$N$157,9,0)</f>
        <v>75499.5</v>
      </c>
      <c r="J19" s="548">
        <f>VLOOKUP($A19,$A$42:$N$157,10,0)</f>
        <v>67500</v>
      </c>
      <c r="K19" s="340">
        <f>VLOOKUP($A19,$A$42:$N$157,11,0)</f>
        <v>69999</v>
      </c>
      <c r="L19" s="343">
        <f>VLOOKUP($A19,$A$42:$N$157,12,0)</f>
        <v>63587504</v>
      </c>
      <c r="M19" s="340">
        <f>VLOOKUP($A19,$A$42:$N$157,13,0)</f>
        <v>90221</v>
      </c>
      <c r="N19" s="343">
        <f>VLOOKUP($A19,$A$42:$N$157,14,0)</f>
        <v>562</v>
      </c>
      <c r="O19" s="535">
        <f>VLOOKUP($A19,$A$42:$O$157,15,0)</f>
        <v>45267.687719907408</v>
      </c>
      <c r="P19" s="557">
        <v>18</v>
      </c>
      <c r="Q19" s="560">
        <v>0</v>
      </c>
      <c r="R19" s="495">
        <v>0</v>
      </c>
      <c r="S19" s="507">
        <v>0</v>
      </c>
      <c r="T19" s="376">
        <v>0</v>
      </c>
      <c r="U19" s="400">
        <v>0</v>
      </c>
      <c r="V19" s="625">
        <v>0</v>
      </c>
      <c r="W19" s="633">
        <v>0</v>
      </c>
      <c r="X19" s="480">
        <v>0</v>
      </c>
      <c r="Y19" s="645"/>
      <c r="Z19" s="637">
        <v>50</v>
      </c>
      <c r="AA19" s="658" t="str">
        <f>A18</f>
        <v>AL30 - spot</v>
      </c>
      <c r="AB19" s="582">
        <f>IFERROR((IF($Y19&lt;&gt;0,$Y19,VLOOKUP($A19,$A$42:$N$157,6,0))*$Z19/100)/(VLOOKUP($AA19,$A$42:$N$157,6,0)/100),"")</f>
        <v>99.608584154406799</v>
      </c>
    </row>
    <row r="20" spans="1:29" ht="12.75" customHeight="1">
      <c r="A20" s="642" t="s">
        <v>2</v>
      </c>
      <c r="B20" s="328">
        <f>VLOOKUP($A20,$A$42:$N$157,2,0)</f>
        <v>120</v>
      </c>
      <c r="C20" s="330">
        <f>VLOOKUP($A20,$A$42:$N$157,3,0)</f>
        <v>37196.5</v>
      </c>
      <c r="D20" s="330">
        <f>VLOOKUP($A20,$A$42:$N$157,4,0)</f>
        <v>37200</v>
      </c>
      <c r="E20" s="328">
        <f>VLOOKUP($A20,$A$42:$N$157,5,0)</f>
        <v>60120</v>
      </c>
      <c r="F20" s="524">
        <f>VLOOKUP($A20,$A$42:$N$157,6,0)</f>
        <v>37199</v>
      </c>
      <c r="G20" s="333">
        <f>VLOOKUP($A20,$A$42:$N$157,7,0)</f>
        <v>6.2800000000000009E-2</v>
      </c>
      <c r="H20" s="344">
        <f>VLOOKUP($A20,$A$42:$N$157,8,0)</f>
        <v>35000</v>
      </c>
      <c r="I20" s="335">
        <f>VLOOKUP($A20,$A$42:$N$157,9,0)</f>
        <v>37633.5</v>
      </c>
      <c r="J20" s="549">
        <f>VLOOKUP($A20,$A$42:$N$157,10,0)</f>
        <v>34650</v>
      </c>
      <c r="K20" s="339">
        <f>VLOOKUP($A20,$A$42:$N$157,11,0)</f>
        <v>34999</v>
      </c>
      <c r="L20" s="436">
        <f>VLOOKUP($A20,$A$42:$N$157,12,0)</f>
        <v>104071265602</v>
      </c>
      <c r="M20" s="339">
        <f>VLOOKUP($A20,$A$42:$N$157,13,0)</f>
        <v>288379692</v>
      </c>
      <c r="N20" s="436">
        <f>VLOOKUP($A20,$A$42:$N$157,14,0)</f>
        <v>53976</v>
      </c>
      <c r="O20" s="536">
        <f>VLOOKUP($A20,$A$42:$O$157,15,0)</f>
        <v>45267.708587962959</v>
      </c>
      <c r="P20" s="558">
        <v>19</v>
      </c>
      <c r="Q20" s="561">
        <v>0</v>
      </c>
      <c r="R20" s="494">
        <v>0</v>
      </c>
      <c r="S20" s="508">
        <v>0</v>
      </c>
      <c r="T20" s="377">
        <v>0</v>
      </c>
      <c r="U20" s="401">
        <v>0</v>
      </c>
      <c r="V20" s="624">
        <v>0</v>
      </c>
      <c r="W20" s="632">
        <v>0</v>
      </c>
      <c r="X20" s="481">
        <v>0</v>
      </c>
      <c r="Y20" s="646"/>
      <c r="Z20" s="638">
        <v>100</v>
      </c>
      <c r="AA20" s="657" t="str">
        <f>A21</f>
        <v>MRCAO - 48hs</v>
      </c>
      <c r="AB20" s="581">
        <f>IFERROR((IF($Y20&lt;&gt;0,$Y20,VLOOKUP($A20,$A$42:$N$157,6,0))*$Z20/100)/(VLOOKUP($AA20,$A$42:$N$157,6,0)/100),"")</f>
        <v>50.610884353741497</v>
      </c>
    </row>
    <row r="21" spans="1:29" ht="12.75" customHeight="1">
      <c r="A21" s="477" t="s">
        <v>616</v>
      </c>
      <c r="B21" s="458">
        <f>VLOOKUP($A21,$A$42:$N$157,2,0)</f>
        <v>317</v>
      </c>
      <c r="C21" s="450">
        <f>VLOOKUP($A21,$A$42:$N$157,3,0)</f>
        <v>73500</v>
      </c>
      <c r="D21" s="450">
        <f>VLOOKUP($A21,$A$42:$N$157,4,0)</f>
        <v>73900</v>
      </c>
      <c r="E21" s="458">
        <f>VLOOKUP($A21,$A$42:$N$157,5,0)</f>
        <v>3464</v>
      </c>
      <c r="F21" s="613">
        <f>VLOOKUP($A21,$A$42:$N$157,6,0)</f>
        <v>73500</v>
      </c>
      <c r="G21" s="451">
        <f>VLOOKUP($A21,$A$42:$N$157,7,0)</f>
        <v>4.41E-2</v>
      </c>
      <c r="H21" s="452">
        <f>VLOOKUP($A21,$A$42:$N$157,8,0)</f>
        <v>70401</v>
      </c>
      <c r="I21" s="453">
        <f>VLOOKUP($A21,$A$42:$N$157,9,0)</f>
        <v>74750</v>
      </c>
      <c r="J21" s="550">
        <f>VLOOKUP($A21,$A$42:$N$157,10,0)</f>
        <v>68900</v>
      </c>
      <c r="K21" s="455">
        <f>VLOOKUP($A21,$A$42:$N$157,11,0)</f>
        <v>70389</v>
      </c>
      <c r="L21" s="454">
        <f>VLOOKUP($A21,$A$42:$N$157,12,0)</f>
        <v>579829558</v>
      </c>
      <c r="M21" s="455">
        <f>VLOOKUP($A21,$A$42:$N$157,13,0)</f>
        <v>804766</v>
      </c>
      <c r="N21" s="454">
        <f>VLOOKUP($A21,$A$42:$N$157,14,0)</f>
        <v>2539</v>
      </c>
      <c r="O21" s="537">
        <f>VLOOKUP($A21,$A$42:$O$157,15,0)</f>
        <v>45267.708518518521</v>
      </c>
      <c r="P21" s="557">
        <v>20</v>
      </c>
      <c r="Q21" s="562">
        <v>0</v>
      </c>
      <c r="R21" s="496">
        <v>0</v>
      </c>
      <c r="S21" s="509">
        <v>0</v>
      </c>
      <c r="T21" s="456">
        <v>0</v>
      </c>
      <c r="U21" s="400">
        <v>0</v>
      </c>
      <c r="V21" s="625">
        <v>0</v>
      </c>
      <c r="W21" s="640">
        <v>0</v>
      </c>
      <c r="X21" s="482">
        <v>0</v>
      </c>
      <c r="Y21" s="647"/>
      <c r="Z21" s="639">
        <v>50</v>
      </c>
      <c r="AA21" s="659" t="str">
        <f>A20</f>
        <v>AL30 - 48hs</v>
      </c>
      <c r="AB21" s="583">
        <f>IFERROR((IF($Y21&lt;&gt;0,$Y21,VLOOKUP($A21,$A$42:$N$157,6,0))*$Z21/100)/(VLOOKUP($AA21,$A$42:$N$157,6,0)/100),"")</f>
        <v>98.792978305868431</v>
      </c>
    </row>
    <row r="22" spans="1:29" ht="12.75" customHeight="1">
      <c r="A22" s="642" t="s">
        <v>615</v>
      </c>
      <c r="B22" s="349">
        <f>VLOOKUP($A22,$A$42:$N$157,2,0)</f>
        <v>15</v>
      </c>
      <c r="C22" s="330">
        <f>VLOOKUP($A22,$A$42:$N$157,3,0)</f>
        <v>73500</v>
      </c>
      <c r="D22" s="350">
        <f>VLOOKUP($A22,$A$42:$N$157,4,0)</f>
        <v>73800</v>
      </c>
      <c r="E22" s="349">
        <f>VLOOKUP($A22,$A$42:$N$157,5,0)</f>
        <v>19612</v>
      </c>
      <c r="F22" s="469">
        <f>VLOOKUP($A22,$A$42:$N$157,6,0)</f>
        <v>73800</v>
      </c>
      <c r="G22" s="347">
        <f>VLOOKUP($A22,$A$42:$N$157,7,0)</f>
        <v>5.4299999999999994E-2</v>
      </c>
      <c r="H22" s="346">
        <f>VLOOKUP($A22,$A$42:$N$157,8,0)</f>
        <v>70389</v>
      </c>
      <c r="I22" s="338">
        <f>VLOOKUP($A22,$A$42:$N$157,9,0)</f>
        <v>75499.5</v>
      </c>
      <c r="J22" s="551">
        <f>VLOOKUP($A22,$A$42:$N$157,10,0)</f>
        <v>67500</v>
      </c>
      <c r="K22" s="342">
        <f>VLOOKUP($A22,$A$42:$N$157,11,0)</f>
        <v>69999</v>
      </c>
      <c r="L22" s="406">
        <f>VLOOKUP($A22,$A$42:$N$157,12,0)</f>
        <v>63587504</v>
      </c>
      <c r="M22" s="342">
        <f>VLOOKUP($A22,$A$42:$N$157,13,0)</f>
        <v>90221</v>
      </c>
      <c r="N22" s="406">
        <f>VLOOKUP($A22,$A$42:$N$157,14,0)</f>
        <v>562</v>
      </c>
      <c r="O22" s="538">
        <f>VLOOKUP($A22,$A$42:$O$157,15,0)</f>
        <v>45267.687719907408</v>
      </c>
      <c r="P22" s="558">
        <v>21</v>
      </c>
      <c r="Q22" s="563">
        <v>0</v>
      </c>
      <c r="R22" s="497">
        <v>0</v>
      </c>
      <c r="S22" s="510">
        <v>0</v>
      </c>
      <c r="T22" s="411">
        <v>0</v>
      </c>
      <c r="U22" s="401">
        <v>0</v>
      </c>
      <c r="V22" s="624">
        <v>0</v>
      </c>
      <c r="W22" s="448">
        <v>0</v>
      </c>
      <c r="X22" s="481">
        <v>0</v>
      </c>
      <c r="Y22" s="646"/>
      <c r="Z22" s="638">
        <v>100</v>
      </c>
      <c r="AA22" s="657" t="str">
        <f>A23</f>
        <v>BA37D - spot</v>
      </c>
      <c r="AB22" s="581">
        <f>IFERROR((IF($Y22&lt;&gt;0,$Y22,VLOOKUP($A22,$A$42:$N$157,6,0))*$Z22/100)/(VLOOKUP($AA22,$A$42:$N$157,6,0)/100),"")</f>
        <v>184.96704178049575</v>
      </c>
    </row>
    <row r="23" spans="1:29" ht="12.75" customHeight="1">
      <c r="A23" s="643" t="s">
        <v>543</v>
      </c>
      <c r="B23" s="378">
        <f>VLOOKUP($A23,$A$42:$N$157,2,0)</f>
        <v>684</v>
      </c>
      <c r="C23" s="379">
        <f>VLOOKUP($A23,$A$42:$N$157,3,0)</f>
        <v>39899</v>
      </c>
      <c r="D23" s="379">
        <f>VLOOKUP($A23,$A$42:$N$157,4,0)</f>
        <v>40000</v>
      </c>
      <c r="E23" s="378">
        <f>VLOOKUP($A23,$A$42:$N$157,5,0)</f>
        <v>43377</v>
      </c>
      <c r="F23" s="470">
        <f>VLOOKUP($A23,$A$42:$N$157,6,0)</f>
        <v>39899</v>
      </c>
      <c r="G23" s="380">
        <f>VLOOKUP($A23,$A$42:$N$157,7,0)</f>
        <v>5.0999999999999997E-2</v>
      </c>
      <c r="H23" s="381">
        <f>VLOOKUP($A23,$A$42:$N$157,8,0)</f>
        <v>38874.5</v>
      </c>
      <c r="I23" s="382">
        <f>VLOOKUP($A23,$A$42:$N$157,9,0)</f>
        <v>40980</v>
      </c>
      <c r="J23" s="552">
        <f>VLOOKUP($A23,$A$42:$N$157,10,0)</f>
        <v>37427</v>
      </c>
      <c r="K23" s="383">
        <f>VLOOKUP($A23,$A$42:$N$157,11,0)</f>
        <v>37960</v>
      </c>
      <c r="L23" s="439">
        <f>VLOOKUP($A23,$A$42:$N$157,12,0)</f>
        <v>35015806</v>
      </c>
      <c r="M23" s="383">
        <f>VLOOKUP($A23,$A$42:$N$157,13,0)</f>
        <v>90415</v>
      </c>
      <c r="N23" s="439">
        <f>VLOOKUP($A23,$A$42:$N$157,14,0)</f>
        <v>212</v>
      </c>
      <c r="O23" s="539">
        <f>VLOOKUP($A23,$A$42:$O$157,15,0)</f>
        <v>45267.687662037039</v>
      </c>
      <c r="P23" s="557">
        <v>22</v>
      </c>
      <c r="Q23" s="564">
        <v>0</v>
      </c>
      <c r="R23" s="498">
        <v>0</v>
      </c>
      <c r="S23" s="511">
        <v>0</v>
      </c>
      <c r="T23" s="384">
        <v>0</v>
      </c>
      <c r="U23" s="400">
        <v>0</v>
      </c>
      <c r="V23" s="625">
        <v>0</v>
      </c>
      <c r="W23" s="449">
        <v>0</v>
      </c>
      <c r="X23" s="480">
        <v>0</v>
      </c>
      <c r="Y23" s="645"/>
      <c r="Z23" s="637">
        <v>185</v>
      </c>
      <c r="AA23" s="658" t="str">
        <f>A22</f>
        <v>MRCAO - spot</v>
      </c>
      <c r="AB23" s="582">
        <f>IFERROR((IF($Y23&lt;&gt;0,$Y23,VLOOKUP($A23,$A$42:$N$157,6,0))*$Z23/100)/(VLOOKUP($AA23,$A$42:$N$157,6,0)/100),"")</f>
        <v>100.01781842818427</v>
      </c>
    </row>
    <row r="24" spans="1:29" ht="12.75" customHeight="1">
      <c r="A24" s="642" t="s">
        <v>616</v>
      </c>
      <c r="B24" s="328">
        <f>VLOOKUP($A24,$A$42:$N$157,2,0)</f>
        <v>317</v>
      </c>
      <c r="C24" s="330">
        <f>VLOOKUP($A24,$A$42:$N$157,3,0)</f>
        <v>73500</v>
      </c>
      <c r="D24" s="330">
        <f>VLOOKUP($A24,$A$42:$N$157,4,0)</f>
        <v>73900</v>
      </c>
      <c r="E24" s="328">
        <f>VLOOKUP($A24,$A$42:$N$157,5,0)</f>
        <v>3464</v>
      </c>
      <c r="F24" s="332">
        <f>VLOOKUP($A24,$A$42:$N$157,6,0)</f>
        <v>73500</v>
      </c>
      <c r="G24" s="333">
        <f>VLOOKUP($A24,$A$42:$N$157,7,0)</f>
        <v>4.41E-2</v>
      </c>
      <c r="H24" s="344">
        <f>VLOOKUP($A24,$A$42:$N$157,8,0)</f>
        <v>70401</v>
      </c>
      <c r="I24" s="335">
        <f>VLOOKUP($A24,$A$42:$N$157,9,0)</f>
        <v>74750</v>
      </c>
      <c r="J24" s="335">
        <f>VLOOKUP($A24,$A$42:$N$157,10,0)</f>
        <v>68900</v>
      </c>
      <c r="K24" s="339">
        <f>VLOOKUP($A24,$A$42:$N$157,11,0)</f>
        <v>70389</v>
      </c>
      <c r="L24" s="436">
        <f>VLOOKUP($A24,$A$42:$N$157,12,0)</f>
        <v>579829558</v>
      </c>
      <c r="M24" s="339">
        <f>VLOOKUP($A24,$A$42:$N$157,13,0)</f>
        <v>804766</v>
      </c>
      <c r="N24" s="436">
        <f>VLOOKUP($A24,$A$42:$N$157,14,0)</f>
        <v>2539</v>
      </c>
      <c r="O24" s="536">
        <f>VLOOKUP($A24,$A$42:$O$157,15,0)</f>
        <v>45267.708518518521</v>
      </c>
      <c r="P24" s="558">
        <v>23</v>
      </c>
      <c r="Q24" s="565">
        <v>0</v>
      </c>
      <c r="R24" s="494">
        <v>0</v>
      </c>
      <c r="S24" s="508">
        <v>0</v>
      </c>
      <c r="T24" s="377">
        <v>0</v>
      </c>
      <c r="U24" s="401">
        <v>0</v>
      </c>
      <c r="V24" s="624">
        <v>0</v>
      </c>
      <c r="W24" s="448">
        <v>0</v>
      </c>
      <c r="X24" s="481">
        <v>0</v>
      </c>
      <c r="Y24" s="646"/>
      <c r="Z24" s="638">
        <v>100</v>
      </c>
      <c r="AA24" s="657" t="str">
        <f>A25</f>
        <v>BA37D - 48hs</v>
      </c>
      <c r="AB24" s="581">
        <f>IFERROR((IF($Y24&lt;&gt;0,$Y24,VLOOKUP($A24,$A$42:$N$157,6,0))*$Z24/100)/(VLOOKUP($AA24,$A$42:$N$157,6,0)/100),"")</f>
        <v>183.86491557223263</v>
      </c>
    </row>
    <row r="25" spans="1:29" ht="12.75" customHeight="1">
      <c r="A25" s="477" t="s">
        <v>544</v>
      </c>
      <c r="B25" s="458">
        <f>VLOOKUP($A25,$A$42:$N$157,2,0)</f>
        <v>101</v>
      </c>
      <c r="C25" s="450">
        <f>VLOOKUP($A25,$A$42:$N$157,3,0)</f>
        <v>39751</v>
      </c>
      <c r="D25" s="450">
        <f>VLOOKUP($A25,$A$42:$N$157,4,0)</f>
        <v>39975</v>
      </c>
      <c r="E25" s="458">
        <f>VLOOKUP($A25,$A$42:$N$157,5,0)</f>
        <v>385983</v>
      </c>
      <c r="F25" s="626">
        <f>VLOOKUP($A25,$A$42:$N$157,6,0)</f>
        <v>39975</v>
      </c>
      <c r="G25" s="451">
        <f>VLOOKUP($A25,$A$42:$N$157,7,0)</f>
        <v>5.4699999999999999E-2</v>
      </c>
      <c r="H25" s="452">
        <f>VLOOKUP($A25,$A$42:$N$157,8,0)</f>
        <v>37900</v>
      </c>
      <c r="I25" s="453">
        <f>VLOOKUP($A25,$A$42:$N$157,9,0)</f>
        <v>42010</v>
      </c>
      <c r="J25" s="550">
        <f>VLOOKUP($A25,$A$42:$N$157,10,0)</f>
        <v>37601</v>
      </c>
      <c r="K25" s="455">
        <f>VLOOKUP($A25,$A$42:$N$157,11,0)</f>
        <v>37900</v>
      </c>
      <c r="L25" s="454">
        <f>VLOOKUP($A25,$A$42:$N$157,12,0)</f>
        <v>427421085</v>
      </c>
      <c r="M25" s="455">
        <f>VLOOKUP($A25,$A$42:$N$157,13,0)</f>
        <v>1098396</v>
      </c>
      <c r="N25" s="454">
        <f>VLOOKUP($A25,$A$42:$N$157,14,0)</f>
        <v>736</v>
      </c>
      <c r="O25" s="537">
        <f>VLOOKUP($A25,$A$42:$O$157,15,0)</f>
        <v>45267.708344907405</v>
      </c>
      <c r="P25" s="557">
        <v>24</v>
      </c>
      <c r="Q25" s="562">
        <v>0</v>
      </c>
      <c r="R25" s="496">
        <v>0</v>
      </c>
      <c r="S25" s="509">
        <v>0</v>
      </c>
      <c r="T25" s="456">
        <v>0</v>
      </c>
      <c r="U25" s="400">
        <v>0</v>
      </c>
      <c r="V25" s="625">
        <v>0</v>
      </c>
      <c r="W25" s="457">
        <v>0</v>
      </c>
      <c r="X25" s="641">
        <v>0</v>
      </c>
      <c r="Y25" s="647"/>
      <c r="Z25" s="639">
        <v>174</v>
      </c>
      <c r="AA25" s="659" t="str">
        <f>A24</f>
        <v>MRCAO - 48hs</v>
      </c>
      <c r="AB25" s="583">
        <f>IFERROR((IF($Y25&lt;&gt;0,$Y25,VLOOKUP($A25,$A$42:$N$157,6,0))*$Z25/100)/(VLOOKUP($AA25,$A$42:$N$157,6,0)/100),"")</f>
        <v>94.634693877551015</v>
      </c>
    </row>
    <row r="26" spans="1:29" ht="12.75" hidden="1" customHeight="1">
      <c r="A26" s="428" t="s">
        <v>570</v>
      </c>
      <c r="B26" s="349"/>
      <c r="C26" s="404"/>
      <c r="D26" s="404"/>
      <c r="E26" s="349"/>
      <c r="F26" s="405"/>
      <c r="G26" s="347"/>
      <c r="H26" s="346"/>
      <c r="I26" s="338"/>
      <c r="J26" s="551"/>
      <c r="K26" s="556"/>
      <c r="L26" s="406"/>
      <c r="M26" s="406"/>
      <c r="N26" s="406"/>
      <c r="O26" s="540"/>
      <c r="P26" s="558">
        <v>25</v>
      </c>
      <c r="Q26" s="443">
        <v>0</v>
      </c>
      <c r="R26" s="500">
        <v>0</v>
      </c>
      <c r="S26" s="510">
        <v>0</v>
      </c>
      <c r="T26" s="387">
        <v>0</v>
      </c>
      <c r="U26" s="471">
        <v>0</v>
      </c>
      <c r="V26" s="474">
        <v>0</v>
      </c>
      <c r="W26" s="326">
        <v>0</v>
      </c>
      <c r="X26" s="326">
        <v>0</v>
      </c>
      <c r="Y26" s="485">
        <v>0</v>
      </c>
      <c r="Z26" s="326">
        <v>0</v>
      </c>
      <c r="AA26" s="402"/>
    </row>
    <row r="27" spans="1:29" ht="12.75" hidden="1" customHeight="1">
      <c r="A27" s="429" t="s">
        <v>579</v>
      </c>
      <c r="B27" s="329"/>
      <c r="C27" s="351"/>
      <c r="D27" s="351"/>
      <c r="E27" s="329"/>
      <c r="F27" s="348"/>
      <c r="G27" s="334"/>
      <c r="H27" s="345"/>
      <c r="I27" s="336"/>
      <c r="J27" s="548"/>
      <c r="K27" s="340"/>
      <c r="L27" s="343"/>
      <c r="M27" s="343"/>
      <c r="N27" s="343"/>
      <c r="O27" s="541"/>
      <c r="P27" s="557">
        <v>26</v>
      </c>
      <c r="Q27" s="440">
        <v>0</v>
      </c>
      <c r="R27" s="501">
        <v>0</v>
      </c>
      <c r="S27" s="507">
        <v>0</v>
      </c>
      <c r="T27" s="386">
        <v>0</v>
      </c>
      <c r="U27" s="472">
        <v>0</v>
      </c>
      <c r="V27" s="473">
        <v>0</v>
      </c>
      <c r="W27" s="281">
        <v>0</v>
      </c>
      <c r="X27" s="281">
        <v>0</v>
      </c>
      <c r="Y27" s="486">
        <v>0</v>
      </c>
      <c r="Z27" s="281">
        <v>0</v>
      </c>
      <c r="AA27" s="402"/>
    </row>
    <row r="28" spans="1:29" ht="12.75" hidden="1" customHeight="1">
      <c r="A28" s="430" t="s">
        <v>580</v>
      </c>
      <c r="B28" s="388"/>
      <c r="C28" s="389"/>
      <c r="D28" s="389"/>
      <c r="E28" s="388"/>
      <c r="F28" s="390"/>
      <c r="G28" s="364"/>
      <c r="H28" s="365"/>
      <c r="I28" s="337"/>
      <c r="J28" s="554"/>
      <c r="K28" s="341"/>
      <c r="L28" s="391"/>
      <c r="M28" s="391"/>
      <c r="N28" s="391"/>
      <c r="O28" s="543"/>
      <c r="P28" s="558">
        <v>27</v>
      </c>
      <c r="Q28" s="441">
        <v>0</v>
      </c>
      <c r="R28" s="503">
        <v>0</v>
      </c>
      <c r="S28" s="512">
        <v>0</v>
      </c>
      <c r="T28" s="385">
        <v>0</v>
      </c>
      <c r="U28" s="471">
        <v>0</v>
      </c>
      <c r="V28" s="474">
        <v>0</v>
      </c>
      <c r="W28" s="392">
        <v>0</v>
      </c>
      <c r="X28" s="392">
        <v>0</v>
      </c>
      <c r="Y28" s="487">
        <v>0</v>
      </c>
      <c r="Z28" s="392">
        <v>0</v>
      </c>
      <c r="AA28" s="402"/>
    </row>
    <row r="29" spans="1:29" ht="12.75" hidden="1" customHeight="1">
      <c r="A29" s="429" t="s">
        <v>571</v>
      </c>
      <c r="B29" s="329"/>
      <c r="C29" s="351"/>
      <c r="D29" s="351"/>
      <c r="E29" s="329"/>
      <c r="F29" s="348"/>
      <c r="G29" s="334"/>
      <c r="H29" s="345"/>
      <c r="I29" s="336"/>
      <c r="J29" s="548"/>
      <c r="K29" s="340"/>
      <c r="L29" s="343"/>
      <c r="M29" s="343"/>
      <c r="N29" s="343"/>
      <c r="O29" s="541"/>
      <c r="P29" s="557">
        <v>28</v>
      </c>
      <c r="Q29" s="440">
        <v>0</v>
      </c>
      <c r="R29" s="501">
        <v>0</v>
      </c>
      <c r="S29" s="507">
        <v>0</v>
      </c>
      <c r="T29" s="386">
        <v>0</v>
      </c>
      <c r="U29" s="472">
        <v>0</v>
      </c>
      <c r="V29" s="473">
        <v>0</v>
      </c>
      <c r="W29" s="281">
        <v>0</v>
      </c>
      <c r="X29" s="281">
        <v>0</v>
      </c>
      <c r="Y29" s="486">
        <v>0</v>
      </c>
      <c r="Z29" s="281">
        <v>0</v>
      </c>
      <c r="AA29" s="402"/>
    </row>
    <row r="30" spans="1:29" ht="12.75" hidden="1" customHeight="1">
      <c r="A30" s="430" t="s">
        <v>572</v>
      </c>
      <c r="B30" s="388"/>
      <c r="C30" s="389"/>
      <c r="D30" s="389"/>
      <c r="E30" s="388"/>
      <c r="F30" s="390"/>
      <c r="G30" s="364"/>
      <c r="H30" s="365"/>
      <c r="I30" s="337"/>
      <c r="J30" s="554"/>
      <c r="K30" s="341"/>
      <c r="L30" s="391"/>
      <c r="M30" s="391"/>
      <c r="N30" s="391"/>
      <c r="O30" s="543"/>
      <c r="P30" s="558">
        <v>29</v>
      </c>
      <c r="Q30" s="441">
        <v>0</v>
      </c>
      <c r="R30" s="503">
        <v>0</v>
      </c>
      <c r="S30" s="512">
        <v>0</v>
      </c>
      <c r="T30" s="385">
        <v>0</v>
      </c>
      <c r="U30" s="471">
        <v>0</v>
      </c>
      <c r="V30" s="474">
        <v>0</v>
      </c>
      <c r="W30" s="392">
        <v>0</v>
      </c>
      <c r="X30" s="392">
        <v>0</v>
      </c>
      <c r="Y30" s="487">
        <v>0</v>
      </c>
      <c r="Z30" s="392">
        <v>0</v>
      </c>
      <c r="AA30" s="402"/>
    </row>
    <row r="31" spans="1:29" ht="12.75" hidden="1" customHeight="1">
      <c r="A31" s="429" t="s">
        <v>573</v>
      </c>
      <c r="B31" s="329"/>
      <c r="C31" s="351"/>
      <c r="D31" s="351"/>
      <c r="E31" s="329"/>
      <c r="F31" s="348"/>
      <c r="G31" s="334"/>
      <c r="H31" s="345"/>
      <c r="I31" s="336"/>
      <c r="J31" s="548"/>
      <c r="K31" s="340"/>
      <c r="L31" s="343"/>
      <c r="M31" s="343"/>
      <c r="N31" s="343"/>
      <c r="O31" s="541"/>
      <c r="P31" s="557">
        <v>30</v>
      </c>
      <c r="Q31" s="440">
        <v>0</v>
      </c>
      <c r="R31" s="501">
        <v>0</v>
      </c>
      <c r="S31" s="507">
        <v>0</v>
      </c>
      <c r="T31" s="386">
        <v>0</v>
      </c>
      <c r="U31" s="472">
        <v>0</v>
      </c>
      <c r="V31" s="473">
        <v>0</v>
      </c>
      <c r="W31" s="281">
        <v>0</v>
      </c>
      <c r="X31" s="281">
        <v>0</v>
      </c>
      <c r="Y31" s="486">
        <v>0</v>
      </c>
      <c r="Z31" s="281">
        <v>0</v>
      </c>
      <c r="AA31" s="402"/>
    </row>
    <row r="32" spans="1:29" ht="12.75" hidden="1" customHeight="1">
      <c r="A32" s="430" t="s">
        <v>581</v>
      </c>
      <c r="B32" s="388"/>
      <c r="C32" s="389"/>
      <c r="D32" s="389"/>
      <c r="E32" s="388"/>
      <c r="F32" s="390"/>
      <c r="G32" s="364"/>
      <c r="H32" s="365"/>
      <c r="I32" s="337"/>
      <c r="J32" s="554"/>
      <c r="K32" s="341"/>
      <c r="L32" s="391"/>
      <c r="M32" s="391"/>
      <c r="N32" s="391"/>
      <c r="O32" s="543"/>
      <c r="P32" s="558">
        <v>31</v>
      </c>
      <c r="Q32" s="441">
        <v>0</v>
      </c>
      <c r="R32" s="503">
        <v>0</v>
      </c>
      <c r="S32" s="512">
        <v>0</v>
      </c>
      <c r="T32" s="385">
        <v>0</v>
      </c>
      <c r="U32" s="471">
        <v>0</v>
      </c>
      <c r="V32" s="474">
        <v>0</v>
      </c>
      <c r="W32" s="392">
        <v>0</v>
      </c>
      <c r="X32" s="392">
        <v>0</v>
      </c>
      <c r="Y32" s="487">
        <v>0</v>
      </c>
      <c r="Z32" s="392">
        <v>0</v>
      </c>
      <c r="AA32" s="402"/>
    </row>
    <row r="33" spans="1:29" ht="12.75" hidden="1" customHeight="1">
      <c r="A33" s="429" t="s">
        <v>574</v>
      </c>
      <c r="B33" s="329"/>
      <c r="C33" s="351"/>
      <c r="D33" s="351"/>
      <c r="E33" s="329"/>
      <c r="F33" s="348"/>
      <c r="G33" s="334"/>
      <c r="H33" s="345"/>
      <c r="I33" s="336"/>
      <c r="J33" s="548"/>
      <c r="K33" s="340"/>
      <c r="L33" s="343"/>
      <c r="M33" s="343"/>
      <c r="N33" s="343"/>
      <c r="O33" s="541"/>
      <c r="P33" s="557">
        <v>32</v>
      </c>
      <c r="Q33" s="440">
        <v>0</v>
      </c>
      <c r="R33" s="501">
        <v>0</v>
      </c>
      <c r="S33" s="507">
        <v>0</v>
      </c>
      <c r="T33" s="386">
        <v>0</v>
      </c>
      <c r="U33" s="472">
        <v>0</v>
      </c>
      <c r="V33" s="473">
        <v>0</v>
      </c>
      <c r="W33" s="281">
        <v>0</v>
      </c>
      <c r="X33" s="281">
        <v>0</v>
      </c>
      <c r="Y33" s="486">
        <v>0</v>
      </c>
      <c r="Z33" s="281">
        <v>0</v>
      </c>
      <c r="AA33" s="402"/>
    </row>
    <row r="34" spans="1:29" ht="12.75" hidden="1" customHeight="1">
      <c r="A34" s="430" t="s">
        <v>582</v>
      </c>
      <c r="B34" s="388"/>
      <c r="C34" s="389"/>
      <c r="D34" s="389"/>
      <c r="E34" s="388"/>
      <c r="F34" s="390"/>
      <c r="G34" s="364"/>
      <c r="H34" s="365"/>
      <c r="I34" s="337"/>
      <c r="J34" s="554"/>
      <c r="K34" s="341"/>
      <c r="L34" s="391"/>
      <c r="M34" s="391"/>
      <c r="N34" s="391"/>
      <c r="O34" s="543"/>
      <c r="P34" s="558">
        <v>33</v>
      </c>
      <c r="Q34" s="441">
        <v>0</v>
      </c>
      <c r="R34" s="503">
        <v>0</v>
      </c>
      <c r="S34" s="512">
        <v>0</v>
      </c>
      <c r="T34" s="385">
        <v>0</v>
      </c>
      <c r="U34" s="471">
        <v>0</v>
      </c>
      <c r="V34" s="474">
        <v>0</v>
      </c>
      <c r="W34" s="392">
        <v>0</v>
      </c>
      <c r="X34" s="392">
        <v>0</v>
      </c>
      <c r="Y34" s="487">
        <v>0</v>
      </c>
      <c r="Z34" s="392">
        <v>0</v>
      </c>
      <c r="AA34" s="402"/>
    </row>
    <row r="35" spans="1:29" ht="12.75" hidden="1" customHeight="1">
      <c r="A35" s="429" t="s">
        <v>583</v>
      </c>
      <c r="B35" s="329"/>
      <c r="C35" s="351"/>
      <c r="D35" s="351"/>
      <c r="E35" s="329"/>
      <c r="F35" s="348"/>
      <c r="G35" s="334"/>
      <c r="H35" s="345"/>
      <c r="I35" s="336"/>
      <c r="J35" s="548"/>
      <c r="K35" s="340"/>
      <c r="L35" s="343"/>
      <c r="M35" s="343"/>
      <c r="N35" s="343"/>
      <c r="O35" s="541"/>
      <c r="P35" s="557">
        <v>34</v>
      </c>
      <c r="Q35" s="440">
        <v>0</v>
      </c>
      <c r="R35" s="501">
        <v>0</v>
      </c>
      <c r="S35" s="507">
        <v>0</v>
      </c>
      <c r="T35" s="386">
        <v>0</v>
      </c>
      <c r="U35" s="472">
        <v>0</v>
      </c>
      <c r="V35" s="473">
        <v>0</v>
      </c>
      <c r="W35" s="281">
        <v>0</v>
      </c>
      <c r="X35" s="281">
        <v>0</v>
      </c>
      <c r="Y35" s="486">
        <v>0</v>
      </c>
      <c r="Z35" s="281">
        <v>0</v>
      </c>
      <c r="AA35" s="402"/>
    </row>
    <row r="36" spans="1:29" ht="12.75" hidden="1" customHeight="1">
      <c r="A36" s="430" t="s">
        <v>575</v>
      </c>
      <c r="B36" s="388"/>
      <c r="C36" s="389"/>
      <c r="D36" s="389"/>
      <c r="E36" s="388"/>
      <c r="F36" s="390"/>
      <c r="G36" s="364"/>
      <c r="H36" s="365"/>
      <c r="I36" s="337"/>
      <c r="J36" s="554"/>
      <c r="K36" s="341"/>
      <c r="L36" s="391"/>
      <c r="M36" s="391"/>
      <c r="N36" s="391"/>
      <c r="O36" s="543"/>
      <c r="P36" s="558">
        <v>35</v>
      </c>
      <c r="Q36" s="441">
        <v>0</v>
      </c>
      <c r="R36" s="503">
        <v>0</v>
      </c>
      <c r="S36" s="512">
        <v>0</v>
      </c>
      <c r="T36" s="385">
        <v>0</v>
      </c>
      <c r="U36" s="471">
        <v>0</v>
      </c>
      <c r="V36" s="474">
        <v>0</v>
      </c>
      <c r="W36" s="392">
        <v>0</v>
      </c>
      <c r="X36" s="392">
        <v>0</v>
      </c>
      <c r="Y36" s="487">
        <v>0</v>
      </c>
      <c r="Z36" s="392">
        <v>0</v>
      </c>
      <c r="AA36" s="402"/>
    </row>
    <row r="37" spans="1:29" ht="12.75" hidden="1" customHeight="1">
      <c r="A37" s="429" t="s">
        <v>576</v>
      </c>
      <c r="B37" s="329"/>
      <c r="C37" s="351"/>
      <c r="D37" s="351"/>
      <c r="E37" s="329"/>
      <c r="F37" s="348"/>
      <c r="G37" s="334"/>
      <c r="H37" s="345"/>
      <c r="I37" s="336"/>
      <c r="J37" s="548"/>
      <c r="K37" s="340"/>
      <c r="L37" s="343"/>
      <c r="M37" s="343"/>
      <c r="N37" s="343"/>
      <c r="O37" s="541"/>
      <c r="P37" s="557">
        <v>36</v>
      </c>
      <c r="Q37" s="440">
        <v>0</v>
      </c>
      <c r="R37" s="501">
        <v>0</v>
      </c>
      <c r="S37" s="507">
        <v>0</v>
      </c>
      <c r="T37" s="386">
        <v>0</v>
      </c>
      <c r="U37" s="472">
        <v>0</v>
      </c>
      <c r="V37" s="473">
        <v>0</v>
      </c>
      <c r="W37" s="281">
        <v>0</v>
      </c>
      <c r="X37" s="281">
        <v>0</v>
      </c>
      <c r="Y37" s="486">
        <v>0</v>
      </c>
      <c r="Z37" s="281">
        <v>0</v>
      </c>
      <c r="AA37" s="402"/>
    </row>
    <row r="38" spans="1:29" ht="12.75" hidden="1" customHeight="1">
      <c r="A38" s="430" t="s">
        <v>584</v>
      </c>
      <c r="B38" s="388"/>
      <c r="C38" s="389"/>
      <c r="D38" s="389"/>
      <c r="E38" s="388"/>
      <c r="F38" s="390"/>
      <c r="G38" s="364"/>
      <c r="H38" s="365"/>
      <c r="I38" s="337"/>
      <c r="J38" s="554"/>
      <c r="K38" s="341"/>
      <c r="L38" s="391"/>
      <c r="M38" s="391"/>
      <c r="N38" s="391"/>
      <c r="O38" s="543"/>
      <c r="P38" s="558">
        <v>37</v>
      </c>
      <c r="Q38" s="441">
        <v>0</v>
      </c>
      <c r="R38" s="503">
        <v>0</v>
      </c>
      <c r="S38" s="512">
        <v>0</v>
      </c>
      <c r="T38" s="385">
        <v>0</v>
      </c>
      <c r="U38" s="471">
        <v>0</v>
      </c>
      <c r="V38" s="474">
        <v>0</v>
      </c>
      <c r="W38" s="392">
        <v>0</v>
      </c>
      <c r="X38" s="392">
        <v>0</v>
      </c>
      <c r="Y38" s="487">
        <v>0</v>
      </c>
      <c r="Z38" s="392">
        <v>0</v>
      </c>
      <c r="AA38" s="402"/>
    </row>
    <row r="39" spans="1:29" ht="12.75" hidden="1" customHeight="1">
      <c r="A39" s="429" t="s">
        <v>577</v>
      </c>
      <c r="B39" s="329"/>
      <c r="C39" s="351"/>
      <c r="D39" s="351"/>
      <c r="E39" s="329"/>
      <c r="F39" s="348"/>
      <c r="G39" s="334"/>
      <c r="H39" s="345"/>
      <c r="I39" s="336"/>
      <c r="J39" s="548"/>
      <c r="K39" s="340"/>
      <c r="L39" s="343"/>
      <c r="M39" s="343"/>
      <c r="N39" s="343"/>
      <c r="O39" s="541"/>
      <c r="P39" s="557">
        <v>38</v>
      </c>
      <c r="Q39" s="440">
        <v>0</v>
      </c>
      <c r="R39" s="501">
        <v>0</v>
      </c>
      <c r="S39" s="507">
        <v>0</v>
      </c>
      <c r="T39" s="386">
        <v>0</v>
      </c>
      <c r="U39" s="472">
        <v>0</v>
      </c>
      <c r="V39" s="473">
        <v>0</v>
      </c>
      <c r="W39" s="281">
        <v>0</v>
      </c>
      <c r="X39" s="281">
        <v>0</v>
      </c>
      <c r="Y39" s="486">
        <v>0</v>
      </c>
      <c r="Z39" s="281">
        <v>0</v>
      </c>
      <c r="AA39" s="402"/>
    </row>
    <row r="40" spans="1:29" ht="12.75" hidden="1" customHeight="1">
      <c r="A40" s="430" t="s">
        <v>578</v>
      </c>
      <c r="B40" s="388"/>
      <c r="C40" s="389"/>
      <c r="D40" s="389"/>
      <c r="E40" s="388"/>
      <c r="F40" s="390"/>
      <c r="G40" s="364"/>
      <c r="H40" s="365"/>
      <c r="I40" s="337"/>
      <c r="J40" s="554"/>
      <c r="K40" s="341"/>
      <c r="L40" s="391"/>
      <c r="M40" s="391"/>
      <c r="N40" s="391"/>
      <c r="O40" s="543"/>
      <c r="P40" s="558">
        <v>39</v>
      </c>
      <c r="Q40" s="441">
        <v>0</v>
      </c>
      <c r="R40" s="503">
        <v>0</v>
      </c>
      <c r="S40" s="512">
        <v>0</v>
      </c>
      <c r="T40" s="385">
        <v>0</v>
      </c>
      <c r="U40" s="471">
        <v>0</v>
      </c>
      <c r="V40" s="474">
        <v>0</v>
      </c>
      <c r="W40" s="392">
        <v>0</v>
      </c>
      <c r="X40" s="392">
        <v>0</v>
      </c>
      <c r="Y40" s="487">
        <v>0</v>
      </c>
      <c r="Z40" s="392">
        <v>0</v>
      </c>
      <c r="AA40" s="402"/>
    </row>
    <row r="41" spans="1:29" ht="12.75" hidden="1" customHeight="1">
      <c r="A41" s="461" t="s">
        <v>585</v>
      </c>
      <c r="B41" s="458"/>
      <c r="C41" s="462"/>
      <c r="D41" s="462"/>
      <c r="E41" s="458"/>
      <c r="F41" s="463"/>
      <c r="G41" s="451"/>
      <c r="H41" s="452"/>
      <c r="I41" s="453"/>
      <c r="J41" s="550"/>
      <c r="K41" s="455"/>
      <c r="L41" s="454"/>
      <c r="M41" s="454"/>
      <c r="N41" s="454"/>
      <c r="O41" s="542"/>
      <c r="P41" s="557">
        <v>40</v>
      </c>
      <c r="Q41" s="568">
        <v>0</v>
      </c>
      <c r="R41" s="504">
        <v>0</v>
      </c>
      <c r="S41" s="509">
        <v>0</v>
      </c>
      <c r="T41" s="464">
        <v>0</v>
      </c>
      <c r="U41" s="472">
        <v>0</v>
      </c>
      <c r="V41" s="473">
        <v>0</v>
      </c>
      <c r="W41" s="517">
        <v>0</v>
      </c>
      <c r="X41" s="517">
        <v>0</v>
      </c>
      <c r="Y41" s="518">
        <v>0</v>
      </c>
      <c r="Z41" s="519">
        <v>0</v>
      </c>
      <c r="AA41" s="402"/>
    </row>
    <row r="42" spans="1:29" ht="12.75" hidden="1" customHeight="1">
      <c r="A42" s="478" t="s">
        <v>335</v>
      </c>
      <c r="B42" s="396"/>
      <c r="C42" s="330"/>
      <c r="D42" s="412"/>
      <c r="E42" s="396"/>
      <c r="F42" s="413"/>
      <c r="G42" s="347"/>
      <c r="H42" s="346"/>
      <c r="I42" s="338"/>
      <c r="J42" s="551"/>
      <c r="K42" s="342"/>
      <c r="L42" s="406"/>
      <c r="M42" s="342"/>
      <c r="N42" s="406"/>
      <c r="O42" s="540"/>
      <c r="P42" s="558">
        <v>41</v>
      </c>
      <c r="Q42" s="443">
        <v>0</v>
      </c>
      <c r="R42" s="500">
        <v>0</v>
      </c>
      <c r="S42" s="510">
        <v>0</v>
      </c>
      <c r="T42" s="387">
        <v>0</v>
      </c>
      <c r="U42" s="471">
        <v>0</v>
      </c>
      <c r="V42" s="474">
        <v>0</v>
      </c>
      <c r="W42" s="516">
        <v>0</v>
      </c>
      <c r="X42" s="326">
        <v>0</v>
      </c>
      <c r="Y42" s="488">
        <f>(C43*(1-$V$1))-D42</f>
        <v>0</v>
      </c>
      <c r="Z42" s="588">
        <f>($F42/100*$X$1)-($F43/100*$W$1)+($F43/100*$W$1*($AE$1*$AD$1))</f>
        <v>0</v>
      </c>
      <c r="AA42" s="660" t="str">
        <f>MID($A42,1,5)</f>
        <v xml:space="preserve">GGAL </v>
      </c>
    </row>
    <row r="43" spans="1:29" ht="12.75" hidden="1" customHeight="1">
      <c r="A43" s="571" t="s">
        <v>336</v>
      </c>
      <c r="B43" s="466"/>
      <c r="C43" s="467"/>
      <c r="D43" s="467"/>
      <c r="E43" s="466"/>
      <c r="F43" s="417"/>
      <c r="G43" s="407"/>
      <c r="H43" s="408"/>
      <c r="I43" s="409"/>
      <c r="J43" s="553"/>
      <c r="K43" s="410"/>
      <c r="L43" s="414"/>
      <c r="M43" s="410"/>
      <c r="N43" s="414"/>
      <c r="O43" s="544"/>
      <c r="P43" s="557">
        <v>42</v>
      </c>
      <c r="Q43" s="442">
        <v>0</v>
      </c>
      <c r="R43" s="505">
        <v>0</v>
      </c>
      <c r="S43" s="513">
        <v>0</v>
      </c>
      <c r="T43" s="415">
        <v>0</v>
      </c>
      <c r="U43" s="472">
        <v>0</v>
      </c>
      <c r="V43" s="473">
        <v>0</v>
      </c>
      <c r="W43" s="468">
        <v>0</v>
      </c>
      <c r="X43" s="425">
        <v>0</v>
      </c>
      <c r="Y43" s="489">
        <f>IFERROR(((C43-D42)/100)/D42*100,0)</f>
        <v>0</v>
      </c>
      <c r="Z43" s="589">
        <f>$F43/100*$W$1*($AE$1*$AD$1)</f>
        <v>0</v>
      </c>
      <c r="AA43" s="664"/>
    </row>
    <row r="44" spans="1:29" ht="12.75" hidden="1" customHeight="1">
      <c r="A44" s="478" t="s">
        <v>621</v>
      </c>
      <c r="B44" s="396"/>
      <c r="C44" s="330"/>
      <c r="D44" s="412"/>
      <c r="E44" s="396"/>
      <c r="F44" s="524"/>
      <c r="G44" s="347"/>
      <c r="H44" s="346"/>
      <c r="I44" s="338"/>
      <c r="J44" s="551"/>
      <c r="K44" s="342"/>
      <c r="L44" s="406"/>
      <c r="M44" s="342"/>
      <c r="N44" s="406"/>
      <c r="O44" s="540"/>
      <c r="P44" s="558">
        <v>43</v>
      </c>
      <c r="Q44" s="443">
        <v>0</v>
      </c>
      <c r="R44" s="500">
        <v>0</v>
      </c>
      <c r="S44" s="510">
        <v>0</v>
      </c>
      <c r="T44" s="387">
        <v>0</v>
      </c>
      <c r="U44" s="471">
        <v>0</v>
      </c>
      <c r="V44" s="474">
        <v>0</v>
      </c>
      <c r="W44" s="525">
        <v>0</v>
      </c>
      <c r="X44" s="526">
        <v>0</v>
      </c>
      <c r="Y44" s="529">
        <f>($F45*(1-$V$1))-$F44</f>
        <v>0</v>
      </c>
      <c r="Z44" s="590">
        <f>($F44/100*$X$1)-($F45/100*$W$1)+($F45/100*$W$1*($AE$1*$AD$1))</f>
        <v>0</v>
      </c>
      <c r="AA44" s="662" t="str">
        <f>MID($A44,1,5)</f>
        <v xml:space="preserve">PAMP </v>
      </c>
    </row>
    <row r="45" spans="1:29" ht="12.75" hidden="1" customHeight="1">
      <c r="A45" s="477" t="s">
        <v>622</v>
      </c>
      <c r="B45" s="572"/>
      <c r="C45" s="573"/>
      <c r="D45" s="573"/>
      <c r="E45" s="572"/>
      <c r="F45" s="574"/>
      <c r="G45" s="451"/>
      <c r="H45" s="452"/>
      <c r="I45" s="453"/>
      <c r="J45" s="550"/>
      <c r="K45" s="455"/>
      <c r="L45" s="454"/>
      <c r="M45" s="455"/>
      <c r="N45" s="454"/>
      <c r="O45" s="575"/>
      <c r="P45" s="557">
        <v>44</v>
      </c>
      <c r="Q45" s="568">
        <v>0</v>
      </c>
      <c r="R45" s="504">
        <v>0</v>
      </c>
      <c r="S45" s="509">
        <v>0</v>
      </c>
      <c r="T45" s="464">
        <v>0</v>
      </c>
      <c r="U45" s="472">
        <v>0</v>
      </c>
      <c r="V45" s="473">
        <v>0</v>
      </c>
      <c r="W45" s="577">
        <v>0</v>
      </c>
      <c r="X45" s="578">
        <v>0</v>
      </c>
      <c r="Y45" s="579">
        <f>IFERROR((($F45-$F44)/100)/$F44*100,0)</f>
        <v>0</v>
      </c>
      <c r="Z45" s="591">
        <f>$F45/100*$W$1*($AE$1*$AD$1)</f>
        <v>0</v>
      </c>
      <c r="AA45" s="663"/>
    </row>
    <row r="46" spans="1:29" ht="12.75" customHeight="1">
      <c r="A46" s="478" t="s">
        <v>13</v>
      </c>
      <c r="B46" s="394">
        <v>270</v>
      </c>
      <c r="C46" s="330">
        <v>37045</v>
      </c>
      <c r="D46" s="416">
        <v>37049</v>
      </c>
      <c r="E46" s="614">
        <v>58</v>
      </c>
      <c r="F46" s="621">
        <v>37045</v>
      </c>
      <c r="G46" s="347">
        <v>7.46E-2</v>
      </c>
      <c r="H46" s="346">
        <v>34999</v>
      </c>
      <c r="I46" s="338">
        <v>37144</v>
      </c>
      <c r="J46" s="551">
        <v>33000.5</v>
      </c>
      <c r="K46" s="342">
        <v>34472</v>
      </c>
      <c r="L46" s="406">
        <v>75104463132</v>
      </c>
      <c r="M46" s="342">
        <v>212419019</v>
      </c>
      <c r="N46" s="406">
        <v>96301</v>
      </c>
      <c r="O46" s="540">
        <v>45267.687523148146</v>
      </c>
      <c r="P46" s="558">
        <v>45</v>
      </c>
      <c r="Q46" s="443">
        <v>0</v>
      </c>
      <c r="R46" s="500">
        <v>0</v>
      </c>
      <c r="S46" s="510">
        <v>0</v>
      </c>
      <c r="T46" s="387">
        <v>0</v>
      </c>
      <c r="U46" s="471">
        <v>0</v>
      </c>
      <c r="V46" s="628">
        <v>0</v>
      </c>
      <c r="W46" s="632" t="str">
        <f>IF(X46&gt;0,(F46*V46/100)-(V46*X46),"")</f>
        <v/>
      </c>
      <c r="X46" s="632">
        <v>0</v>
      </c>
      <c r="Y46" s="576">
        <f>($C47*(1-$V$1))-$D46</f>
        <v>147.5</v>
      </c>
      <c r="Z46" s="592">
        <f>($F46/100*$X$1)-($F47/100*$W$1)+($F47/100*$W$1*($AE$1*$AD$1))</f>
        <v>0.90596164383559596</v>
      </c>
      <c r="AA46" s="665" t="str">
        <f>MID($A46,1,5)</f>
        <v xml:space="preserve">AL30 </v>
      </c>
      <c r="AB46" s="38"/>
      <c r="AC46" s="393"/>
    </row>
    <row r="47" spans="1:29" ht="12.75" customHeight="1">
      <c r="A47" s="476" t="s">
        <v>2</v>
      </c>
      <c r="B47" s="354">
        <v>120</v>
      </c>
      <c r="C47" s="356">
        <v>37196.5</v>
      </c>
      <c r="D47" s="356">
        <v>37200</v>
      </c>
      <c r="E47" s="615">
        <v>60120</v>
      </c>
      <c r="F47" s="622">
        <v>37199</v>
      </c>
      <c r="G47" s="334">
        <v>6.2800000000000009E-2</v>
      </c>
      <c r="H47" s="345">
        <v>35000</v>
      </c>
      <c r="I47" s="336">
        <v>37633.5</v>
      </c>
      <c r="J47" s="548">
        <v>34650</v>
      </c>
      <c r="K47" s="340">
        <v>34999</v>
      </c>
      <c r="L47" s="343">
        <v>104071265602</v>
      </c>
      <c r="M47" s="340">
        <v>288379692</v>
      </c>
      <c r="N47" s="343">
        <v>53976</v>
      </c>
      <c r="O47" s="541">
        <v>45267.708587962959</v>
      </c>
      <c r="P47" s="557">
        <v>46</v>
      </c>
      <c r="Q47" s="440">
        <v>0</v>
      </c>
      <c r="R47" s="501">
        <v>0</v>
      </c>
      <c r="S47" s="507">
        <v>0</v>
      </c>
      <c r="T47" s="386">
        <v>0</v>
      </c>
      <c r="U47" s="472">
        <v>0</v>
      </c>
      <c r="V47" s="629">
        <v>0</v>
      </c>
      <c r="W47" s="633" t="str">
        <f>IF(X47&gt;0,(F47*V47/100)-(V47*X47),"")</f>
        <v/>
      </c>
      <c r="X47" s="633">
        <v>0</v>
      </c>
      <c r="Y47" s="530">
        <f>IFERROR((($C47-$D46)/100)/$D46*100,0)</f>
        <v>3.9812140678560821E-3</v>
      </c>
      <c r="Z47" s="593">
        <f>$F47/100*$W$1*($AE$1*$AD$1)</f>
        <v>2.4459616438356164</v>
      </c>
      <c r="AA47" s="661"/>
      <c r="AB47" s="38"/>
      <c r="AC47" s="399"/>
    </row>
    <row r="48" spans="1:29" ht="12.75" customHeight="1">
      <c r="A48" s="373" t="s">
        <v>15</v>
      </c>
      <c r="B48" s="361">
        <v>16627</v>
      </c>
      <c r="C48" s="362">
        <v>37</v>
      </c>
      <c r="D48" s="362">
        <v>38.200000000000003</v>
      </c>
      <c r="E48" s="361">
        <v>98673</v>
      </c>
      <c r="F48" s="363">
        <v>38.200000000000003</v>
      </c>
      <c r="G48" s="364">
        <v>-1.54E-2</v>
      </c>
      <c r="H48" s="365">
        <v>37.65</v>
      </c>
      <c r="I48" s="337">
        <v>38.700000000000003</v>
      </c>
      <c r="J48" s="554">
        <v>36.5</v>
      </c>
      <c r="K48" s="341">
        <v>38.799999999999997</v>
      </c>
      <c r="L48" s="391">
        <v>556393</v>
      </c>
      <c r="M48" s="341">
        <v>1476085</v>
      </c>
      <c r="N48" s="391">
        <v>506</v>
      </c>
      <c r="O48" s="543">
        <v>45267.685196759259</v>
      </c>
      <c r="P48" s="558">
        <v>47</v>
      </c>
      <c r="Q48" s="441">
        <v>0</v>
      </c>
      <c r="R48" s="503">
        <v>0</v>
      </c>
      <c r="S48" s="512">
        <v>0</v>
      </c>
      <c r="T48" s="385">
        <v>0</v>
      </c>
      <c r="U48" s="471">
        <v>0</v>
      </c>
      <c r="V48" s="631">
        <v>0</v>
      </c>
      <c r="W48" s="632" t="str">
        <f t="shared" ref="W48:W51" si="2">IF(X48&gt;0,(F48*V48/100)-(V48*X48),"")</f>
        <v/>
      </c>
      <c r="X48" s="634">
        <v>0</v>
      </c>
      <c r="Y48" s="514">
        <f>($F49*(1-$V$1))-$F48</f>
        <v>-1.7000000000000028</v>
      </c>
      <c r="Z48" s="594">
        <f>IFERROR(F46/F48,0)</f>
        <v>969.7643979057591</v>
      </c>
      <c r="AA48" s="600">
        <f>IFERROR($AB$1/(F48/100)*(F46/100),"")</f>
        <v>509126.30890052352</v>
      </c>
      <c r="AB48" s="431">
        <f>IFERROR((AA48/(F46/100))*(F48/100),"")</f>
        <v>525</v>
      </c>
      <c r="AC48" s="399"/>
    </row>
    <row r="49" spans="1:29" ht="12.75" customHeight="1">
      <c r="A49" s="352" t="s">
        <v>3</v>
      </c>
      <c r="B49" s="353">
        <v>12929</v>
      </c>
      <c r="C49" s="355">
        <v>36.6</v>
      </c>
      <c r="D49" s="355">
        <v>37.99</v>
      </c>
      <c r="E49" s="353">
        <v>98673</v>
      </c>
      <c r="F49" s="357">
        <v>36.5</v>
      </c>
      <c r="G49" s="334">
        <v>-1.3500000000000002E-2</v>
      </c>
      <c r="H49" s="345">
        <v>36.728999999999999</v>
      </c>
      <c r="I49" s="336">
        <v>38.5</v>
      </c>
      <c r="J49" s="548">
        <v>36.5</v>
      </c>
      <c r="K49" s="340">
        <v>37</v>
      </c>
      <c r="L49" s="343">
        <v>188118</v>
      </c>
      <c r="M49" s="340">
        <v>504371</v>
      </c>
      <c r="N49" s="343">
        <v>86</v>
      </c>
      <c r="O49" s="541">
        <v>45267.704444444447</v>
      </c>
      <c r="P49" s="557">
        <v>48</v>
      </c>
      <c r="Q49" s="440">
        <v>0</v>
      </c>
      <c r="R49" s="501">
        <v>0</v>
      </c>
      <c r="S49" s="507">
        <v>0</v>
      </c>
      <c r="T49" s="386">
        <v>0</v>
      </c>
      <c r="U49" s="472">
        <v>0</v>
      </c>
      <c r="V49" s="630">
        <v>0</v>
      </c>
      <c r="W49" s="633" t="str">
        <f t="shared" si="2"/>
        <v/>
      </c>
      <c r="X49" s="633">
        <v>0</v>
      </c>
      <c r="Y49" s="528">
        <f>IFERROR((($F49-$F48)/100)/$F48*100,0)</f>
        <v>-4.4502617801047195E-2</v>
      </c>
      <c r="Z49" s="595">
        <f>IFERROR(F47/F49,0)</f>
        <v>1019.1506849315068</v>
      </c>
      <c r="AA49" s="601">
        <f>IFERROR($AB$1/(F49/100)*(F47/100),"")</f>
        <v>535054.10958904109</v>
      </c>
      <c r="AB49" s="431">
        <f>IFERROR((AA49/(F47/100))*(F49/100),"")</f>
        <v>525</v>
      </c>
      <c r="AC49" s="399"/>
    </row>
    <row r="50" spans="1:29" ht="12.75" customHeight="1">
      <c r="A50" s="373" t="s">
        <v>14</v>
      </c>
      <c r="B50" s="366">
        <v>42122</v>
      </c>
      <c r="C50" s="362">
        <v>37.1</v>
      </c>
      <c r="D50" s="362">
        <v>37.200000000000003</v>
      </c>
      <c r="E50" s="366">
        <v>594</v>
      </c>
      <c r="F50" s="363">
        <v>37.1</v>
      </c>
      <c r="G50" s="364">
        <v>-7.4000000000000003E-3</v>
      </c>
      <c r="H50" s="365">
        <v>36.950000000000003</v>
      </c>
      <c r="I50" s="337">
        <v>40</v>
      </c>
      <c r="J50" s="554">
        <v>36.551000000000002</v>
      </c>
      <c r="K50" s="341">
        <v>37.380000000000003</v>
      </c>
      <c r="L50" s="391">
        <v>43700597</v>
      </c>
      <c r="M50" s="341">
        <v>116059842</v>
      </c>
      <c r="N50" s="391">
        <v>40590</v>
      </c>
      <c r="O50" s="543">
        <v>45267.6877662037</v>
      </c>
      <c r="P50" s="558">
        <v>49</v>
      </c>
      <c r="Q50" s="441">
        <v>0</v>
      </c>
      <c r="R50" s="503">
        <v>0</v>
      </c>
      <c r="S50" s="512">
        <v>0</v>
      </c>
      <c r="T50" s="385">
        <v>0</v>
      </c>
      <c r="U50" s="471">
        <v>0</v>
      </c>
      <c r="V50" s="623">
        <v>0</v>
      </c>
      <c r="W50" s="632" t="str">
        <f t="shared" si="2"/>
        <v/>
      </c>
      <c r="X50" s="634">
        <v>0</v>
      </c>
      <c r="Y50" s="515">
        <f>($C51*(1-$V$1))-$D50</f>
        <v>-9.9000000000003752E-2</v>
      </c>
      <c r="Z50" s="596">
        <f>IFERROR(F46/F50,0)</f>
        <v>998.51752021563334</v>
      </c>
      <c r="AA50" s="600">
        <f>IFERROR($AB$1/(F50/100)*(F46/100),"")</f>
        <v>524221.69811320747</v>
      </c>
      <c r="AB50" s="431">
        <f>IFERROR((AA50/(F46/100))*(F50/100),"")</f>
        <v>525</v>
      </c>
      <c r="AC50" s="399"/>
    </row>
    <row r="51" spans="1:29" ht="12.75" customHeight="1">
      <c r="A51" s="421" t="s">
        <v>4</v>
      </c>
      <c r="B51" s="422">
        <v>10000</v>
      </c>
      <c r="C51" s="423">
        <v>37.100999999999999</v>
      </c>
      <c r="D51" s="423">
        <v>37.15</v>
      </c>
      <c r="E51" s="422">
        <v>845</v>
      </c>
      <c r="F51" s="417">
        <v>37.15</v>
      </c>
      <c r="G51" s="407">
        <v>4.0000000000000001E-3</v>
      </c>
      <c r="H51" s="408">
        <v>37</v>
      </c>
      <c r="I51" s="409">
        <v>38.08</v>
      </c>
      <c r="J51" s="553">
        <v>36.6</v>
      </c>
      <c r="K51" s="410">
        <v>37</v>
      </c>
      <c r="L51" s="414">
        <v>31102020</v>
      </c>
      <c r="M51" s="410">
        <v>83374315</v>
      </c>
      <c r="N51" s="414">
        <v>31114</v>
      </c>
      <c r="O51" s="544">
        <v>45267.708368055559</v>
      </c>
      <c r="P51" s="557">
        <v>50</v>
      </c>
      <c r="Q51" s="442">
        <v>0</v>
      </c>
      <c r="R51" s="505">
        <v>0</v>
      </c>
      <c r="S51" s="513">
        <v>0</v>
      </c>
      <c r="T51" s="415">
        <v>0</v>
      </c>
      <c r="U51" s="472">
        <v>0</v>
      </c>
      <c r="V51" s="473">
        <v>0</v>
      </c>
      <c r="W51" s="636" t="str">
        <f t="shared" si="2"/>
        <v/>
      </c>
      <c r="X51" s="635">
        <v>0</v>
      </c>
      <c r="Y51" s="527">
        <f>IFERROR((($F51-$F50)/100)/$F50*100,0)</f>
        <v>1.3477088948786295E-3</v>
      </c>
      <c r="Z51" s="597">
        <f>IFERROR(F47/F51,0)</f>
        <v>1001.3189771197847</v>
      </c>
      <c r="AA51" s="602">
        <f>IFERROR($AB$1/(F51/100)*(F47/100),"")</f>
        <v>525692.46298788697</v>
      </c>
      <c r="AB51" s="431">
        <f>IFERROR((AA51/(F47/100))*(F51/100),"")</f>
        <v>525</v>
      </c>
      <c r="AC51" s="399"/>
    </row>
    <row r="52" spans="1:29" ht="12.75" customHeight="1">
      <c r="A52" s="478" t="s">
        <v>16</v>
      </c>
      <c r="B52" s="394">
        <v>503</v>
      </c>
      <c r="C52" s="330">
        <v>39700</v>
      </c>
      <c r="D52" s="416">
        <v>40000</v>
      </c>
      <c r="E52" s="394">
        <v>4900</v>
      </c>
      <c r="F52" s="621">
        <v>39750</v>
      </c>
      <c r="G52" s="420">
        <v>8.0299999999999996E-2</v>
      </c>
      <c r="H52" s="346">
        <v>37850</v>
      </c>
      <c r="I52" s="338">
        <v>41254.5</v>
      </c>
      <c r="J52" s="551">
        <v>36550</v>
      </c>
      <c r="K52" s="342">
        <v>36795</v>
      </c>
      <c r="L52" s="406">
        <v>16540430013</v>
      </c>
      <c r="M52" s="342">
        <v>43782941</v>
      </c>
      <c r="N52" s="406">
        <v>11233</v>
      </c>
      <c r="O52" s="540">
        <v>45267.687719907408</v>
      </c>
      <c r="P52" s="558">
        <v>51</v>
      </c>
      <c r="Q52" s="443">
        <v>0</v>
      </c>
      <c r="R52" s="500">
        <v>0</v>
      </c>
      <c r="S52" s="510">
        <v>0</v>
      </c>
      <c r="T52" s="387">
        <v>0</v>
      </c>
      <c r="U52" s="471">
        <v>0</v>
      </c>
      <c r="V52" s="628">
        <v>0</v>
      </c>
      <c r="W52" s="632" t="str">
        <f>IF(X52&gt;0,(F52*V52/100)-(V52*X52),"")</f>
        <v/>
      </c>
      <c r="X52" s="632">
        <v>0</v>
      </c>
      <c r="Y52" s="576">
        <f>($C53*(1-$V$1))-$D52</f>
        <v>-200</v>
      </c>
      <c r="Z52" s="592">
        <f>($F52/100*$X$1)-($F53/100*$W$1)+($F53/100*$W$1*($AE$1*$AD$1))</f>
        <v>2.1169863013698631</v>
      </c>
      <c r="AA52" s="660" t="str">
        <f>MID($A52,1,5)</f>
        <v xml:space="preserve">GD30 </v>
      </c>
      <c r="AB52" s="38"/>
      <c r="AC52" s="399"/>
    </row>
    <row r="53" spans="1:29" ht="12.75" customHeight="1">
      <c r="A53" s="476" t="s">
        <v>5</v>
      </c>
      <c r="B53" s="354">
        <v>354541</v>
      </c>
      <c r="C53" s="356">
        <v>39800</v>
      </c>
      <c r="D53" s="356">
        <v>39820</v>
      </c>
      <c r="E53" s="354">
        <v>1201</v>
      </c>
      <c r="F53" s="622">
        <v>39800</v>
      </c>
      <c r="G53" s="358">
        <v>5.1399999999999994E-2</v>
      </c>
      <c r="H53" s="345">
        <v>38000</v>
      </c>
      <c r="I53" s="336">
        <v>40331.5</v>
      </c>
      <c r="J53" s="548">
        <v>37200</v>
      </c>
      <c r="K53" s="340">
        <v>37852</v>
      </c>
      <c r="L53" s="343">
        <v>34863434661</v>
      </c>
      <c r="M53" s="340">
        <v>90347990</v>
      </c>
      <c r="N53" s="343">
        <v>13495</v>
      </c>
      <c r="O53" s="541">
        <v>45267.708553240744</v>
      </c>
      <c r="P53" s="557">
        <v>52</v>
      </c>
      <c r="Q53" s="440">
        <v>0</v>
      </c>
      <c r="R53" s="501">
        <v>0</v>
      </c>
      <c r="S53" s="507">
        <v>0</v>
      </c>
      <c r="T53" s="386">
        <v>0</v>
      </c>
      <c r="U53" s="472">
        <v>0</v>
      </c>
      <c r="V53" s="629">
        <v>0</v>
      </c>
      <c r="W53" s="633" t="str">
        <f>IF(X53&gt;0,(F53*V53/100)-(V53*X53),"")</f>
        <v/>
      </c>
      <c r="X53" s="633">
        <v>0</v>
      </c>
      <c r="Y53" s="530">
        <f>IFERROR((($C53-$D52)/100)/$D52*100,0)</f>
        <v>-5.0000000000000001E-3</v>
      </c>
      <c r="Z53" s="593">
        <f>$F53/100*$W$1*($AE$1*$AD$1)</f>
        <v>2.6169863013698631</v>
      </c>
      <c r="AA53" s="661"/>
      <c r="AB53" s="38"/>
      <c r="AC53" s="399"/>
    </row>
    <row r="54" spans="1:29" ht="12.75" customHeight="1">
      <c r="A54" s="373" t="s">
        <v>17</v>
      </c>
      <c r="B54" s="361">
        <v>292</v>
      </c>
      <c r="C54" s="362">
        <v>39.6</v>
      </c>
      <c r="D54" s="362">
        <v>41.99</v>
      </c>
      <c r="E54" s="361">
        <v>1200</v>
      </c>
      <c r="F54" s="363">
        <v>39.6</v>
      </c>
      <c r="G54" s="364">
        <v>-5.7099999999999998E-2</v>
      </c>
      <c r="H54" s="365">
        <v>43.99</v>
      </c>
      <c r="I54" s="337">
        <v>43.99</v>
      </c>
      <c r="J54" s="554">
        <v>39.6</v>
      </c>
      <c r="K54" s="341">
        <v>42</v>
      </c>
      <c r="L54" s="391">
        <v>61500</v>
      </c>
      <c r="M54" s="341">
        <v>143206</v>
      </c>
      <c r="N54" s="391">
        <v>92</v>
      </c>
      <c r="O54" s="543">
        <v>45267.684618055559</v>
      </c>
      <c r="P54" s="558">
        <v>53</v>
      </c>
      <c r="Q54" s="441">
        <v>0</v>
      </c>
      <c r="R54" s="503">
        <v>0</v>
      </c>
      <c r="S54" s="512">
        <v>0</v>
      </c>
      <c r="T54" s="385">
        <v>0</v>
      </c>
      <c r="U54" s="471">
        <v>0</v>
      </c>
      <c r="V54" s="631">
        <v>0</v>
      </c>
      <c r="W54" s="632" t="str">
        <f t="shared" ref="W54:W117" si="3">IF(X54&gt;0,(F54*V54/100)-(V54*X54),"")</f>
        <v/>
      </c>
      <c r="X54" s="634">
        <v>0</v>
      </c>
      <c r="Y54" s="514">
        <f>($F55*(1-$V$1))-$F54</f>
        <v>4.1999999999999957</v>
      </c>
      <c r="Z54" s="594">
        <f>IFERROR(F52/F54,0)</f>
        <v>1003.7878787878788</v>
      </c>
      <c r="AA54" s="600">
        <f>IFERROR($AB$1/(F54/100)*(F52/100),"")</f>
        <v>526988.63636363635</v>
      </c>
      <c r="AB54" s="431">
        <f>IFERROR((AA54/(F52/100))*(F54/100),"")</f>
        <v>525</v>
      </c>
      <c r="AC54" s="399"/>
    </row>
    <row r="55" spans="1:29" ht="12.75" customHeight="1">
      <c r="A55" s="570" t="s">
        <v>6</v>
      </c>
      <c r="B55" s="353">
        <v>200000</v>
      </c>
      <c r="C55" s="355">
        <v>39</v>
      </c>
      <c r="D55" s="355">
        <v>43.7</v>
      </c>
      <c r="E55" s="353">
        <v>10000</v>
      </c>
      <c r="F55" s="357">
        <v>43.8</v>
      </c>
      <c r="G55" s="334">
        <v>3.0499999999999999E-2</v>
      </c>
      <c r="H55" s="345">
        <v>43.75</v>
      </c>
      <c r="I55" s="336">
        <v>44</v>
      </c>
      <c r="J55" s="548">
        <v>43.75</v>
      </c>
      <c r="K55" s="340">
        <v>42.5</v>
      </c>
      <c r="L55" s="343">
        <v>657</v>
      </c>
      <c r="M55" s="340">
        <v>1501</v>
      </c>
      <c r="N55" s="343">
        <v>3</v>
      </c>
      <c r="O55" s="541">
        <v>45267.587719907409</v>
      </c>
      <c r="P55" s="557">
        <v>54</v>
      </c>
      <c r="Q55" s="440">
        <v>0</v>
      </c>
      <c r="R55" s="501">
        <v>0</v>
      </c>
      <c r="S55" s="507">
        <v>0</v>
      </c>
      <c r="T55" s="386">
        <v>0</v>
      </c>
      <c r="U55" s="472">
        <v>0</v>
      </c>
      <c r="V55" s="630">
        <v>0</v>
      </c>
      <c r="W55" s="633" t="str">
        <f t="shared" si="3"/>
        <v/>
      </c>
      <c r="X55" s="633">
        <v>0</v>
      </c>
      <c r="Y55" s="528">
        <f>IFERROR((($F55-$F54)/100)/$F54*100,0)</f>
        <v>0.10606060606060594</v>
      </c>
      <c r="Z55" s="595">
        <f>IFERROR(F53/F55,0)</f>
        <v>908.67579908675805</v>
      </c>
      <c r="AA55" s="601">
        <f>IFERROR($AB$1/(F55/100)*(F53/100),"")</f>
        <v>477054.79452054802</v>
      </c>
      <c r="AB55" s="431">
        <f>IFERROR((AA55/(F53/100))*(F55/100),"")</f>
        <v>525</v>
      </c>
      <c r="AC55" s="399"/>
    </row>
    <row r="56" spans="1:29" ht="12.75" customHeight="1">
      <c r="A56" s="373" t="s">
        <v>18</v>
      </c>
      <c r="B56" s="366">
        <v>6372</v>
      </c>
      <c r="C56" s="362">
        <v>39.97</v>
      </c>
      <c r="D56" s="362">
        <v>41.186</v>
      </c>
      <c r="E56" s="366">
        <v>2934</v>
      </c>
      <c r="F56" s="363">
        <v>40.051000000000002</v>
      </c>
      <c r="G56" s="364">
        <v>-2.3099999999999999E-2</v>
      </c>
      <c r="H56" s="365">
        <v>40</v>
      </c>
      <c r="I56" s="337">
        <v>43.49</v>
      </c>
      <c r="J56" s="554">
        <v>39.000999999999998</v>
      </c>
      <c r="K56" s="341">
        <v>40.999000000000002</v>
      </c>
      <c r="L56" s="391">
        <v>1706367</v>
      </c>
      <c r="M56" s="341">
        <v>4083851</v>
      </c>
      <c r="N56" s="391">
        <v>2346</v>
      </c>
      <c r="O56" s="543">
        <v>45267.684490740743</v>
      </c>
      <c r="P56" s="558">
        <v>55</v>
      </c>
      <c r="Q56" s="441">
        <v>0</v>
      </c>
      <c r="R56" s="503">
        <v>0</v>
      </c>
      <c r="S56" s="512">
        <v>0</v>
      </c>
      <c r="T56" s="385">
        <v>0</v>
      </c>
      <c r="U56" s="471">
        <v>0</v>
      </c>
      <c r="V56" s="623">
        <v>23</v>
      </c>
      <c r="W56" s="632">
        <f t="shared" si="3"/>
        <v>0.7822300000000002</v>
      </c>
      <c r="X56" s="634">
        <v>0.36649999999999999</v>
      </c>
      <c r="Y56" s="515">
        <f>($F57*(1-$V$1))-$F56</f>
        <v>0.33899999999999864</v>
      </c>
      <c r="Z56" s="596">
        <f>IFERROR(F52/F56,0)</f>
        <v>992.48458215774883</v>
      </c>
      <c r="AA56" s="600">
        <f>IFERROR($AB$1/(F56/100)*(F52/100),"")</f>
        <v>521054.40563281812</v>
      </c>
      <c r="AB56" s="431">
        <f>IFERROR((AA56/(F52/100))*(F56/100),"")</f>
        <v>525</v>
      </c>
    </row>
    <row r="57" spans="1:29" ht="12.75" customHeight="1">
      <c r="A57" s="479" t="s">
        <v>7</v>
      </c>
      <c r="B57" s="424">
        <v>7649</v>
      </c>
      <c r="C57" s="423">
        <v>40.39</v>
      </c>
      <c r="D57" s="423">
        <v>40.4</v>
      </c>
      <c r="E57" s="422">
        <v>39</v>
      </c>
      <c r="F57" s="417">
        <v>40.39</v>
      </c>
      <c r="G57" s="407">
        <v>-2.0000000000000001E-4</v>
      </c>
      <c r="H57" s="408">
        <v>40.9</v>
      </c>
      <c r="I57" s="409">
        <v>41.5</v>
      </c>
      <c r="J57" s="553">
        <v>39.701999999999998</v>
      </c>
      <c r="K57" s="410">
        <v>40.4</v>
      </c>
      <c r="L57" s="444">
        <v>456519</v>
      </c>
      <c r="M57" s="410">
        <v>1119326</v>
      </c>
      <c r="N57" s="414">
        <v>676</v>
      </c>
      <c r="O57" s="544">
        <v>45267.708437499998</v>
      </c>
      <c r="P57" s="557">
        <v>56</v>
      </c>
      <c r="Q57" s="442">
        <v>0</v>
      </c>
      <c r="R57" s="505">
        <v>0</v>
      </c>
      <c r="S57" s="513">
        <v>0</v>
      </c>
      <c r="T57" s="415">
        <v>0</v>
      </c>
      <c r="U57" s="472">
        <v>0</v>
      </c>
      <c r="V57" s="473">
        <v>23</v>
      </c>
      <c r="W57" s="636">
        <f t="shared" si="3"/>
        <v>0.86020000000000074</v>
      </c>
      <c r="X57" s="635">
        <v>0.36649999999999999</v>
      </c>
      <c r="Y57" s="527">
        <f>IFERROR((($F57-$F56)/100)/$F56*100,0)</f>
        <v>8.4642081346283145E-3</v>
      </c>
      <c r="Z57" s="597">
        <f>IFERROR(F53/F57,0)</f>
        <v>985.39242386729381</v>
      </c>
      <c r="AA57" s="602">
        <f>IFERROR($AB$1/(F57/100)*(F53/100),"")</f>
        <v>517331.0225303293</v>
      </c>
      <c r="AB57" s="431">
        <f>IFERROR((AA57/(F53/100))*(F57/100),"")</f>
        <v>525</v>
      </c>
    </row>
    <row r="58" spans="1:29" ht="12.75" customHeight="1">
      <c r="A58" s="478" t="s">
        <v>615</v>
      </c>
      <c r="B58" s="394">
        <v>15</v>
      </c>
      <c r="C58" s="330">
        <v>73500</v>
      </c>
      <c r="D58" s="416">
        <v>73800</v>
      </c>
      <c r="E58" s="394">
        <v>19612</v>
      </c>
      <c r="F58" s="524">
        <v>73800</v>
      </c>
      <c r="G58" s="347">
        <v>5.4299999999999994E-2</v>
      </c>
      <c r="H58" s="346">
        <v>70389</v>
      </c>
      <c r="I58" s="338">
        <v>75499.5</v>
      </c>
      <c r="J58" s="551">
        <v>67500</v>
      </c>
      <c r="K58" s="342">
        <v>69999</v>
      </c>
      <c r="L58" s="406">
        <v>63587504</v>
      </c>
      <c r="M58" s="342">
        <v>90221</v>
      </c>
      <c r="N58" s="406">
        <v>562</v>
      </c>
      <c r="O58" s="540">
        <v>45267.687719907408</v>
      </c>
      <c r="P58" s="558">
        <v>57</v>
      </c>
      <c r="Q58" s="443">
        <v>0</v>
      </c>
      <c r="R58" s="500">
        <v>0</v>
      </c>
      <c r="S58" s="510">
        <v>0</v>
      </c>
      <c r="T58" s="387">
        <v>0</v>
      </c>
      <c r="U58" s="471">
        <v>0</v>
      </c>
      <c r="V58" s="628">
        <v>0</v>
      </c>
      <c r="W58" s="632" t="str">
        <f t="shared" si="3"/>
        <v/>
      </c>
      <c r="X58" s="632">
        <v>0</v>
      </c>
      <c r="Y58" s="576">
        <f>($C59*(1-$V$1))-$D58</f>
        <v>-300</v>
      </c>
      <c r="Z58" s="592">
        <f>($F58/100*$X$1)-($F59/100*$W$1)+($F59/100*$W$1*($AE$1*$AD$1))</f>
        <v>7.8328767123287673</v>
      </c>
      <c r="AA58" s="660" t="str">
        <f>MID($A58,1,5)</f>
        <v>MRCAO</v>
      </c>
      <c r="AB58" s="38"/>
      <c r="AC58"/>
    </row>
    <row r="59" spans="1:29" ht="12.75" customHeight="1">
      <c r="A59" s="476" t="s">
        <v>616</v>
      </c>
      <c r="B59" s="395">
        <v>317</v>
      </c>
      <c r="C59" s="356">
        <v>73500</v>
      </c>
      <c r="D59" s="356">
        <v>73900</v>
      </c>
      <c r="E59" s="354">
        <v>3464</v>
      </c>
      <c r="F59" s="357">
        <v>73500</v>
      </c>
      <c r="G59" s="334">
        <v>4.41E-2</v>
      </c>
      <c r="H59" s="345">
        <v>70401</v>
      </c>
      <c r="I59" s="336">
        <v>74750</v>
      </c>
      <c r="J59" s="548">
        <v>68900</v>
      </c>
      <c r="K59" s="340">
        <v>70389</v>
      </c>
      <c r="L59" s="343">
        <v>579829558</v>
      </c>
      <c r="M59" s="340">
        <v>804766</v>
      </c>
      <c r="N59" s="343">
        <v>2539</v>
      </c>
      <c r="O59" s="541">
        <v>45267.708518518521</v>
      </c>
      <c r="P59" s="557">
        <v>58</v>
      </c>
      <c r="Q59" s="440">
        <v>0</v>
      </c>
      <c r="R59" s="501">
        <v>0</v>
      </c>
      <c r="S59" s="507">
        <v>0</v>
      </c>
      <c r="T59" s="386">
        <v>0</v>
      </c>
      <c r="U59" s="472">
        <v>0</v>
      </c>
      <c r="V59" s="629">
        <v>0</v>
      </c>
      <c r="W59" s="633" t="str">
        <f t="shared" si="3"/>
        <v/>
      </c>
      <c r="X59" s="633">
        <v>0</v>
      </c>
      <c r="Y59" s="530">
        <f>IFERROR((($C59-$D58)/100)/$D58*100,0)</f>
        <v>-4.0650406504065036E-3</v>
      </c>
      <c r="Z59" s="593">
        <f>$F59/100*$W$1*($AE$1*$AD$1)</f>
        <v>4.8328767123287673</v>
      </c>
      <c r="AA59" s="661"/>
      <c r="AB59" s="38"/>
      <c r="AC59"/>
    </row>
    <row r="60" spans="1:29" ht="12.75" customHeight="1">
      <c r="A60" s="373" t="s">
        <v>617</v>
      </c>
      <c r="B60" s="396"/>
      <c r="C60" s="362"/>
      <c r="D60" s="362"/>
      <c r="E60" s="361"/>
      <c r="F60" s="363"/>
      <c r="G60" s="364"/>
      <c r="H60" s="365"/>
      <c r="I60" s="337"/>
      <c r="J60" s="554"/>
      <c r="K60" s="341">
        <v>72.757000000000005</v>
      </c>
      <c r="L60" s="391"/>
      <c r="M60" s="341"/>
      <c r="N60" s="391"/>
      <c r="O60" s="543"/>
      <c r="P60" s="558">
        <v>59</v>
      </c>
      <c r="Q60" s="441">
        <v>0</v>
      </c>
      <c r="R60" s="503">
        <v>0</v>
      </c>
      <c r="S60" s="512">
        <v>0</v>
      </c>
      <c r="T60" s="385">
        <v>0</v>
      </c>
      <c r="U60" s="471">
        <v>0</v>
      </c>
      <c r="V60" s="631">
        <v>0</v>
      </c>
      <c r="W60" s="632" t="str">
        <f t="shared" si="3"/>
        <v/>
      </c>
      <c r="X60" s="634">
        <v>0</v>
      </c>
      <c r="Y60" s="514">
        <f>($F61*(1-$V$1))-$F60</f>
        <v>0</v>
      </c>
      <c r="Z60" s="594">
        <f>IFERROR(F58/F60,0)</f>
        <v>0</v>
      </c>
      <c r="AA60" s="600" t="str">
        <f>IFERROR($AB$1/(F60/100)*(F58/100),"")</f>
        <v/>
      </c>
      <c r="AB60" s="431" t="str">
        <f>IFERROR((AA60/(F58/100))*(F60/100),"")</f>
        <v/>
      </c>
      <c r="AC60"/>
    </row>
    <row r="61" spans="1:29" ht="12.75" customHeight="1">
      <c r="A61" s="570" t="s">
        <v>618</v>
      </c>
      <c r="B61" s="353"/>
      <c r="C61" s="355"/>
      <c r="D61" s="355"/>
      <c r="E61" s="353"/>
      <c r="F61" s="357"/>
      <c r="G61" s="334"/>
      <c r="H61" s="345"/>
      <c r="I61" s="336"/>
      <c r="J61" s="548"/>
      <c r="K61" s="340"/>
      <c r="L61" s="343"/>
      <c r="M61" s="340"/>
      <c r="N61" s="343"/>
      <c r="O61" s="541"/>
      <c r="P61" s="557">
        <v>60</v>
      </c>
      <c r="Q61" s="440">
        <v>0</v>
      </c>
      <c r="R61" s="501">
        <v>0</v>
      </c>
      <c r="S61" s="507">
        <v>0</v>
      </c>
      <c r="T61" s="386">
        <v>0</v>
      </c>
      <c r="U61" s="472">
        <v>0</v>
      </c>
      <c r="V61" s="630">
        <v>0</v>
      </c>
      <c r="W61" s="633" t="str">
        <f t="shared" si="3"/>
        <v/>
      </c>
      <c r="X61" s="633">
        <v>0</v>
      </c>
      <c r="Y61" s="528">
        <f>IFERROR((($F61-$F60)/100)/$F60*100,0)</f>
        <v>0</v>
      </c>
      <c r="Z61" s="595">
        <f>IFERROR(F59/F61,0)</f>
        <v>0</v>
      </c>
      <c r="AA61" s="601" t="str">
        <f>IFERROR($AB$1/(F61/100)*(F59/100),"")</f>
        <v/>
      </c>
      <c r="AB61" s="431" t="str">
        <f>IFERROR((AA61/(F59/100))*(F61/100),"")</f>
        <v/>
      </c>
      <c r="AC61"/>
    </row>
    <row r="62" spans="1:29" ht="12.75" customHeight="1">
      <c r="A62" s="373" t="s">
        <v>619</v>
      </c>
      <c r="B62" s="366">
        <v>214</v>
      </c>
      <c r="C62" s="362">
        <v>74.7</v>
      </c>
      <c r="D62" s="362">
        <v>76.099999999999994</v>
      </c>
      <c r="E62" s="366">
        <v>749</v>
      </c>
      <c r="F62" s="363">
        <v>75.5</v>
      </c>
      <c r="G62" s="364">
        <v>-5.1999999999999998E-3</v>
      </c>
      <c r="H62" s="365">
        <v>75.5</v>
      </c>
      <c r="I62" s="337">
        <v>78.099999999999994</v>
      </c>
      <c r="J62" s="554">
        <v>74.55</v>
      </c>
      <c r="K62" s="341">
        <v>75.5</v>
      </c>
      <c r="L62" s="391">
        <v>18198</v>
      </c>
      <c r="M62" s="341">
        <v>24071</v>
      </c>
      <c r="N62" s="391">
        <v>79</v>
      </c>
      <c r="O62" s="543">
        <v>45267.681076388886</v>
      </c>
      <c r="P62" s="558">
        <v>61</v>
      </c>
      <c r="Q62" s="441">
        <v>0</v>
      </c>
      <c r="R62" s="503">
        <v>0</v>
      </c>
      <c r="S62" s="512">
        <v>0</v>
      </c>
      <c r="T62" s="385">
        <v>0</v>
      </c>
      <c r="U62" s="471">
        <v>0</v>
      </c>
      <c r="V62" s="623">
        <v>0</v>
      </c>
      <c r="W62" s="632" t="str">
        <f t="shared" si="3"/>
        <v/>
      </c>
      <c r="X62" s="634">
        <v>0</v>
      </c>
      <c r="Y62" s="515">
        <f>($F63*(1-$V$1))-$F62</f>
        <v>-0.54999999999999716</v>
      </c>
      <c r="Z62" s="596">
        <f>IFERROR(F58/F62,0)</f>
        <v>977.48344370860923</v>
      </c>
      <c r="AA62" s="600">
        <f>IFERROR($AB$1/(F62/100)*(F58/100),"")</f>
        <v>513178.80794701987</v>
      </c>
      <c r="AB62" s="431">
        <f>IFERROR((AA62/(F58/100))*(F62/100),"")</f>
        <v>525</v>
      </c>
      <c r="AC62"/>
    </row>
    <row r="63" spans="1:29" ht="12.75" customHeight="1">
      <c r="A63" s="479" t="s">
        <v>620</v>
      </c>
      <c r="B63" s="422">
        <v>50</v>
      </c>
      <c r="C63" s="423">
        <v>74.930000000000007</v>
      </c>
      <c r="D63" s="423">
        <v>74.95</v>
      </c>
      <c r="E63" s="422">
        <v>2121</v>
      </c>
      <c r="F63" s="417">
        <v>74.95</v>
      </c>
      <c r="G63" s="407">
        <v>-7.1999999999999998E-3</v>
      </c>
      <c r="H63" s="408">
        <v>76.95</v>
      </c>
      <c r="I63" s="409">
        <v>76.95</v>
      </c>
      <c r="J63" s="553">
        <v>74.61</v>
      </c>
      <c r="K63" s="410">
        <v>75.5</v>
      </c>
      <c r="L63" s="414">
        <v>312257</v>
      </c>
      <c r="M63" s="410">
        <v>415089</v>
      </c>
      <c r="N63" s="414">
        <v>785</v>
      </c>
      <c r="O63" s="544">
        <v>45267.708506944444</v>
      </c>
      <c r="P63" s="557">
        <v>62</v>
      </c>
      <c r="Q63" s="442">
        <v>0</v>
      </c>
      <c r="R63" s="505">
        <v>0</v>
      </c>
      <c r="S63" s="513">
        <v>0</v>
      </c>
      <c r="T63" s="415">
        <v>0</v>
      </c>
      <c r="U63" s="472">
        <v>0</v>
      </c>
      <c r="V63" s="473">
        <v>0</v>
      </c>
      <c r="W63" s="636" t="str">
        <f t="shared" si="3"/>
        <v/>
      </c>
      <c r="X63" s="635">
        <v>0</v>
      </c>
      <c r="Y63" s="527">
        <f>IFERROR((($F63-$F62)/100)/$F62*100,0)</f>
        <v>-7.2847682119204929E-3</v>
      </c>
      <c r="Z63" s="597">
        <f>IFERROR(F59/F63,0)</f>
        <v>980.65376917945298</v>
      </c>
      <c r="AA63" s="602">
        <f>IFERROR($AB$1/(F63/100)*(F59/100),"")</f>
        <v>514843.22881921282</v>
      </c>
      <c r="AB63" s="431">
        <f>IFERROR((AA63/(F59/100))*(F63/100),"")</f>
        <v>525</v>
      </c>
      <c r="AC63"/>
    </row>
    <row r="64" spans="1:29" ht="12.75" customHeight="1">
      <c r="A64" s="478" t="s">
        <v>623</v>
      </c>
      <c r="B64" s="394">
        <v>597</v>
      </c>
      <c r="C64" s="330">
        <v>26400</v>
      </c>
      <c r="D64" s="416">
        <v>26800</v>
      </c>
      <c r="E64" s="394">
        <v>800</v>
      </c>
      <c r="F64" s="524">
        <v>26400</v>
      </c>
      <c r="G64" s="420">
        <v>5.5999999999999994E-2</v>
      </c>
      <c r="H64" s="346">
        <v>26300</v>
      </c>
      <c r="I64" s="338">
        <v>26400</v>
      </c>
      <c r="J64" s="551">
        <v>24500</v>
      </c>
      <c r="K64" s="342">
        <v>25000</v>
      </c>
      <c r="L64" s="406">
        <v>2473903</v>
      </c>
      <c r="M64" s="342">
        <v>9640</v>
      </c>
      <c r="N64" s="406">
        <v>20</v>
      </c>
      <c r="O64" s="540">
        <v>45267.677430555559</v>
      </c>
      <c r="P64" s="558">
        <v>63</v>
      </c>
      <c r="Q64" s="569">
        <v>0</v>
      </c>
      <c r="R64" s="500">
        <v>0</v>
      </c>
      <c r="S64" s="510">
        <v>0</v>
      </c>
      <c r="T64" s="387">
        <v>0</v>
      </c>
      <c r="U64" s="471">
        <v>0</v>
      </c>
      <c r="V64" s="628">
        <v>0</v>
      </c>
      <c r="W64" s="632" t="str">
        <f t="shared" si="3"/>
        <v/>
      </c>
      <c r="X64" s="632">
        <v>0</v>
      </c>
      <c r="Y64" s="576">
        <f>($C65*(1-$V$1))-$D64</f>
        <v>100</v>
      </c>
      <c r="Z64" s="592">
        <f>($F64/100*$X$1)-($F65/100*$W$1)+($F65/100*$W$1*($AE$1*$AD$1))</f>
        <v>-4.2246575342465755</v>
      </c>
      <c r="AA64" s="660" t="str">
        <f>MID($A64,1,5)</f>
        <v>CLSIO</v>
      </c>
      <c r="AB64" s="38"/>
      <c r="AC64"/>
    </row>
    <row r="65" spans="1:29" ht="12.75" customHeight="1">
      <c r="A65" s="476" t="s">
        <v>624</v>
      </c>
      <c r="B65" s="354">
        <v>1400</v>
      </c>
      <c r="C65" s="356">
        <v>26900</v>
      </c>
      <c r="D65" s="356">
        <v>27000</v>
      </c>
      <c r="E65" s="354">
        <v>9777</v>
      </c>
      <c r="F65" s="357">
        <v>27000</v>
      </c>
      <c r="G65" s="358">
        <v>4.36E-2</v>
      </c>
      <c r="H65" s="345">
        <v>26050</v>
      </c>
      <c r="I65" s="336">
        <v>27000</v>
      </c>
      <c r="J65" s="548">
        <v>25000</v>
      </c>
      <c r="K65" s="340">
        <v>25870</v>
      </c>
      <c r="L65" s="343">
        <v>104964055</v>
      </c>
      <c r="M65" s="340">
        <v>405109</v>
      </c>
      <c r="N65" s="343">
        <v>338</v>
      </c>
      <c r="O65" s="541">
        <v>45267.708344907405</v>
      </c>
      <c r="P65" s="557">
        <v>64</v>
      </c>
      <c r="Q65" s="440">
        <v>0</v>
      </c>
      <c r="R65" s="501">
        <v>0</v>
      </c>
      <c r="S65" s="507">
        <v>0</v>
      </c>
      <c r="T65" s="386">
        <v>0</v>
      </c>
      <c r="U65" s="472">
        <v>0</v>
      </c>
      <c r="V65" s="629">
        <v>0</v>
      </c>
      <c r="W65" s="633" t="str">
        <f t="shared" si="3"/>
        <v/>
      </c>
      <c r="X65" s="633">
        <v>0</v>
      </c>
      <c r="Y65" s="530">
        <f>IFERROR((($C65-$D64)/100)/$D64*100,0)</f>
        <v>3.7313432835820895E-3</v>
      </c>
      <c r="Z65" s="593">
        <f>$F65/100*$W$1*($AE$1*$AD$1)</f>
        <v>1.7753424657534247</v>
      </c>
      <c r="AA65" s="661"/>
      <c r="AB65" s="38"/>
      <c r="AC65"/>
    </row>
    <row r="66" spans="1:29" ht="12.75" customHeight="1">
      <c r="A66" s="373" t="s">
        <v>625</v>
      </c>
      <c r="B66" s="361"/>
      <c r="C66" s="362"/>
      <c r="D66" s="362"/>
      <c r="E66" s="361"/>
      <c r="F66" s="363"/>
      <c r="G66" s="364"/>
      <c r="H66" s="365"/>
      <c r="I66" s="337"/>
      <c r="J66" s="554"/>
      <c r="K66" s="341">
        <v>30.7</v>
      </c>
      <c r="L66" s="391"/>
      <c r="M66" s="341"/>
      <c r="N66" s="391"/>
      <c r="O66" s="543"/>
      <c r="P66" s="558">
        <v>65</v>
      </c>
      <c r="Q66" s="441">
        <v>0</v>
      </c>
      <c r="R66" s="503">
        <v>0</v>
      </c>
      <c r="S66" s="512">
        <v>0</v>
      </c>
      <c r="T66" s="385">
        <v>0</v>
      </c>
      <c r="U66" s="471">
        <v>0</v>
      </c>
      <c r="V66" s="631">
        <v>0</v>
      </c>
      <c r="W66" s="632" t="str">
        <f t="shared" si="3"/>
        <v/>
      </c>
      <c r="X66" s="634">
        <v>0</v>
      </c>
      <c r="Y66" s="514">
        <f>($F67*(1-$V$1))-$F66</f>
        <v>0</v>
      </c>
      <c r="Z66" s="594">
        <f>IFERROR(F64/F66,0)</f>
        <v>0</v>
      </c>
      <c r="AA66" s="600" t="str">
        <f>IFERROR($AB$1/(F66/100)*(F64/100),"")</f>
        <v/>
      </c>
      <c r="AB66" s="431" t="str">
        <f>IFERROR((AA66/(F64/100))*(F66/100),"")</f>
        <v/>
      </c>
      <c r="AC66"/>
    </row>
    <row r="67" spans="1:29" ht="12.75" customHeight="1">
      <c r="A67" s="570" t="s">
        <v>626</v>
      </c>
      <c r="B67" s="353"/>
      <c r="C67" s="355"/>
      <c r="D67" s="355"/>
      <c r="E67" s="353"/>
      <c r="F67" s="357"/>
      <c r="G67" s="334"/>
      <c r="H67" s="345"/>
      <c r="I67" s="336"/>
      <c r="J67" s="548"/>
      <c r="K67" s="340">
        <v>30</v>
      </c>
      <c r="L67" s="343"/>
      <c r="M67" s="340"/>
      <c r="N67" s="343"/>
      <c r="O67" s="541"/>
      <c r="P67" s="557">
        <v>66</v>
      </c>
      <c r="Q67" s="440">
        <v>0</v>
      </c>
      <c r="R67" s="501">
        <v>0</v>
      </c>
      <c r="S67" s="507">
        <v>0</v>
      </c>
      <c r="T67" s="386">
        <v>0</v>
      </c>
      <c r="U67" s="472">
        <v>0</v>
      </c>
      <c r="V67" s="630">
        <v>0</v>
      </c>
      <c r="W67" s="633" t="str">
        <f t="shared" si="3"/>
        <v/>
      </c>
      <c r="X67" s="633">
        <v>0</v>
      </c>
      <c r="Y67" s="528">
        <f>IFERROR((($F67-$F66)/100)/$F66*100,0)</f>
        <v>0</v>
      </c>
      <c r="Z67" s="595">
        <f>IFERROR(F65/F67,0)</f>
        <v>0</v>
      </c>
      <c r="AA67" s="601" t="str">
        <f>IFERROR($AB$1/(F67/100)*(F65/100),"")</f>
        <v/>
      </c>
      <c r="AB67" s="431" t="str">
        <f>IFERROR((AA67/(F65/100))*(F67/100),"")</f>
        <v/>
      </c>
      <c r="AC67"/>
    </row>
    <row r="68" spans="1:29" ht="12.75" customHeight="1">
      <c r="A68" s="373" t="s">
        <v>627</v>
      </c>
      <c r="B68" s="366">
        <v>200</v>
      </c>
      <c r="C68" s="362">
        <v>26.01</v>
      </c>
      <c r="D68" s="362">
        <v>28</v>
      </c>
      <c r="E68" s="366">
        <v>2000</v>
      </c>
      <c r="F68" s="363"/>
      <c r="G68" s="364"/>
      <c r="H68" s="365"/>
      <c r="I68" s="337"/>
      <c r="J68" s="554"/>
      <c r="K68" s="341">
        <v>28</v>
      </c>
      <c r="L68" s="391"/>
      <c r="M68" s="341"/>
      <c r="N68" s="391"/>
      <c r="O68" s="543"/>
      <c r="P68" s="558">
        <v>67</v>
      </c>
      <c r="Q68" s="441">
        <v>0</v>
      </c>
      <c r="R68" s="503">
        <v>0</v>
      </c>
      <c r="S68" s="512">
        <v>0</v>
      </c>
      <c r="T68" s="385">
        <v>0</v>
      </c>
      <c r="U68" s="471">
        <v>0</v>
      </c>
      <c r="V68" s="623">
        <v>0</v>
      </c>
      <c r="W68" s="632" t="str">
        <f t="shared" si="3"/>
        <v/>
      </c>
      <c r="X68" s="634">
        <v>0</v>
      </c>
      <c r="Y68" s="515">
        <f>($F69*(1-$V$1))-$F68</f>
        <v>26.9</v>
      </c>
      <c r="Z68" s="596">
        <f>IFERROR(F64/F68,0)</f>
        <v>0</v>
      </c>
      <c r="AA68" s="600" t="str">
        <f>IFERROR($AB$1/(F68/100)*(F64/100),"")</f>
        <v/>
      </c>
      <c r="AB68" s="431" t="str">
        <f>IFERROR((AA68/(F64/100))*(F68/100),"")</f>
        <v/>
      </c>
      <c r="AC68"/>
    </row>
    <row r="69" spans="1:29" ht="12.75" customHeight="1">
      <c r="A69" s="479" t="s">
        <v>628</v>
      </c>
      <c r="B69" s="422">
        <v>873</v>
      </c>
      <c r="C69" s="423">
        <v>26.7</v>
      </c>
      <c r="D69" s="423">
        <v>26.9</v>
      </c>
      <c r="E69" s="422">
        <v>976</v>
      </c>
      <c r="F69" s="417">
        <v>26.9</v>
      </c>
      <c r="G69" s="407">
        <v>-2.18E-2</v>
      </c>
      <c r="H69" s="408">
        <v>28</v>
      </c>
      <c r="I69" s="409">
        <v>28</v>
      </c>
      <c r="J69" s="553">
        <v>26.45</v>
      </c>
      <c r="K69" s="410">
        <v>27.5</v>
      </c>
      <c r="L69" s="414">
        <v>21305</v>
      </c>
      <c r="M69" s="410">
        <v>78923</v>
      </c>
      <c r="N69" s="414">
        <v>82</v>
      </c>
      <c r="O69" s="544">
        <v>45267.704571759263</v>
      </c>
      <c r="P69" s="557">
        <v>68</v>
      </c>
      <c r="Q69" s="442">
        <v>0</v>
      </c>
      <c r="R69" s="505">
        <v>0</v>
      </c>
      <c r="S69" s="513">
        <v>0</v>
      </c>
      <c r="T69" s="415">
        <v>0</v>
      </c>
      <c r="U69" s="472">
        <v>0</v>
      </c>
      <c r="V69" s="473">
        <v>0</v>
      </c>
      <c r="W69" s="636" t="str">
        <f t="shared" si="3"/>
        <v/>
      </c>
      <c r="X69" s="635">
        <v>0</v>
      </c>
      <c r="Y69" s="527">
        <f>IFERROR((($F69-$F68)/100)/$F68*100,0)</f>
        <v>0</v>
      </c>
      <c r="Z69" s="597">
        <f>IFERROR(F65/F69,0)</f>
        <v>1003.7174721189591</v>
      </c>
      <c r="AA69" s="602">
        <f>IFERROR($AB$1/(F69/100)*(F65/100),"")</f>
        <v>526951.67286245362</v>
      </c>
      <c r="AB69" s="431">
        <f>IFERROR((AA69/(F65/100))*(F69/100),"")</f>
        <v>525</v>
      </c>
      <c r="AC69"/>
    </row>
    <row r="70" spans="1:29" ht="12.75" customHeight="1">
      <c r="A70" s="478" t="s">
        <v>629</v>
      </c>
      <c r="B70" s="394">
        <v>379</v>
      </c>
      <c r="C70" s="330">
        <v>103500</v>
      </c>
      <c r="D70" s="416">
        <v>108783.5</v>
      </c>
      <c r="E70" s="394">
        <v>325</v>
      </c>
      <c r="F70" s="524">
        <v>108783.5</v>
      </c>
      <c r="G70" s="347">
        <v>7.17E-2</v>
      </c>
      <c r="H70" s="346">
        <v>105560</v>
      </c>
      <c r="I70" s="338">
        <v>108885.5</v>
      </c>
      <c r="J70" s="551">
        <v>101111</v>
      </c>
      <c r="K70" s="342">
        <v>101500</v>
      </c>
      <c r="L70" s="406">
        <v>18504609</v>
      </c>
      <c r="M70" s="342">
        <v>17878</v>
      </c>
      <c r="N70" s="406">
        <v>63</v>
      </c>
      <c r="O70" s="540">
        <v>45267.67082175926</v>
      </c>
      <c r="P70" s="558">
        <v>69</v>
      </c>
      <c r="Q70" s="443">
        <v>0</v>
      </c>
      <c r="R70" s="500">
        <v>0</v>
      </c>
      <c r="S70" s="510">
        <v>0</v>
      </c>
      <c r="T70" s="387">
        <v>0</v>
      </c>
      <c r="U70" s="471">
        <v>0</v>
      </c>
      <c r="V70" s="628">
        <v>0</v>
      </c>
      <c r="W70" s="632" t="str">
        <f t="shared" si="3"/>
        <v/>
      </c>
      <c r="X70" s="632">
        <v>0</v>
      </c>
      <c r="Y70" s="576">
        <f>($C71*(1-$V$1))-$D70</f>
        <v>-2673.5</v>
      </c>
      <c r="Z70" s="592">
        <f>($F70/100*$X$1)-($F71/100*$W$1)+($F71/100*$W$1*($AE$1*$AD$1))</f>
        <v>-4.932123287671196</v>
      </c>
      <c r="AA70" s="660" t="str">
        <f>MID($A70,1,5)</f>
        <v>MGC9O</v>
      </c>
      <c r="AB70" s="38"/>
      <c r="AC70"/>
    </row>
    <row r="71" spans="1:29" ht="12.75" customHeight="1">
      <c r="A71" s="476" t="s">
        <v>630</v>
      </c>
      <c r="B71" s="354">
        <v>750</v>
      </c>
      <c r="C71" s="356">
        <v>106110</v>
      </c>
      <c r="D71" s="356">
        <v>115000</v>
      </c>
      <c r="E71" s="354">
        <v>375</v>
      </c>
      <c r="F71" s="357">
        <v>110000</v>
      </c>
      <c r="G71" s="334">
        <v>9.01E-2</v>
      </c>
      <c r="H71" s="345">
        <v>102999.5</v>
      </c>
      <c r="I71" s="336">
        <v>110000</v>
      </c>
      <c r="J71" s="548">
        <v>100000</v>
      </c>
      <c r="K71" s="340">
        <v>100900</v>
      </c>
      <c r="L71" s="343">
        <v>216616141</v>
      </c>
      <c r="M71" s="340">
        <v>211264</v>
      </c>
      <c r="N71" s="343">
        <v>439</v>
      </c>
      <c r="O71" s="541">
        <v>45267.706006944441</v>
      </c>
      <c r="P71" s="557">
        <v>70</v>
      </c>
      <c r="Q71" s="440">
        <v>0</v>
      </c>
      <c r="R71" s="501">
        <v>0</v>
      </c>
      <c r="S71" s="507">
        <v>0</v>
      </c>
      <c r="T71" s="386">
        <v>0</v>
      </c>
      <c r="U71" s="472">
        <v>0</v>
      </c>
      <c r="V71" s="629">
        <v>0</v>
      </c>
      <c r="W71" s="633" t="str">
        <f t="shared" si="3"/>
        <v/>
      </c>
      <c r="X71" s="633">
        <v>0</v>
      </c>
      <c r="Y71" s="530">
        <f>IFERROR((($C71-$D70)/100)/$D70*100,0)</f>
        <v>-2.4576337404109999E-2</v>
      </c>
      <c r="Z71" s="593">
        <f>$F71/100*$W$1*($AE$1*$AD$1)</f>
        <v>7.2328767123287676</v>
      </c>
      <c r="AA71" s="661"/>
      <c r="AB71" s="38"/>
      <c r="AC71"/>
    </row>
    <row r="72" spans="1:29" ht="12.75" customHeight="1">
      <c r="A72" s="373" t="s">
        <v>631</v>
      </c>
      <c r="B72" s="361"/>
      <c r="C72" s="362"/>
      <c r="D72" s="362"/>
      <c r="E72" s="361"/>
      <c r="F72" s="363"/>
      <c r="G72" s="364"/>
      <c r="H72" s="365"/>
      <c r="I72" s="337"/>
      <c r="J72" s="337"/>
      <c r="K72" s="438">
        <v>110</v>
      </c>
      <c r="L72" s="391"/>
      <c r="M72" s="341"/>
      <c r="N72" s="391"/>
      <c r="O72" s="543"/>
      <c r="P72" s="558">
        <v>71</v>
      </c>
      <c r="Q72" s="441">
        <v>0</v>
      </c>
      <c r="R72" s="503">
        <v>0</v>
      </c>
      <c r="S72" s="512">
        <v>0</v>
      </c>
      <c r="T72" s="385">
        <v>0</v>
      </c>
      <c r="U72" s="471">
        <v>0</v>
      </c>
      <c r="V72" s="631">
        <v>0</v>
      </c>
      <c r="W72" s="632" t="str">
        <f t="shared" si="3"/>
        <v/>
      </c>
      <c r="X72" s="634">
        <v>0</v>
      </c>
      <c r="Y72" s="514">
        <f>($F73*(1-$V$1))-$F72</f>
        <v>0</v>
      </c>
      <c r="Z72" s="594">
        <f>IFERROR(F70/F72,0)</f>
        <v>0</v>
      </c>
      <c r="AA72" s="600" t="str">
        <f>IFERROR($AB$1/(F72/100)*(F70/100),"")</f>
        <v/>
      </c>
      <c r="AB72" s="431" t="str">
        <f>IFERROR((AA72/(F70/100))*(F72/100),"")</f>
        <v/>
      </c>
      <c r="AC72"/>
    </row>
    <row r="73" spans="1:29" ht="12.75" customHeight="1">
      <c r="A73" s="570" t="s">
        <v>632</v>
      </c>
      <c r="B73" s="353"/>
      <c r="C73" s="355"/>
      <c r="D73" s="355"/>
      <c r="E73" s="353"/>
      <c r="F73" s="357"/>
      <c r="G73" s="334"/>
      <c r="H73" s="345"/>
      <c r="I73" s="336"/>
      <c r="J73" s="336"/>
      <c r="K73" s="433">
        <v>99.95</v>
      </c>
      <c r="L73" s="343"/>
      <c r="M73" s="340"/>
      <c r="N73" s="343"/>
      <c r="O73" s="541"/>
      <c r="P73" s="557">
        <v>72</v>
      </c>
      <c r="Q73" s="440">
        <v>0</v>
      </c>
      <c r="R73" s="501">
        <v>0</v>
      </c>
      <c r="S73" s="507">
        <v>0</v>
      </c>
      <c r="T73" s="386">
        <v>0</v>
      </c>
      <c r="U73" s="472">
        <v>0</v>
      </c>
      <c r="V73" s="630">
        <v>0</v>
      </c>
      <c r="W73" s="633" t="str">
        <f t="shared" si="3"/>
        <v/>
      </c>
      <c r="X73" s="633">
        <v>0</v>
      </c>
      <c r="Y73" s="528">
        <f>IFERROR((($F73-$F72)/100)/$F72*100,0)</f>
        <v>0</v>
      </c>
      <c r="Z73" s="595">
        <f>IFERROR(F71/F73,0)</f>
        <v>0</v>
      </c>
      <c r="AA73" s="601" t="str">
        <f>IFERROR($AB$1/(F73/100)*(F71/100),"")</f>
        <v/>
      </c>
      <c r="AB73" s="431" t="str">
        <f>IFERROR((AA73/(F71/100))*(F73/100),"")</f>
        <v/>
      </c>
      <c r="AC73"/>
    </row>
    <row r="74" spans="1:29" ht="12.75" customHeight="1">
      <c r="A74" s="373" t="s">
        <v>633</v>
      </c>
      <c r="B74" s="366">
        <v>2000</v>
      </c>
      <c r="C74" s="362">
        <v>107</v>
      </c>
      <c r="D74" s="362">
        <v>113</v>
      </c>
      <c r="E74" s="366">
        <v>113</v>
      </c>
      <c r="F74" s="363"/>
      <c r="G74" s="364"/>
      <c r="H74" s="365"/>
      <c r="I74" s="337"/>
      <c r="J74" s="337"/>
      <c r="K74" s="438">
        <v>113</v>
      </c>
      <c r="L74" s="391"/>
      <c r="M74" s="341"/>
      <c r="N74" s="391"/>
      <c r="O74" s="543"/>
      <c r="P74" s="558">
        <v>73</v>
      </c>
      <c r="Q74" s="441">
        <v>0</v>
      </c>
      <c r="R74" s="503">
        <v>0</v>
      </c>
      <c r="S74" s="512">
        <v>0</v>
      </c>
      <c r="T74" s="385">
        <v>0</v>
      </c>
      <c r="U74" s="471">
        <v>0</v>
      </c>
      <c r="V74" s="623">
        <v>0</v>
      </c>
      <c r="W74" s="632" t="str">
        <f t="shared" si="3"/>
        <v/>
      </c>
      <c r="X74" s="634">
        <v>0</v>
      </c>
      <c r="Y74" s="515">
        <f>($F75*(1-$V$1))-$F74</f>
        <v>109.75</v>
      </c>
      <c r="Z74" s="596">
        <f>IFERROR(F70/F74,0)</f>
        <v>0</v>
      </c>
      <c r="AA74" s="600" t="str">
        <f>IFERROR($AB$1/(F74/100)*(F70/100),"")</f>
        <v/>
      </c>
      <c r="AB74" s="431" t="str">
        <f>IFERROR((AA74/(F70/100))*(F74/100),"")</f>
        <v/>
      </c>
      <c r="AC74"/>
    </row>
    <row r="75" spans="1:29" ht="12.75" customHeight="1">
      <c r="A75" s="479" t="s">
        <v>634</v>
      </c>
      <c r="B75" s="422">
        <v>400</v>
      </c>
      <c r="C75" s="423">
        <v>108</v>
      </c>
      <c r="D75" s="423">
        <v>109.75</v>
      </c>
      <c r="E75" s="422">
        <v>6981</v>
      </c>
      <c r="F75" s="417">
        <v>109.75</v>
      </c>
      <c r="G75" s="407">
        <v>2.5699999999999997E-2</v>
      </c>
      <c r="H75" s="408">
        <v>107.5</v>
      </c>
      <c r="I75" s="409">
        <v>110</v>
      </c>
      <c r="J75" s="409">
        <v>106.5</v>
      </c>
      <c r="K75" s="434">
        <v>107</v>
      </c>
      <c r="L75" s="414">
        <v>104804</v>
      </c>
      <c r="M75" s="410">
        <v>96225</v>
      </c>
      <c r="N75" s="414">
        <v>63</v>
      </c>
      <c r="O75" s="544">
        <v>45267.699699074074</v>
      </c>
      <c r="P75" s="557">
        <v>74</v>
      </c>
      <c r="Q75" s="442">
        <v>0</v>
      </c>
      <c r="R75" s="505">
        <v>0</v>
      </c>
      <c r="S75" s="513">
        <v>0</v>
      </c>
      <c r="T75" s="415">
        <v>0</v>
      </c>
      <c r="U75" s="472">
        <v>0</v>
      </c>
      <c r="V75" s="473">
        <v>0</v>
      </c>
      <c r="W75" s="636" t="str">
        <f t="shared" si="3"/>
        <v/>
      </c>
      <c r="X75" s="635">
        <v>0</v>
      </c>
      <c r="Y75" s="527">
        <f>IFERROR((($F75-$F74)/100)/$F74*100,0)</f>
        <v>0</v>
      </c>
      <c r="Z75" s="597">
        <f>IFERROR(F71/F75,0)</f>
        <v>1002.2779043280182</v>
      </c>
      <c r="AA75" s="602">
        <f>IFERROR($AB$1/(F75/100)*(F71/100),"")</f>
        <v>526195.89977220958</v>
      </c>
      <c r="AB75" s="431">
        <f>IFERROR((AA75/(F71/100))*(F75/100),"")</f>
        <v>525</v>
      </c>
      <c r="AC75"/>
    </row>
    <row r="76" spans="1:29" ht="12.75" customHeight="1">
      <c r="A76" s="478" t="s">
        <v>549</v>
      </c>
      <c r="B76" s="394">
        <v>1410261</v>
      </c>
      <c r="C76" s="330">
        <v>147.25</v>
      </c>
      <c r="D76" s="416">
        <v>148.79900000000001</v>
      </c>
      <c r="E76" s="394">
        <v>1085390</v>
      </c>
      <c r="F76" s="524">
        <v>147.251</v>
      </c>
      <c r="G76" s="347">
        <v>-4.99E-2</v>
      </c>
      <c r="H76" s="346">
        <v>153</v>
      </c>
      <c r="I76" s="338">
        <v>153</v>
      </c>
      <c r="J76" s="338">
        <v>144</v>
      </c>
      <c r="K76" s="437">
        <v>155</v>
      </c>
      <c r="L76" s="406">
        <v>24102036045</v>
      </c>
      <c r="M76" s="342">
        <v>16218542425</v>
      </c>
      <c r="N76" s="445">
        <v>5428</v>
      </c>
      <c r="O76" s="540">
        <v>45267.687557870369</v>
      </c>
      <c r="P76" s="558">
        <v>75</v>
      </c>
      <c r="Q76" s="443">
        <v>0</v>
      </c>
      <c r="R76" s="500">
        <v>0</v>
      </c>
      <c r="S76" s="510">
        <v>0</v>
      </c>
      <c r="T76" s="387">
        <v>0</v>
      </c>
      <c r="U76" s="471">
        <v>0</v>
      </c>
      <c r="V76" s="628">
        <v>0</v>
      </c>
      <c r="W76" s="632" t="str">
        <f t="shared" si="3"/>
        <v/>
      </c>
      <c r="X76" s="632">
        <v>0</v>
      </c>
      <c r="Y76" s="576">
        <f>($C77*(1-$V$1))-$D76</f>
        <v>5.0999999999987722E-2</v>
      </c>
      <c r="Z76" s="592">
        <f>($F76/100*$X$1)-($F77/100*$W$1)+($F77/100*$W$1*($AE$1*$AD$1))</f>
        <v>-7.6927397260274019E-3</v>
      </c>
      <c r="AA76" s="660" t="str">
        <f>MID($A76,1,5)</f>
        <v>X18E4</v>
      </c>
      <c r="AB76" s="38"/>
      <c r="AC76"/>
    </row>
    <row r="77" spans="1:29" ht="12.75" customHeight="1">
      <c r="A77" s="476" t="s">
        <v>550</v>
      </c>
      <c r="B77" s="354">
        <v>335908</v>
      </c>
      <c r="C77" s="356">
        <v>148.85</v>
      </c>
      <c r="D77" s="356">
        <v>149</v>
      </c>
      <c r="E77" s="354">
        <v>148221598</v>
      </c>
      <c r="F77" s="357">
        <v>149</v>
      </c>
      <c r="G77" s="334">
        <v>-2.6099999999999998E-2</v>
      </c>
      <c r="H77" s="345">
        <v>153</v>
      </c>
      <c r="I77" s="336">
        <v>153</v>
      </c>
      <c r="J77" s="336">
        <v>146.11000000000001</v>
      </c>
      <c r="K77" s="433">
        <v>153</v>
      </c>
      <c r="L77" s="343">
        <v>3327865416</v>
      </c>
      <c r="M77" s="340">
        <v>2218700347</v>
      </c>
      <c r="N77" s="343">
        <v>2110</v>
      </c>
      <c r="O77" s="541">
        <v>45267.708599537036</v>
      </c>
      <c r="P77" s="557">
        <v>76</v>
      </c>
      <c r="Q77" s="440">
        <v>0</v>
      </c>
      <c r="R77" s="501">
        <v>0</v>
      </c>
      <c r="S77" s="507">
        <v>0</v>
      </c>
      <c r="T77" s="386">
        <v>0</v>
      </c>
      <c r="U77" s="472">
        <v>0</v>
      </c>
      <c r="V77" s="629">
        <v>0</v>
      </c>
      <c r="W77" s="633" t="str">
        <f t="shared" si="3"/>
        <v/>
      </c>
      <c r="X77" s="633">
        <v>0</v>
      </c>
      <c r="Y77" s="530">
        <f>IFERROR((($C77-$D76)/100)/$D76*100,0)</f>
        <v>3.427442388724905E-4</v>
      </c>
      <c r="Z77" s="593">
        <f>$F77/100*$W$1*($AE$1*$AD$1)</f>
        <v>9.7972602739726036E-3</v>
      </c>
      <c r="AA77" s="661"/>
      <c r="AB77" s="38"/>
      <c r="AC77"/>
    </row>
    <row r="78" spans="1:29" ht="12.75" customHeight="1">
      <c r="A78" s="374" t="s">
        <v>551</v>
      </c>
      <c r="B78" s="361">
        <v>250000000</v>
      </c>
      <c r="C78" s="362">
        <v>0.14699999999999999</v>
      </c>
      <c r="D78" s="362">
        <v>0.153</v>
      </c>
      <c r="E78" s="361">
        <v>196651086</v>
      </c>
      <c r="F78" s="363">
        <v>0.152</v>
      </c>
      <c r="G78" s="364">
        <v>-0.10580000000000001</v>
      </c>
      <c r="H78" s="365">
        <v>0.16600000000000001</v>
      </c>
      <c r="I78" s="337">
        <v>0.16600000000000001</v>
      </c>
      <c r="J78" s="337">
        <v>0.15</v>
      </c>
      <c r="K78" s="438">
        <v>0.17</v>
      </c>
      <c r="L78" s="391">
        <v>10932273</v>
      </c>
      <c r="M78" s="341">
        <v>6943523821</v>
      </c>
      <c r="N78" s="391">
        <v>1839</v>
      </c>
      <c r="O78" s="543">
        <v>45267.687662037039</v>
      </c>
      <c r="P78" s="558">
        <v>77</v>
      </c>
      <c r="Q78" s="441">
        <v>0</v>
      </c>
      <c r="R78" s="503">
        <v>0</v>
      </c>
      <c r="S78" s="512">
        <v>0</v>
      </c>
      <c r="T78" s="385">
        <v>0</v>
      </c>
      <c r="U78" s="471">
        <v>0</v>
      </c>
      <c r="V78" s="631">
        <v>0</v>
      </c>
      <c r="W78" s="632" t="str">
        <f t="shared" si="3"/>
        <v/>
      </c>
      <c r="X78" s="634">
        <v>0</v>
      </c>
      <c r="Y78" s="514">
        <f>($F79*(1-$V$1))-$F78</f>
        <v>8.0000000000000071E-3</v>
      </c>
      <c r="Z78" s="594">
        <f>IFERROR(F76/F78,0)</f>
        <v>968.75657894736844</v>
      </c>
      <c r="AA78" s="600">
        <f>IFERROR($AB$1/(F78/100)*(F76/100),"")</f>
        <v>508597.20394736843</v>
      </c>
      <c r="AB78" s="431">
        <f>IFERROR((AA78/(F76/100))*(F78/100),"")</f>
        <v>525</v>
      </c>
      <c r="AC78"/>
    </row>
    <row r="79" spans="1:29" ht="12.75" customHeight="1">
      <c r="A79" s="570" t="s">
        <v>552</v>
      </c>
      <c r="B79" s="353">
        <v>100</v>
      </c>
      <c r="C79" s="355">
        <v>0.1</v>
      </c>
      <c r="D79" s="355">
        <v>0.161</v>
      </c>
      <c r="E79" s="353">
        <v>4110704</v>
      </c>
      <c r="F79" s="357">
        <v>0.16</v>
      </c>
      <c r="G79" s="334"/>
      <c r="H79" s="345">
        <v>0.16</v>
      </c>
      <c r="I79" s="336">
        <v>0.16</v>
      </c>
      <c r="J79" s="336">
        <v>0.16</v>
      </c>
      <c r="K79" s="433"/>
      <c r="L79" s="343">
        <v>926</v>
      </c>
      <c r="M79" s="340">
        <v>578500</v>
      </c>
      <c r="N79" s="343">
        <v>2</v>
      </c>
      <c r="O79" s="541">
        <v>45267.688761574071</v>
      </c>
      <c r="P79" s="557">
        <v>78</v>
      </c>
      <c r="Q79" s="440">
        <v>0</v>
      </c>
      <c r="R79" s="501">
        <v>0</v>
      </c>
      <c r="S79" s="507">
        <v>0</v>
      </c>
      <c r="T79" s="386">
        <v>0</v>
      </c>
      <c r="U79" s="472">
        <v>0</v>
      </c>
      <c r="V79" s="630">
        <v>0</v>
      </c>
      <c r="W79" s="633" t="str">
        <f t="shared" si="3"/>
        <v/>
      </c>
      <c r="X79" s="633">
        <v>0</v>
      </c>
      <c r="Y79" s="528">
        <f>IFERROR((($F79-$F78)/100)/$F78*100,0)</f>
        <v>5.2631578947368474E-2</v>
      </c>
      <c r="Z79" s="595">
        <f>IFERROR(F77/F79,0)</f>
        <v>931.25</v>
      </c>
      <c r="AA79" s="601">
        <f>IFERROR($AB$1/(F79/100)*(F77/100),"")</f>
        <v>488906.25</v>
      </c>
      <c r="AB79" s="431">
        <f>IFERROR((AA79/(F77/100))*(F79/100),"")</f>
        <v>525</v>
      </c>
    </row>
    <row r="80" spans="1:29" ht="12.75" customHeight="1">
      <c r="A80" s="374" t="s">
        <v>553</v>
      </c>
      <c r="B80" s="366">
        <v>71428</v>
      </c>
      <c r="C80" s="362">
        <v>0.14000000000000001</v>
      </c>
      <c r="D80" s="362">
        <v>0.153</v>
      </c>
      <c r="E80" s="366">
        <v>123740316</v>
      </c>
      <c r="F80" s="363">
        <v>0.153</v>
      </c>
      <c r="G80" s="364">
        <v>-6.7000000000000004E-2</v>
      </c>
      <c r="H80" s="365">
        <v>0.161</v>
      </c>
      <c r="I80" s="337">
        <v>0.16400000000000001</v>
      </c>
      <c r="J80" s="337">
        <v>0.14799999999999999</v>
      </c>
      <c r="K80" s="438">
        <v>0.16400000000000001</v>
      </c>
      <c r="L80" s="391">
        <v>18634468</v>
      </c>
      <c r="M80" s="341">
        <v>11717576664</v>
      </c>
      <c r="N80" s="391">
        <v>2294</v>
      </c>
      <c r="O80" s="543">
        <v>45267.6878125</v>
      </c>
      <c r="P80" s="558">
        <v>79</v>
      </c>
      <c r="Q80" s="441">
        <v>0</v>
      </c>
      <c r="R80" s="503">
        <v>0</v>
      </c>
      <c r="S80" s="512">
        <v>0</v>
      </c>
      <c r="T80" s="385">
        <v>0</v>
      </c>
      <c r="U80" s="471">
        <v>0</v>
      </c>
      <c r="V80" s="623">
        <v>0</v>
      </c>
      <c r="W80" s="632" t="str">
        <f t="shared" si="3"/>
        <v/>
      </c>
      <c r="X80" s="634">
        <v>0</v>
      </c>
      <c r="Y80" s="515">
        <f>($F81*(1-$V$1))-$F80</f>
        <v>3.0000000000000027E-3</v>
      </c>
      <c r="Z80" s="596">
        <f>IFERROR(F76/F80,0)</f>
        <v>962.42483660130722</v>
      </c>
      <c r="AA80" s="600">
        <f>IFERROR($AB$1/(F80/100)*(F76/100),"")</f>
        <v>505273.03921568627</v>
      </c>
      <c r="AB80" s="431">
        <f>IFERROR((AA80/(F76/100))*(F80/100),"")</f>
        <v>525</v>
      </c>
      <c r="AC80" s="11"/>
    </row>
    <row r="81" spans="1:29" ht="12.75" customHeight="1">
      <c r="A81" s="479" t="s">
        <v>554</v>
      </c>
      <c r="B81" s="422">
        <v>2000000</v>
      </c>
      <c r="C81" s="423">
        <v>0.14699999999999999</v>
      </c>
      <c r="D81" s="423">
        <v>0.157</v>
      </c>
      <c r="E81" s="422">
        <v>65657</v>
      </c>
      <c r="F81" s="417">
        <v>0.156</v>
      </c>
      <c r="G81" s="407">
        <v>-5.45E-2</v>
      </c>
      <c r="H81" s="408">
        <v>0.16800000000000001</v>
      </c>
      <c r="I81" s="409">
        <v>0.17</v>
      </c>
      <c r="J81" s="409">
        <v>0.14899999999999999</v>
      </c>
      <c r="K81" s="434">
        <v>0.16500000000000001</v>
      </c>
      <c r="L81" s="414">
        <v>13578</v>
      </c>
      <c r="M81" s="410">
        <v>8757042</v>
      </c>
      <c r="N81" s="414">
        <v>52</v>
      </c>
      <c r="O81" s="544">
        <v>45267.702013888891</v>
      </c>
      <c r="P81" s="557">
        <v>80</v>
      </c>
      <c r="Q81" s="442">
        <v>0</v>
      </c>
      <c r="R81" s="505">
        <v>0</v>
      </c>
      <c r="S81" s="513">
        <v>0</v>
      </c>
      <c r="T81" s="415">
        <v>0</v>
      </c>
      <c r="U81" s="472">
        <v>0</v>
      </c>
      <c r="V81" s="473">
        <v>0</v>
      </c>
      <c r="W81" s="636" t="str">
        <f t="shared" si="3"/>
        <v/>
      </c>
      <c r="X81" s="635">
        <v>0</v>
      </c>
      <c r="Y81" s="527">
        <f>IFERROR((($F81-$F80)/100)/$F80*100,0)</f>
        <v>1.9607843137254919E-2</v>
      </c>
      <c r="Z81" s="597">
        <f>IFERROR(F77/F81,0)</f>
        <v>955.12820512820508</v>
      </c>
      <c r="AA81" s="602">
        <f>IFERROR($AB$1/(F81/100)*(F77/100),"")</f>
        <v>501442.30769230775</v>
      </c>
      <c r="AB81" s="431">
        <f>IFERROR((AA81/(F77/100))*(F81/100),"")</f>
        <v>525</v>
      </c>
      <c r="AC81" s="11"/>
    </row>
    <row r="82" spans="1:29" ht="12.75" customHeight="1">
      <c r="A82" s="478" t="s">
        <v>543</v>
      </c>
      <c r="B82" s="394">
        <v>684</v>
      </c>
      <c r="C82" s="330">
        <v>39899</v>
      </c>
      <c r="D82" s="416">
        <v>40000</v>
      </c>
      <c r="E82" s="394">
        <v>43377</v>
      </c>
      <c r="F82" s="524">
        <v>39899</v>
      </c>
      <c r="G82" s="347">
        <v>5.0999999999999997E-2</v>
      </c>
      <c r="H82" s="346">
        <v>38874.5</v>
      </c>
      <c r="I82" s="338">
        <v>40980</v>
      </c>
      <c r="J82" s="338">
        <v>37427</v>
      </c>
      <c r="K82" s="437">
        <v>37960</v>
      </c>
      <c r="L82" s="406">
        <v>35015806</v>
      </c>
      <c r="M82" s="342">
        <v>90415</v>
      </c>
      <c r="N82" s="406">
        <v>212</v>
      </c>
      <c r="O82" s="540">
        <v>45267.687662037039</v>
      </c>
      <c r="P82" s="558">
        <v>81</v>
      </c>
      <c r="Q82" s="443">
        <v>0</v>
      </c>
      <c r="R82" s="500">
        <v>0</v>
      </c>
      <c r="S82" s="510">
        <v>0</v>
      </c>
      <c r="T82" s="387">
        <v>0</v>
      </c>
      <c r="U82" s="471">
        <v>0</v>
      </c>
      <c r="V82" s="628">
        <v>0</v>
      </c>
      <c r="W82" s="632" t="str">
        <f t="shared" si="3"/>
        <v/>
      </c>
      <c r="X82" s="632">
        <v>0</v>
      </c>
      <c r="Y82" s="576">
        <f>($C83*(1-$V$1))-$D82</f>
        <v>-249</v>
      </c>
      <c r="Z82" s="592">
        <f>($F82/100*$X$1)-($F83/100*$W$1)+($F83/100*$W$1*($AE$1*$AD$1))</f>
        <v>1.8684931506849409</v>
      </c>
      <c r="AA82" s="660" t="str">
        <f>MID($A82,1,5)</f>
        <v>BA37D</v>
      </c>
      <c r="AB82" s="38"/>
      <c r="AC82" s="11"/>
    </row>
    <row r="83" spans="1:29" ht="12.75" customHeight="1">
      <c r="A83" s="476" t="s">
        <v>544</v>
      </c>
      <c r="B83" s="354">
        <v>101</v>
      </c>
      <c r="C83" s="356">
        <v>39751</v>
      </c>
      <c r="D83" s="356">
        <v>39975</v>
      </c>
      <c r="E83" s="354">
        <v>385983</v>
      </c>
      <c r="F83" s="357">
        <v>39975</v>
      </c>
      <c r="G83" s="334">
        <v>5.4699999999999999E-2</v>
      </c>
      <c r="H83" s="345">
        <v>37900</v>
      </c>
      <c r="I83" s="336">
        <v>42010</v>
      </c>
      <c r="J83" s="336">
        <v>37601</v>
      </c>
      <c r="K83" s="433">
        <v>37900</v>
      </c>
      <c r="L83" s="343">
        <v>427421085</v>
      </c>
      <c r="M83" s="340">
        <v>1098396</v>
      </c>
      <c r="N83" s="343">
        <v>736</v>
      </c>
      <c r="O83" s="541">
        <v>45267.708344907405</v>
      </c>
      <c r="P83" s="557">
        <v>82</v>
      </c>
      <c r="Q83" s="440">
        <v>0</v>
      </c>
      <c r="R83" s="501">
        <v>0</v>
      </c>
      <c r="S83" s="507">
        <v>0</v>
      </c>
      <c r="T83" s="386">
        <v>0</v>
      </c>
      <c r="U83" s="472">
        <v>0</v>
      </c>
      <c r="V83" s="629">
        <v>0</v>
      </c>
      <c r="W83" s="633" t="str">
        <f t="shared" si="3"/>
        <v/>
      </c>
      <c r="X83" s="633">
        <v>0</v>
      </c>
      <c r="Y83" s="530">
        <f>IFERROR((($C83-$D82)/100)/$D82*100,0)</f>
        <v>-6.2250000000000005E-3</v>
      </c>
      <c r="Z83" s="593">
        <f>$F83/100*$W$1*($AE$1*$AD$1)</f>
        <v>2.6284931506849318</v>
      </c>
      <c r="AA83" s="661"/>
      <c r="AB83" s="38"/>
      <c r="AC83" s="11"/>
    </row>
    <row r="84" spans="1:29" ht="12.75" customHeight="1">
      <c r="A84" s="373" t="s">
        <v>545</v>
      </c>
      <c r="B84" s="361">
        <v>3570</v>
      </c>
      <c r="C84" s="362">
        <v>41.8</v>
      </c>
      <c r="D84" s="362"/>
      <c r="E84" s="361"/>
      <c r="F84" s="363">
        <v>41.8</v>
      </c>
      <c r="G84" s="364">
        <v>2.4500000000000001E-2</v>
      </c>
      <c r="H84" s="365">
        <v>41.8</v>
      </c>
      <c r="I84" s="337">
        <v>41.8</v>
      </c>
      <c r="J84" s="337">
        <v>41.8</v>
      </c>
      <c r="K84" s="438">
        <v>40.799999999999997</v>
      </c>
      <c r="L84" s="391">
        <v>1492</v>
      </c>
      <c r="M84" s="341">
        <v>3570</v>
      </c>
      <c r="N84" s="391">
        <v>1</v>
      </c>
      <c r="O84" s="543">
        <v>45267.617152777777</v>
      </c>
      <c r="P84" s="558">
        <v>83</v>
      </c>
      <c r="Q84" s="441">
        <v>0</v>
      </c>
      <c r="R84" s="503">
        <v>0</v>
      </c>
      <c r="S84" s="512">
        <v>0</v>
      </c>
      <c r="T84" s="385">
        <v>0</v>
      </c>
      <c r="U84" s="471">
        <v>0</v>
      </c>
      <c r="V84" s="631">
        <v>0</v>
      </c>
      <c r="W84" s="632" t="str">
        <f t="shared" si="3"/>
        <v/>
      </c>
      <c r="X84" s="634">
        <v>0</v>
      </c>
      <c r="Y84" s="514">
        <f>($F85*(1-$V$1))-$F84</f>
        <v>-41.8</v>
      </c>
      <c r="Z84" s="594">
        <f>IFERROR(F82/F84,0)</f>
        <v>954.52153110047857</v>
      </c>
      <c r="AA84" s="600">
        <f>IFERROR($AB$1/(F84/100)*(F82/100),"")</f>
        <v>501123.80382775125</v>
      </c>
      <c r="AB84" s="431">
        <f>IFERROR((AA84/(F82/100))*(F84/100),"")</f>
        <v>525</v>
      </c>
      <c r="AC84" s="11"/>
    </row>
    <row r="85" spans="1:29" ht="12.75" customHeight="1">
      <c r="A85" s="570" t="s">
        <v>546</v>
      </c>
      <c r="B85" s="353"/>
      <c r="C85" s="355"/>
      <c r="D85" s="355"/>
      <c r="E85" s="353"/>
      <c r="F85" s="357"/>
      <c r="G85" s="334"/>
      <c r="H85" s="345"/>
      <c r="I85" s="336"/>
      <c r="J85" s="336"/>
      <c r="K85" s="433">
        <v>36.005000000000003</v>
      </c>
      <c r="L85" s="343"/>
      <c r="M85" s="340"/>
      <c r="N85" s="343"/>
      <c r="O85" s="541"/>
      <c r="P85" s="557">
        <v>84</v>
      </c>
      <c r="Q85" s="440">
        <v>0</v>
      </c>
      <c r="R85" s="501">
        <v>0</v>
      </c>
      <c r="S85" s="507">
        <v>0</v>
      </c>
      <c r="T85" s="386">
        <v>0</v>
      </c>
      <c r="U85" s="472">
        <v>0</v>
      </c>
      <c r="V85" s="630">
        <v>0</v>
      </c>
      <c r="W85" s="633" t="str">
        <f t="shared" si="3"/>
        <v/>
      </c>
      <c r="X85" s="633">
        <v>0</v>
      </c>
      <c r="Y85" s="528">
        <f>IFERROR((($F85-$F84)/100)/$F84*100,0)</f>
        <v>-1</v>
      </c>
      <c r="Z85" s="595">
        <f>IFERROR(F83/F85,0)</f>
        <v>0</v>
      </c>
      <c r="AA85" s="601" t="str">
        <f>IFERROR($AB$1/(F85/100)*(F83/100),"")</f>
        <v/>
      </c>
      <c r="AB85" s="431" t="str">
        <f>IFERROR((AA85/(F83/100))*(F85/100),"")</f>
        <v/>
      </c>
      <c r="AC85" s="11"/>
    </row>
    <row r="86" spans="1:29" ht="12.75" customHeight="1">
      <c r="A86" s="373" t="s">
        <v>547</v>
      </c>
      <c r="B86" s="366">
        <v>48</v>
      </c>
      <c r="C86" s="362">
        <v>40</v>
      </c>
      <c r="D86" s="362">
        <v>42.9</v>
      </c>
      <c r="E86" s="366">
        <v>487</v>
      </c>
      <c r="F86" s="363">
        <v>42.9</v>
      </c>
      <c r="G86" s="364">
        <v>9.3999999999999986E-3</v>
      </c>
      <c r="H86" s="365">
        <v>40</v>
      </c>
      <c r="I86" s="337">
        <v>42.9</v>
      </c>
      <c r="J86" s="337">
        <v>40</v>
      </c>
      <c r="K86" s="438">
        <v>42.5</v>
      </c>
      <c r="L86" s="391">
        <v>24</v>
      </c>
      <c r="M86" s="341">
        <v>60</v>
      </c>
      <c r="N86" s="391">
        <v>2</v>
      </c>
      <c r="O86" s="543">
        <v>45267.661840277775</v>
      </c>
      <c r="P86" s="558">
        <v>85</v>
      </c>
      <c r="Q86" s="441">
        <v>0</v>
      </c>
      <c r="R86" s="503">
        <v>0</v>
      </c>
      <c r="S86" s="512">
        <v>0</v>
      </c>
      <c r="T86" s="385">
        <v>0</v>
      </c>
      <c r="U86" s="471">
        <v>0</v>
      </c>
      <c r="V86" s="623">
        <v>0</v>
      </c>
      <c r="W86" s="632" t="str">
        <f t="shared" si="3"/>
        <v/>
      </c>
      <c r="X86" s="634">
        <v>0</v>
      </c>
      <c r="Y86" s="515">
        <f>($F87*(1-$V$1))-$F86</f>
        <v>-1.3999999999999986</v>
      </c>
      <c r="Z86" s="596">
        <f>IFERROR(F82/F86,0)</f>
        <v>930.04662004662009</v>
      </c>
      <c r="AA86" s="600">
        <f>IFERROR($AB$1/(F86/100)*(F82/100),"")</f>
        <v>488274.47552447557</v>
      </c>
      <c r="AB86" s="431">
        <f>IFERROR((AA86/(F82/100))*(F86/100),"")</f>
        <v>525</v>
      </c>
      <c r="AC86" s="11"/>
    </row>
    <row r="87" spans="1:29" ht="12.75" customHeight="1">
      <c r="A87" s="479" t="s">
        <v>548</v>
      </c>
      <c r="B87" s="422">
        <v>300</v>
      </c>
      <c r="C87" s="423">
        <v>41.1</v>
      </c>
      <c r="D87" s="423">
        <v>41.95</v>
      </c>
      <c r="E87" s="422">
        <v>76</v>
      </c>
      <c r="F87" s="417">
        <v>41.5</v>
      </c>
      <c r="G87" s="407">
        <v>1.21E-2</v>
      </c>
      <c r="H87" s="408">
        <v>41</v>
      </c>
      <c r="I87" s="409">
        <v>42</v>
      </c>
      <c r="J87" s="409">
        <v>40.200000000000003</v>
      </c>
      <c r="K87" s="434">
        <v>41</v>
      </c>
      <c r="L87" s="414">
        <v>16889</v>
      </c>
      <c r="M87" s="410">
        <v>40914</v>
      </c>
      <c r="N87" s="414">
        <v>56</v>
      </c>
      <c r="O87" s="544">
        <v>45267.703275462962</v>
      </c>
      <c r="P87" s="557">
        <v>86</v>
      </c>
      <c r="Q87" s="442">
        <v>0</v>
      </c>
      <c r="R87" s="505">
        <v>0</v>
      </c>
      <c r="S87" s="513">
        <v>0</v>
      </c>
      <c r="T87" s="415">
        <v>0</v>
      </c>
      <c r="U87" s="472">
        <v>0</v>
      </c>
      <c r="V87" s="473">
        <v>0</v>
      </c>
      <c r="W87" s="636" t="str">
        <f t="shared" si="3"/>
        <v/>
      </c>
      <c r="X87" s="635">
        <v>0</v>
      </c>
      <c r="Y87" s="527">
        <f>IFERROR((($F87-$F86)/100)/$F86*100,0)</f>
        <v>-3.2634032634032605E-2</v>
      </c>
      <c r="Z87" s="597">
        <f>IFERROR(F83/F87,0)</f>
        <v>963.25301204819277</v>
      </c>
      <c r="AA87" s="602">
        <f>IFERROR($AB$1/(F87/100)*(F83/100),"")</f>
        <v>505707.8313253012</v>
      </c>
      <c r="AB87" s="431">
        <f>IFERROR((AA87/(F83/100))*(F87/100),"")</f>
        <v>525</v>
      </c>
    </row>
    <row r="88" spans="1:29" ht="12.75" customHeight="1">
      <c r="A88" s="478" t="s">
        <v>594</v>
      </c>
      <c r="B88" s="394">
        <v>5521</v>
      </c>
      <c r="C88" s="330">
        <v>36150</v>
      </c>
      <c r="D88" s="416">
        <v>36550</v>
      </c>
      <c r="E88" s="394">
        <v>500</v>
      </c>
      <c r="F88" s="524">
        <v>36499</v>
      </c>
      <c r="G88" s="347">
        <v>7.3399999999999993E-2</v>
      </c>
      <c r="H88" s="346">
        <v>34300.5</v>
      </c>
      <c r="I88" s="338">
        <v>37199</v>
      </c>
      <c r="J88" s="338">
        <v>34001</v>
      </c>
      <c r="K88" s="437">
        <v>34001</v>
      </c>
      <c r="L88" s="406">
        <v>650787787</v>
      </c>
      <c r="M88" s="342">
        <v>1866321</v>
      </c>
      <c r="N88" s="406">
        <v>1198</v>
      </c>
      <c r="O88" s="540">
        <v>45267.6875462963</v>
      </c>
      <c r="P88" s="558">
        <v>87</v>
      </c>
      <c r="Q88" s="443">
        <v>0</v>
      </c>
      <c r="R88" s="500">
        <v>0</v>
      </c>
      <c r="S88" s="510">
        <v>0</v>
      </c>
      <c r="T88" s="387">
        <v>0</v>
      </c>
      <c r="U88" s="471">
        <v>0</v>
      </c>
      <c r="V88" s="628">
        <v>0</v>
      </c>
      <c r="W88" s="632" t="str">
        <f t="shared" si="3"/>
        <v/>
      </c>
      <c r="X88" s="632">
        <v>0</v>
      </c>
      <c r="Y88" s="576">
        <f>($C89*(1-$V$1))-$D88</f>
        <v>-249</v>
      </c>
      <c r="Z88" s="592">
        <f>($F88/100*$X$1)-($F89/100*$W$1)+($F89/100*$W$1*($AE$1*$AD$1))</f>
        <v>4.366915068493169</v>
      </c>
      <c r="AA88" s="660" t="str">
        <f>MID($A88,1,5)</f>
        <v xml:space="preserve">AE38 </v>
      </c>
    </row>
    <row r="89" spans="1:29" ht="12.75" customHeight="1">
      <c r="A89" s="476" t="s">
        <v>183</v>
      </c>
      <c r="B89" s="354">
        <v>10984</v>
      </c>
      <c r="C89" s="356">
        <v>36301</v>
      </c>
      <c r="D89" s="356">
        <v>36400</v>
      </c>
      <c r="E89" s="354">
        <v>200000</v>
      </c>
      <c r="F89" s="357">
        <v>36301</v>
      </c>
      <c r="G89" s="334">
        <v>5.8299999999999998E-2</v>
      </c>
      <c r="H89" s="345">
        <v>35000</v>
      </c>
      <c r="I89" s="336">
        <v>37000</v>
      </c>
      <c r="J89" s="336">
        <v>34000</v>
      </c>
      <c r="K89" s="433">
        <v>34300</v>
      </c>
      <c r="L89" s="343">
        <v>5020672507</v>
      </c>
      <c r="M89" s="340">
        <v>14121553</v>
      </c>
      <c r="N89" s="343">
        <v>2873</v>
      </c>
      <c r="O89" s="541">
        <v>45267.708344907405</v>
      </c>
      <c r="P89" s="557">
        <v>88</v>
      </c>
      <c r="Q89" s="440">
        <v>0</v>
      </c>
      <c r="R89" s="501">
        <v>0</v>
      </c>
      <c r="S89" s="507">
        <v>0</v>
      </c>
      <c r="T89" s="386">
        <v>0</v>
      </c>
      <c r="U89" s="472">
        <v>0</v>
      </c>
      <c r="V89" s="629">
        <v>0</v>
      </c>
      <c r="W89" s="633" t="str">
        <f t="shared" si="3"/>
        <v/>
      </c>
      <c r="X89" s="633">
        <v>0</v>
      </c>
      <c r="Y89" s="530">
        <f>IFERROR((($C89-$D88)/100)/$D88*100,0)</f>
        <v>-6.8125854993160056E-3</v>
      </c>
      <c r="Z89" s="593">
        <f>$F89/100*$W$1*($AE$1*$AD$1)</f>
        <v>2.3869150684931508</v>
      </c>
      <c r="AA89" s="661"/>
    </row>
    <row r="90" spans="1:29" ht="12.75" customHeight="1">
      <c r="A90" s="373" t="s">
        <v>595</v>
      </c>
      <c r="B90" s="361"/>
      <c r="C90" s="362"/>
      <c r="D90" s="362"/>
      <c r="E90" s="361"/>
      <c r="F90" s="363"/>
      <c r="G90" s="364"/>
      <c r="H90" s="365"/>
      <c r="I90" s="337"/>
      <c r="J90" s="337"/>
      <c r="K90" s="438">
        <v>33</v>
      </c>
      <c r="L90" s="391"/>
      <c r="M90" s="341"/>
      <c r="N90" s="391"/>
      <c r="O90" s="543"/>
      <c r="P90" s="558">
        <v>89</v>
      </c>
      <c r="Q90" s="441">
        <v>0</v>
      </c>
      <c r="R90" s="503">
        <v>0</v>
      </c>
      <c r="S90" s="512">
        <v>0</v>
      </c>
      <c r="T90" s="385">
        <v>0</v>
      </c>
      <c r="U90" s="471">
        <v>0</v>
      </c>
      <c r="V90" s="631">
        <v>0</v>
      </c>
      <c r="W90" s="632" t="str">
        <f t="shared" si="3"/>
        <v/>
      </c>
      <c r="X90" s="634">
        <v>0</v>
      </c>
      <c r="Y90" s="514">
        <f>($F91*(1-$V$1))-$F90</f>
        <v>0</v>
      </c>
      <c r="Z90" s="594">
        <f>IFERROR(F88/F90,0)</f>
        <v>0</v>
      </c>
      <c r="AA90" s="600" t="str">
        <f>IFERROR($AB$1/(F90/100)*(F88/100),"")</f>
        <v/>
      </c>
      <c r="AB90" s="431" t="str">
        <f>IFERROR((AA90/(F88/100))*(F90/100),"")</f>
        <v/>
      </c>
    </row>
    <row r="91" spans="1:29" ht="12.75" customHeight="1">
      <c r="A91" s="570" t="s">
        <v>230</v>
      </c>
      <c r="B91" s="353"/>
      <c r="C91" s="355"/>
      <c r="D91" s="355"/>
      <c r="E91" s="353"/>
      <c r="F91" s="357"/>
      <c r="G91" s="334"/>
      <c r="H91" s="345"/>
      <c r="I91" s="336"/>
      <c r="J91" s="336"/>
      <c r="K91" s="433">
        <v>35</v>
      </c>
      <c r="L91" s="343"/>
      <c r="M91" s="340"/>
      <c r="N91" s="343"/>
      <c r="O91" s="541"/>
      <c r="P91" s="557">
        <v>90</v>
      </c>
      <c r="Q91" s="440">
        <v>0</v>
      </c>
      <c r="R91" s="501">
        <v>0</v>
      </c>
      <c r="S91" s="507">
        <v>0</v>
      </c>
      <c r="T91" s="386">
        <v>0</v>
      </c>
      <c r="U91" s="472">
        <v>0</v>
      </c>
      <c r="V91" s="630">
        <v>0</v>
      </c>
      <c r="W91" s="633" t="str">
        <f t="shared" si="3"/>
        <v/>
      </c>
      <c r="X91" s="633">
        <v>0</v>
      </c>
      <c r="Y91" s="528">
        <f>IFERROR((($F91-$F90)/100)/$F90*100,0)</f>
        <v>0</v>
      </c>
      <c r="Z91" s="595">
        <f>IFERROR(F89/F91,0)</f>
        <v>0</v>
      </c>
      <c r="AA91" s="601" t="str">
        <f>IFERROR($AB$1/(F91/100)*(F89/100),"")</f>
        <v/>
      </c>
      <c r="AB91" s="431" t="str">
        <f>IFERROR((AA91/(F89/100))*(F91/100),"")</f>
        <v/>
      </c>
    </row>
    <row r="92" spans="1:29" ht="12.75" customHeight="1">
      <c r="A92" s="373" t="s">
        <v>596</v>
      </c>
      <c r="B92" s="366">
        <v>566</v>
      </c>
      <c r="C92" s="362">
        <v>37.31</v>
      </c>
      <c r="D92" s="362">
        <v>37.6</v>
      </c>
      <c r="E92" s="366">
        <v>1959</v>
      </c>
      <c r="F92" s="363">
        <v>37.6</v>
      </c>
      <c r="G92" s="364">
        <v>3.2000000000000002E-3</v>
      </c>
      <c r="H92" s="365">
        <v>36.5</v>
      </c>
      <c r="I92" s="337">
        <v>38</v>
      </c>
      <c r="J92" s="337">
        <v>36.5</v>
      </c>
      <c r="K92" s="438">
        <v>37.479999999999997</v>
      </c>
      <c r="L92" s="391">
        <v>69667</v>
      </c>
      <c r="M92" s="341">
        <v>185917</v>
      </c>
      <c r="N92" s="391">
        <v>72</v>
      </c>
      <c r="O92" s="543">
        <v>45267.6875</v>
      </c>
      <c r="P92" s="558">
        <v>91</v>
      </c>
      <c r="Q92" s="441">
        <v>0</v>
      </c>
      <c r="R92" s="503">
        <v>0</v>
      </c>
      <c r="S92" s="512">
        <v>0</v>
      </c>
      <c r="T92" s="385">
        <v>0</v>
      </c>
      <c r="U92" s="471">
        <v>0</v>
      </c>
      <c r="V92" s="623">
        <v>0</v>
      </c>
      <c r="W92" s="632" t="str">
        <f t="shared" si="3"/>
        <v/>
      </c>
      <c r="X92" s="634">
        <v>0</v>
      </c>
      <c r="Y92" s="515">
        <f>($F93*(1-$V$1))-$F92</f>
        <v>-0.5</v>
      </c>
      <c r="Z92" s="596">
        <f>IFERROR(F88/F92,0)</f>
        <v>970.71808510638289</v>
      </c>
      <c r="AA92" s="600">
        <f>IFERROR($AB$1/(F92/100)*(F88/100),"")</f>
        <v>509626.99468085112</v>
      </c>
      <c r="AB92" s="431">
        <f>IFERROR((AA92/(F88/100))*(F92/100),"")</f>
        <v>525</v>
      </c>
    </row>
    <row r="93" spans="1:29" ht="12.75" customHeight="1">
      <c r="A93" s="479" t="s">
        <v>231</v>
      </c>
      <c r="B93" s="422">
        <v>22134</v>
      </c>
      <c r="C93" s="423">
        <v>37.049999999999997</v>
      </c>
      <c r="D93" s="423">
        <v>37.1</v>
      </c>
      <c r="E93" s="422">
        <v>200</v>
      </c>
      <c r="F93" s="417">
        <v>37.1</v>
      </c>
      <c r="G93" s="407">
        <v>5.6000000000000008E-3</v>
      </c>
      <c r="H93" s="408">
        <v>37.1</v>
      </c>
      <c r="I93" s="409">
        <v>37.9</v>
      </c>
      <c r="J93" s="409">
        <v>37</v>
      </c>
      <c r="K93" s="434">
        <v>37.1</v>
      </c>
      <c r="L93" s="414">
        <v>350338</v>
      </c>
      <c r="M93" s="410">
        <v>933418</v>
      </c>
      <c r="N93" s="414">
        <v>407</v>
      </c>
      <c r="O93" s="544">
        <v>45267.708611111113</v>
      </c>
      <c r="P93" s="557">
        <v>92</v>
      </c>
      <c r="Q93" s="442">
        <v>0</v>
      </c>
      <c r="R93" s="505">
        <v>0</v>
      </c>
      <c r="S93" s="513">
        <v>0</v>
      </c>
      <c r="T93" s="415">
        <v>0</v>
      </c>
      <c r="U93" s="472">
        <v>0</v>
      </c>
      <c r="V93" s="473">
        <v>0</v>
      </c>
      <c r="W93" s="636" t="str">
        <f t="shared" si="3"/>
        <v/>
      </c>
      <c r="X93" s="635">
        <v>0</v>
      </c>
      <c r="Y93" s="527">
        <f>IFERROR((($F93-$F92)/100)/$F92*100,0)</f>
        <v>-1.3297872340425532E-2</v>
      </c>
      <c r="Z93" s="597">
        <f>IFERROR(F89/F93,0)</f>
        <v>978.46361185983824</v>
      </c>
      <c r="AA93" s="602">
        <f>IFERROR($AB$1/(F93/100)*(F89/100),"")</f>
        <v>513693.39622641506</v>
      </c>
      <c r="AB93" s="431">
        <f>IFERROR((AA93/(F89/100))*(F93/100),"")</f>
        <v>525</v>
      </c>
    </row>
    <row r="94" spans="1:29" ht="12.75" customHeight="1">
      <c r="A94" s="478" t="s">
        <v>588</v>
      </c>
      <c r="B94" s="394">
        <v>1</v>
      </c>
      <c r="C94" s="330">
        <v>37000</v>
      </c>
      <c r="D94" s="416">
        <v>37490</v>
      </c>
      <c r="E94" s="394">
        <v>2716</v>
      </c>
      <c r="F94" s="524">
        <v>37490</v>
      </c>
      <c r="G94" s="347">
        <v>8.6599999999999996E-2</v>
      </c>
      <c r="H94" s="346">
        <v>35000</v>
      </c>
      <c r="I94" s="338">
        <v>37603</v>
      </c>
      <c r="J94" s="338">
        <v>34000</v>
      </c>
      <c r="K94" s="437">
        <v>34500</v>
      </c>
      <c r="L94" s="406">
        <v>124211268</v>
      </c>
      <c r="M94" s="342">
        <v>349439</v>
      </c>
      <c r="N94" s="406">
        <v>499</v>
      </c>
      <c r="O94" s="540">
        <v>45267.687592592592</v>
      </c>
      <c r="P94" s="558">
        <v>93</v>
      </c>
      <c r="Q94" s="443">
        <v>0</v>
      </c>
      <c r="R94" s="500">
        <v>0</v>
      </c>
      <c r="S94" s="510">
        <v>0</v>
      </c>
      <c r="T94" s="387">
        <v>0</v>
      </c>
      <c r="U94" s="471">
        <v>0</v>
      </c>
      <c r="V94" s="628">
        <v>0</v>
      </c>
      <c r="W94" s="632" t="str">
        <f t="shared" si="3"/>
        <v/>
      </c>
      <c r="X94" s="632">
        <v>0</v>
      </c>
      <c r="Y94" s="576">
        <f>($C95*(1-$V$1))-$D94</f>
        <v>-440</v>
      </c>
      <c r="Z94" s="592">
        <f>($F94/100*$X$1)-($F95/100*$W$1)+($F95/100*$W$1*($AE$1*$AD$1))</f>
        <v>5.842739726027375</v>
      </c>
      <c r="AA94" s="660" t="str">
        <f>MID($A94,1,5)</f>
        <v xml:space="preserve">AL29 </v>
      </c>
    </row>
    <row r="95" spans="1:29" ht="12.75" customHeight="1">
      <c r="A95" s="476" t="s">
        <v>186</v>
      </c>
      <c r="B95" s="354">
        <v>2</v>
      </c>
      <c r="C95" s="356">
        <v>37050</v>
      </c>
      <c r="D95" s="356">
        <v>37150</v>
      </c>
      <c r="E95" s="354">
        <v>3136</v>
      </c>
      <c r="F95" s="357">
        <v>37150</v>
      </c>
      <c r="G95" s="334">
        <v>6.1399999999999996E-2</v>
      </c>
      <c r="H95" s="345">
        <v>35800</v>
      </c>
      <c r="I95" s="336">
        <v>37799.5</v>
      </c>
      <c r="J95" s="336">
        <v>34300.5</v>
      </c>
      <c r="K95" s="433">
        <v>35000</v>
      </c>
      <c r="L95" s="343">
        <v>650569363</v>
      </c>
      <c r="M95" s="340">
        <v>1795917</v>
      </c>
      <c r="N95" s="343">
        <v>1104</v>
      </c>
      <c r="O95" s="541">
        <v>45267.708668981482</v>
      </c>
      <c r="P95" s="557">
        <v>94</v>
      </c>
      <c r="Q95" s="440">
        <v>0</v>
      </c>
      <c r="R95" s="501">
        <v>0</v>
      </c>
      <c r="S95" s="507">
        <v>0</v>
      </c>
      <c r="T95" s="386">
        <v>0</v>
      </c>
      <c r="U95" s="472">
        <v>0</v>
      </c>
      <c r="V95" s="629">
        <v>0</v>
      </c>
      <c r="W95" s="633" t="str">
        <f t="shared" si="3"/>
        <v/>
      </c>
      <c r="X95" s="633">
        <v>0</v>
      </c>
      <c r="Y95" s="530">
        <f>IFERROR((($C95-$D94)/100)/$D94*100,0)</f>
        <v>-1.1736463056815151E-2</v>
      </c>
      <c r="Z95" s="593">
        <f>$F95/100*$W$1*($AE$1*$AD$1)</f>
        <v>2.4427397260273973</v>
      </c>
      <c r="AA95" s="661"/>
    </row>
    <row r="96" spans="1:29" ht="12.75" customHeight="1">
      <c r="A96" s="373" t="s">
        <v>589</v>
      </c>
      <c r="B96" s="361"/>
      <c r="C96" s="362"/>
      <c r="D96" s="362"/>
      <c r="E96" s="361"/>
      <c r="F96" s="363"/>
      <c r="G96" s="364"/>
      <c r="H96" s="365"/>
      <c r="I96" s="337"/>
      <c r="J96" s="337"/>
      <c r="K96" s="438">
        <v>22.5</v>
      </c>
      <c r="L96" s="391"/>
      <c r="M96" s="341"/>
      <c r="N96" s="391"/>
      <c r="O96" s="543"/>
      <c r="P96" s="558">
        <v>95</v>
      </c>
      <c r="Q96" s="441">
        <v>0</v>
      </c>
      <c r="R96" s="503">
        <v>0</v>
      </c>
      <c r="S96" s="512">
        <v>0</v>
      </c>
      <c r="T96" s="385">
        <v>0</v>
      </c>
      <c r="U96" s="471">
        <v>0</v>
      </c>
      <c r="V96" s="631">
        <v>0</v>
      </c>
      <c r="W96" s="632" t="str">
        <f t="shared" si="3"/>
        <v/>
      </c>
      <c r="X96" s="634">
        <v>0</v>
      </c>
      <c r="Y96" s="514">
        <f>($F97*(1-$V$1))-$F96</f>
        <v>0</v>
      </c>
      <c r="Z96" s="594">
        <f>IFERROR(F94/F96,0)</f>
        <v>0</v>
      </c>
      <c r="AA96" s="600" t="str">
        <f>IFERROR($AB$1/(F96/100)*(F94/100),"")</f>
        <v/>
      </c>
      <c r="AB96" s="431" t="str">
        <f>IFERROR((AA96/(F94/100))*(F96/100),"")</f>
        <v/>
      </c>
    </row>
    <row r="97" spans="1:28" ht="12.75" customHeight="1">
      <c r="A97" s="570" t="s">
        <v>238</v>
      </c>
      <c r="B97" s="353"/>
      <c r="C97" s="355"/>
      <c r="D97" s="355"/>
      <c r="E97" s="353"/>
      <c r="F97" s="357"/>
      <c r="G97" s="334"/>
      <c r="H97" s="345"/>
      <c r="I97" s="336"/>
      <c r="J97" s="336"/>
      <c r="K97" s="433">
        <v>27.25</v>
      </c>
      <c r="L97" s="343"/>
      <c r="M97" s="340"/>
      <c r="N97" s="343"/>
      <c r="O97" s="541"/>
      <c r="P97" s="557">
        <v>96</v>
      </c>
      <c r="Q97" s="440">
        <v>0</v>
      </c>
      <c r="R97" s="501">
        <v>0</v>
      </c>
      <c r="S97" s="507">
        <v>0</v>
      </c>
      <c r="T97" s="386">
        <v>0</v>
      </c>
      <c r="U97" s="472">
        <v>0</v>
      </c>
      <c r="V97" s="630">
        <v>0</v>
      </c>
      <c r="W97" s="633" t="str">
        <f t="shared" si="3"/>
        <v/>
      </c>
      <c r="X97" s="633">
        <v>0</v>
      </c>
      <c r="Y97" s="528">
        <f>IFERROR((($F97-$F96)/100)/$F96*100,0)</f>
        <v>0</v>
      </c>
      <c r="Z97" s="595">
        <f>IFERROR(F95/F97,0)</f>
        <v>0</v>
      </c>
      <c r="AA97" s="601" t="str">
        <f>IFERROR($AB$1/(F97/100)*(F95/100),"")</f>
        <v/>
      </c>
      <c r="AB97" s="431" t="str">
        <f>IFERROR((AA97/(F95/100))*(F97/100),"")</f>
        <v/>
      </c>
    </row>
    <row r="98" spans="1:28" ht="12.75" customHeight="1">
      <c r="A98" s="373" t="s">
        <v>590</v>
      </c>
      <c r="B98" s="366">
        <v>17137</v>
      </c>
      <c r="C98" s="362">
        <v>37.31</v>
      </c>
      <c r="D98" s="362">
        <v>38</v>
      </c>
      <c r="E98" s="366">
        <v>771</v>
      </c>
      <c r="F98" s="363">
        <v>38.42</v>
      </c>
      <c r="G98" s="364">
        <v>4.1100000000000005E-2</v>
      </c>
      <c r="H98" s="365">
        <v>36.9</v>
      </c>
      <c r="I98" s="337">
        <v>38.42</v>
      </c>
      <c r="J98" s="337">
        <v>36.5</v>
      </c>
      <c r="K98" s="438">
        <v>36.9</v>
      </c>
      <c r="L98" s="391">
        <v>38164</v>
      </c>
      <c r="M98" s="341">
        <v>103170</v>
      </c>
      <c r="N98" s="391">
        <v>61</v>
      </c>
      <c r="O98" s="543">
        <v>45267.684664351851</v>
      </c>
      <c r="P98" s="558">
        <v>97</v>
      </c>
      <c r="Q98" s="441">
        <v>0</v>
      </c>
      <c r="R98" s="503">
        <v>0</v>
      </c>
      <c r="S98" s="512">
        <v>0</v>
      </c>
      <c r="T98" s="385">
        <v>0</v>
      </c>
      <c r="U98" s="471">
        <v>0</v>
      </c>
      <c r="V98" s="623">
        <v>0</v>
      </c>
      <c r="W98" s="632" t="str">
        <f t="shared" si="3"/>
        <v/>
      </c>
      <c r="X98" s="634">
        <v>0</v>
      </c>
      <c r="Y98" s="515">
        <f>($F99*(1-$V$1))-$F98</f>
        <v>-1.0500000000000043</v>
      </c>
      <c r="Z98" s="596">
        <f>IFERROR(F94/F98,0)</f>
        <v>975.7938573659552</v>
      </c>
      <c r="AA98" s="600">
        <f>IFERROR($AB$1/(F98/100)*(F94/100),"")</f>
        <v>512291.77511712635</v>
      </c>
      <c r="AB98" s="431">
        <f>IFERROR((AA98/(F94/100))*(F98/100),"")</f>
        <v>525</v>
      </c>
    </row>
    <row r="99" spans="1:28" ht="12.75" customHeight="1">
      <c r="A99" s="479" t="s">
        <v>239</v>
      </c>
      <c r="B99" s="422">
        <v>300</v>
      </c>
      <c r="C99" s="423">
        <v>36.520000000000003</v>
      </c>
      <c r="D99" s="423">
        <v>37.369999999999997</v>
      </c>
      <c r="E99" s="422">
        <v>3591</v>
      </c>
      <c r="F99" s="417">
        <v>37.369999999999997</v>
      </c>
      <c r="G99" s="407">
        <v>1.2699999999999999E-2</v>
      </c>
      <c r="H99" s="408">
        <v>36.909999999999997</v>
      </c>
      <c r="I99" s="409">
        <v>38.39</v>
      </c>
      <c r="J99" s="409">
        <v>36.36</v>
      </c>
      <c r="K99" s="434">
        <v>36.9</v>
      </c>
      <c r="L99" s="414">
        <v>137413</v>
      </c>
      <c r="M99" s="410">
        <v>366230</v>
      </c>
      <c r="N99" s="414">
        <v>213</v>
      </c>
      <c r="O99" s="544">
        <v>45267.708425925928</v>
      </c>
      <c r="P99" s="557">
        <v>98</v>
      </c>
      <c r="Q99" s="442">
        <v>0</v>
      </c>
      <c r="R99" s="505">
        <v>0</v>
      </c>
      <c r="S99" s="513">
        <v>0</v>
      </c>
      <c r="T99" s="415">
        <v>0</v>
      </c>
      <c r="U99" s="472">
        <v>0</v>
      </c>
      <c r="V99" s="473">
        <v>0</v>
      </c>
      <c r="W99" s="636" t="str">
        <f t="shared" si="3"/>
        <v/>
      </c>
      <c r="X99" s="635">
        <v>0</v>
      </c>
      <c r="Y99" s="527">
        <f>IFERROR((($F99-$F98)/100)/$F98*100,0)</f>
        <v>-2.7329515877147426E-2</v>
      </c>
      <c r="Z99" s="597">
        <f>IFERROR(F95/F99,0)</f>
        <v>994.11292480599423</v>
      </c>
      <c r="AA99" s="602">
        <f>IFERROR($AB$1/(F99/100)*(F95/100),"")</f>
        <v>521909.28552314697</v>
      </c>
      <c r="AB99" s="431">
        <f>IFERROR((AA99/(F95/100))*(F99/100),"")</f>
        <v>525</v>
      </c>
    </row>
    <row r="100" spans="1:28" ht="12.75" customHeight="1">
      <c r="A100" s="478" t="s">
        <v>591</v>
      </c>
      <c r="B100" s="394">
        <v>5</v>
      </c>
      <c r="C100" s="330">
        <v>33205</v>
      </c>
      <c r="D100" s="416">
        <v>33500</v>
      </c>
      <c r="E100" s="394">
        <v>1000</v>
      </c>
      <c r="F100" s="524">
        <v>33480</v>
      </c>
      <c r="G100" s="347">
        <v>6.6500000000000004E-2</v>
      </c>
      <c r="H100" s="346">
        <v>31700</v>
      </c>
      <c r="I100" s="338">
        <v>35000.5</v>
      </c>
      <c r="J100" s="338">
        <v>31212.5</v>
      </c>
      <c r="K100" s="437">
        <v>31390</v>
      </c>
      <c r="L100" s="406">
        <v>303501605</v>
      </c>
      <c r="M100" s="342">
        <v>946714</v>
      </c>
      <c r="N100" s="406">
        <v>913</v>
      </c>
      <c r="O100" s="540">
        <v>45267.687754629631</v>
      </c>
      <c r="P100" s="558">
        <v>99</v>
      </c>
      <c r="Q100" s="443">
        <v>0</v>
      </c>
      <c r="R100" s="500">
        <v>0</v>
      </c>
      <c r="S100" s="510">
        <v>0</v>
      </c>
      <c r="T100" s="387">
        <v>0</v>
      </c>
      <c r="U100" s="471">
        <v>0</v>
      </c>
      <c r="V100" s="628">
        <v>0</v>
      </c>
      <c r="W100" s="632" t="str">
        <f t="shared" si="3"/>
        <v/>
      </c>
      <c r="X100" s="632">
        <v>0</v>
      </c>
      <c r="Y100" s="576">
        <f>($C101*(1-$V$1))-$D100</f>
        <v>-200</v>
      </c>
      <c r="Z100" s="592">
        <f>($F100/100*$X$1)-($F101/100*$W$1)+($F101/100*$W$1*($AE$1*$AD$1))</f>
        <v>3.9895890410959018</v>
      </c>
      <c r="AA100" s="660" t="str">
        <f>MID($A100,1,5)</f>
        <v xml:space="preserve">AL35 </v>
      </c>
    </row>
    <row r="101" spans="1:28" ht="12.75" customHeight="1">
      <c r="A101" s="476" t="s">
        <v>184</v>
      </c>
      <c r="B101" s="354">
        <v>398448</v>
      </c>
      <c r="C101" s="356">
        <v>33300</v>
      </c>
      <c r="D101" s="356">
        <v>33400</v>
      </c>
      <c r="E101" s="354">
        <v>27076</v>
      </c>
      <c r="F101" s="357">
        <v>33300</v>
      </c>
      <c r="G101" s="334">
        <v>5.3699999999999998E-2</v>
      </c>
      <c r="H101" s="345">
        <v>31700</v>
      </c>
      <c r="I101" s="336">
        <v>33999</v>
      </c>
      <c r="J101" s="336">
        <v>31650</v>
      </c>
      <c r="K101" s="433">
        <v>31600</v>
      </c>
      <c r="L101" s="343">
        <v>3089498183</v>
      </c>
      <c r="M101" s="340">
        <v>9435615</v>
      </c>
      <c r="N101" s="343">
        <v>1857</v>
      </c>
      <c r="O101" s="541">
        <v>45267.708622685182</v>
      </c>
      <c r="P101" s="557">
        <v>100</v>
      </c>
      <c r="Q101" s="440">
        <v>0</v>
      </c>
      <c r="R101" s="501">
        <v>0</v>
      </c>
      <c r="S101" s="507">
        <v>0</v>
      </c>
      <c r="T101" s="386">
        <v>0</v>
      </c>
      <c r="U101" s="472">
        <v>0</v>
      </c>
      <c r="V101" s="629">
        <v>0</v>
      </c>
      <c r="W101" s="633" t="str">
        <f t="shared" si="3"/>
        <v/>
      </c>
      <c r="X101" s="633">
        <v>0</v>
      </c>
      <c r="Y101" s="530">
        <f>IFERROR((($C101-$D100)/100)/$D100*100,0)</f>
        <v>-5.9701492537313433E-3</v>
      </c>
      <c r="Z101" s="593">
        <f>$F101/100*$W$1*($AE$1*$AD$1)</f>
        <v>2.1895890410958905</v>
      </c>
      <c r="AA101" s="661"/>
    </row>
    <row r="102" spans="1:28" ht="12.75" customHeight="1">
      <c r="A102" s="373" t="s">
        <v>592</v>
      </c>
      <c r="B102" s="361"/>
      <c r="C102" s="362"/>
      <c r="D102" s="362"/>
      <c r="E102" s="361"/>
      <c r="F102" s="363"/>
      <c r="G102" s="364"/>
      <c r="H102" s="365"/>
      <c r="I102" s="337"/>
      <c r="J102" s="337"/>
      <c r="K102" s="438">
        <v>28.25</v>
      </c>
      <c r="L102" s="391"/>
      <c r="M102" s="341"/>
      <c r="N102" s="391"/>
      <c r="O102" s="543"/>
      <c r="P102" s="558">
        <v>101</v>
      </c>
      <c r="Q102" s="441">
        <v>0</v>
      </c>
      <c r="R102" s="503">
        <v>0</v>
      </c>
      <c r="S102" s="512">
        <v>0</v>
      </c>
      <c r="T102" s="385">
        <v>0</v>
      </c>
      <c r="U102" s="471">
        <v>0</v>
      </c>
      <c r="V102" s="631">
        <v>0</v>
      </c>
      <c r="W102" s="632" t="str">
        <f t="shared" si="3"/>
        <v/>
      </c>
      <c r="X102" s="634">
        <v>0</v>
      </c>
      <c r="Y102" s="514">
        <f>($F103*(1-$V$1))-$F102</f>
        <v>0</v>
      </c>
      <c r="Z102" s="594">
        <f>IFERROR(F100/F102,0)</f>
        <v>0</v>
      </c>
      <c r="AA102" s="600" t="str">
        <f>IFERROR($AB$1/(F102/100)*(F100/100),"")</f>
        <v/>
      </c>
      <c r="AB102" s="431" t="str">
        <f>IFERROR((AA102/(F100/100))*(F102/100),"")</f>
        <v/>
      </c>
    </row>
    <row r="103" spans="1:28" ht="12.75" customHeight="1">
      <c r="A103" s="570" t="s">
        <v>240</v>
      </c>
      <c r="B103" s="353">
        <v>60000</v>
      </c>
      <c r="C103" s="355">
        <v>34.5</v>
      </c>
      <c r="D103" s="355"/>
      <c r="E103" s="353"/>
      <c r="F103" s="357"/>
      <c r="G103" s="334"/>
      <c r="H103" s="345"/>
      <c r="I103" s="336"/>
      <c r="J103" s="336"/>
      <c r="K103" s="433">
        <v>25.5</v>
      </c>
      <c r="L103" s="343"/>
      <c r="M103" s="340"/>
      <c r="N103" s="343"/>
      <c r="O103" s="541"/>
      <c r="P103" s="557">
        <v>102</v>
      </c>
      <c r="Q103" s="440">
        <v>0</v>
      </c>
      <c r="R103" s="501">
        <v>0</v>
      </c>
      <c r="S103" s="507">
        <v>0</v>
      </c>
      <c r="T103" s="386">
        <v>0</v>
      </c>
      <c r="U103" s="472">
        <v>0</v>
      </c>
      <c r="V103" s="630">
        <v>0</v>
      </c>
      <c r="W103" s="633" t="str">
        <f t="shared" si="3"/>
        <v/>
      </c>
      <c r="X103" s="633">
        <v>0</v>
      </c>
      <c r="Y103" s="528">
        <f>IFERROR((($F103-$F102)/100)/$F102*100,0)</f>
        <v>0</v>
      </c>
      <c r="Z103" s="595">
        <f>IFERROR(F101/F103,0)</f>
        <v>0</v>
      </c>
      <c r="AA103" s="601" t="str">
        <f>IFERROR($AB$1/(F103/100)*(F101/100),"")</f>
        <v/>
      </c>
      <c r="AB103" s="431" t="str">
        <f>IFERROR((AA103/(F101/100))*(F103/100),"")</f>
        <v/>
      </c>
    </row>
    <row r="104" spans="1:28" ht="12.75" customHeight="1">
      <c r="A104" s="373" t="s">
        <v>593</v>
      </c>
      <c r="B104" s="366">
        <v>25190</v>
      </c>
      <c r="C104" s="362">
        <v>34.799999999999997</v>
      </c>
      <c r="D104" s="362">
        <v>35.200000000000003</v>
      </c>
      <c r="E104" s="366">
        <v>6300</v>
      </c>
      <c r="F104" s="363">
        <v>34.799999999999997</v>
      </c>
      <c r="G104" s="364">
        <v>3.2899999999999999E-2</v>
      </c>
      <c r="H104" s="365">
        <v>34.180999999999997</v>
      </c>
      <c r="I104" s="337">
        <v>36.99</v>
      </c>
      <c r="J104" s="337">
        <v>34.180999999999997</v>
      </c>
      <c r="K104" s="438">
        <v>33.69</v>
      </c>
      <c r="L104" s="391">
        <v>31374</v>
      </c>
      <c r="M104" s="341">
        <v>89136</v>
      </c>
      <c r="N104" s="391">
        <v>71</v>
      </c>
      <c r="O104" s="543">
        <v>45267.687835648147</v>
      </c>
      <c r="P104" s="558">
        <v>103</v>
      </c>
      <c r="Q104" s="441">
        <v>0</v>
      </c>
      <c r="R104" s="503">
        <v>0</v>
      </c>
      <c r="S104" s="512">
        <v>0</v>
      </c>
      <c r="T104" s="385">
        <v>0</v>
      </c>
      <c r="U104" s="471">
        <v>0</v>
      </c>
      <c r="V104" s="623">
        <v>0</v>
      </c>
      <c r="W104" s="632" t="str">
        <f t="shared" si="3"/>
        <v/>
      </c>
      <c r="X104" s="634">
        <v>0</v>
      </c>
      <c r="Y104" s="515">
        <f>($F105*(1-$V$1))-$F104</f>
        <v>0.20000000000000284</v>
      </c>
      <c r="Z104" s="596">
        <f>IFERROR(F100/F104,0)</f>
        <v>962.06896551724151</v>
      </c>
      <c r="AA104" s="600">
        <f>IFERROR($AB$1/(F104/100)*(F100/100),"")</f>
        <v>505086.20689655177</v>
      </c>
      <c r="AB104" s="431">
        <f>IFERROR((AA104/(F100/100))*(F104/100),"")</f>
        <v>525</v>
      </c>
    </row>
    <row r="105" spans="1:28" ht="12.75" customHeight="1">
      <c r="A105" s="479" t="s">
        <v>241</v>
      </c>
      <c r="B105" s="422">
        <v>10000</v>
      </c>
      <c r="C105" s="423">
        <v>35</v>
      </c>
      <c r="D105" s="423">
        <v>35.5</v>
      </c>
      <c r="E105" s="422">
        <v>1130</v>
      </c>
      <c r="F105" s="417">
        <v>35</v>
      </c>
      <c r="G105" s="407">
        <v>1.6799999999999999E-2</v>
      </c>
      <c r="H105" s="408">
        <v>34.5</v>
      </c>
      <c r="I105" s="409">
        <v>35.999000000000002</v>
      </c>
      <c r="J105" s="409">
        <v>33.96</v>
      </c>
      <c r="K105" s="434">
        <v>34.42</v>
      </c>
      <c r="L105" s="414">
        <v>242016</v>
      </c>
      <c r="M105" s="410">
        <v>689485</v>
      </c>
      <c r="N105" s="414">
        <v>265</v>
      </c>
      <c r="O105" s="544">
        <v>45267.705543981479</v>
      </c>
      <c r="P105" s="557">
        <v>104</v>
      </c>
      <c r="Q105" s="442">
        <v>0</v>
      </c>
      <c r="R105" s="505">
        <v>0</v>
      </c>
      <c r="S105" s="513">
        <v>0</v>
      </c>
      <c r="T105" s="415">
        <v>0</v>
      </c>
      <c r="U105" s="472">
        <v>0</v>
      </c>
      <c r="V105" s="473">
        <v>0</v>
      </c>
      <c r="W105" s="636" t="str">
        <f t="shared" si="3"/>
        <v/>
      </c>
      <c r="X105" s="635">
        <v>0</v>
      </c>
      <c r="Y105" s="527">
        <f>IFERROR((($F105-$F104)/100)/$F104*100,0)</f>
        <v>5.7471264367816906E-3</v>
      </c>
      <c r="Z105" s="597">
        <f>IFERROR(F101/F105,0)</f>
        <v>951.42857142857144</v>
      </c>
      <c r="AA105" s="602">
        <f>IFERROR($AB$1/(F105/100)*(F101/100),"")</f>
        <v>499500</v>
      </c>
      <c r="AB105" s="431">
        <f>IFERROR((AA105/(F101/100))*(F105/100),"")</f>
        <v>525</v>
      </c>
    </row>
    <row r="106" spans="1:28" ht="12.75" customHeight="1">
      <c r="A106" s="478" t="s">
        <v>597</v>
      </c>
      <c r="B106" s="394">
        <v>304</v>
      </c>
      <c r="C106" s="330">
        <v>33100</v>
      </c>
      <c r="D106" s="416">
        <v>35000</v>
      </c>
      <c r="E106" s="394">
        <v>322</v>
      </c>
      <c r="F106" s="524">
        <v>33670.5</v>
      </c>
      <c r="G106" s="347">
        <v>4.7800000000000002E-2</v>
      </c>
      <c r="H106" s="346">
        <v>32950</v>
      </c>
      <c r="I106" s="338">
        <v>34500</v>
      </c>
      <c r="J106" s="338">
        <v>32023</v>
      </c>
      <c r="K106" s="437">
        <v>32134</v>
      </c>
      <c r="L106" s="406">
        <v>40269896</v>
      </c>
      <c r="M106" s="342">
        <v>122463</v>
      </c>
      <c r="N106" s="406">
        <v>246</v>
      </c>
      <c r="O106" s="540">
        <v>45267.684247685182</v>
      </c>
      <c r="P106" s="558">
        <v>105</v>
      </c>
      <c r="Q106" s="443">
        <v>0</v>
      </c>
      <c r="R106" s="500">
        <v>0</v>
      </c>
      <c r="S106" s="510">
        <v>0</v>
      </c>
      <c r="T106" s="387">
        <v>0</v>
      </c>
      <c r="U106" s="471">
        <v>0</v>
      </c>
      <c r="V106" s="628">
        <v>0</v>
      </c>
      <c r="W106" s="632" t="str">
        <f t="shared" si="3"/>
        <v/>
      </c>
      <c r="X106" s="632">
        <v>0</v>
      </c>
      <c r="Y106" s="576">
        <f>($C107*(1-$V$1))-$D106</f>
        <v>-995</v>
      </c>
      <c r="Z106" s="592">
        <f>($F106/100*$X$1)-($F107/100*$W$1)+($F107/100*$W$1*($AE$1*$AD$1))</f>
        <v>-1.0742849315068517</v>
      </c>
      <c r="AA106" s="660" t="str">
        <f>MID($A106,1,5)</f>
        <v xml:space="preserve">AL41 </v>
      </c>
    </row>
    <row r="107" spans="1:28" ht="12.75" customHeight="1">
      <c r="A107" s="476" t="s">
        <v>185</v>
      </c>
      <c r="B107" s="354">
        <v>4500</v>
      </c>
      <c r="C107" s="356">
        <v>34005</v>
      </c>
      <c r="D107" s="356">
        <v>34179</v>
      </c>
      <c r="E107" s="354">
        <v>131</v>
      </c>
      <c r="F107" s="357">
        <v>34001.5</v>
      </c>
      <c r="G107" s="334">
        <v>6.25E-2</v>
      </c>
      <c r="H107" s="345">
        <v>32950</v>
      </c>
      <c r="I107" s="336">
        <v>34679</v>
      </c>
      <c r="J107" s="336">
        <v>32000.5</v>
      </c>
      <c r="K107" s="433">
        <v>32000</v>
      </c>
      <c r="L107" s="343">
        <v>127631042</v>
      </c>
      <c r="M107" s="340">
        <v>388925</v>
      </c>
      <c r="N107" s="343">
        <v>609</v>
      </c>
      <c r="O107" s="541">
        <v>45267.704918981479</v>
      </c>
      <c r="P107" s="557">
        <v>106</v>
      </c>
      <c r="Q107" s="440">
        <v>0</v>
      </c>
      <c r="R107" s="501">
        <v>0</v>
      </c>
      <c r="S107" s="507">
        <v>0</v>
      </c>
      <c r="T107" s="386">
        <v>0</v>
      </c>
      <c r="U107" s="472">
        <v>0</v>
      </c>
      <c r="V107" s="629">
        <v>0</v>
      </c>
      <c r="W107" s="633" t="str">
        <f t="shared" si="3"/>
        <v/>
      </c>
      <c r="X107" s="633">
        <v>0</v>
      </c>
      <c r="Y107" s="530">
        <f>IFERROR((($C107-$D106)/100)/$D106*100,0)</f>
        <v>-2.8428571428571425E-2</v>
      </c>
      <c r="Z107" s="593">
        <f>$F107/100*$W$1*($AE$1*$AD$1)</f>
        <v>2.2357150684931506</v>
      </c>
      <c r="AA107" s="661"/>
    </row>
    <row r="108" spans="1:28" ht="12.75" customHeight="1">
      <c r="A108" s="373" t="s">
        <v>598</v>
      </c>
      <c r="B108" s="361"/>
      <c r="C108" s="362"/>
      <c r="D108" s="362"/>
      <c r="E108" s="361"/>
      <c r="F108" s="363"/>
      <c r="G108" s="364"/>
      <c r="H108" s="365"/>
      <c r="I108" s="337"/>
      <c r="J108" s="337"/>
      <c r="K108" s="438">
        <v>24.97</v>
      </c>
      <c r="L108" s="391"/>
      <c r="M108" s="341"/>
      <c r="N108" s="391"/>
      <c r="O108" s="543"/>
      <c r="P108" s="558">
        <v>107</v>
      </c>
      <c r="Q108" s="441">
        <v>0</v>
      </c>
      <c r="R108" s="503">
        <v>0</v>
      </c>
      <c r="S108" s="512">
        <v>0</v>
      </c>
      <c r="T108" s="385">
        <v>0</v>
      </c>
      <c r="U108" s="471">
        <v>0</v>
      </c>
      <c r="V108" s="631">
        <v>0</v>
      </c>
      <c r="W108" s="632" t="str">
        <f t="shared" si="3"/>
        <v/>
      </c>
      <c r="X108" s="634">
        <v>0</v>
      </c>
      <c r="Y108" s="514">
        <f>($F109*(1-$V$1))-$F108</f>
        <v>0</v>
      </c>
      <c r="Z108" s="594">
        <f>IFERROR(F106/F108,0)</f>
        <v>0</v>
      </c>
      <c r="AA108" s="600" t="str">
        <f>IFERROR($AB$1/(F108/100)*(F106/100),"")</f>
        <v/>
      </c>
      <c r="AB108" s="431" t="str">
        <f>IFERROR((AA108/(F106/100))*(F108/100),"")</f>
        <v/>
      </c>
    </row>
    <row r="109" spans="1:28" ht="12.75" customHeight="1">
      <c r="A109" s="570" t="s">
        <v>242</v>
      </c>
      <c r="B109" s="353"/>
      <c r="C109" s="355"/>
      <c r="D109" s="355"/>
      <c r="E109" s="353"/>
      <c r="F109" s="357"/>
      <c r="G109" s="334"/>
      <c r="H109" s="345"/>
      <c r="I109" s="336"/>
      <c r="J109" s="336"/>
      <c r="K109" s="433">
        <v>27.75</v>
      </c>
      <c r="L109" s="343"/>
      <c r="M109" s="340"/>
      <c r="N109" s="343"/>
      <c r="O109" s="541"/>
      <c r="P109" s="557">
        <v>108</v>
      </c>
      <c r="Q109" s="440">
        <v>0</v>
      </c>
      <c r="R109" s="501">
        <v>0</v>
      </c>
      <c r="S109" s="507">
        <v>0</v>
      </c>
      <c r="T109" s="386">
        <v>0</v>
      </c>
      <c r="U109" s="472">
        <v>0</v>
      </c>
      <c r="V109" s="630">
        <v>0</v>
      </c>
      <c r="W109" s="633" t="str">
        <f t="shared" si="3"/>
        <v/>
      </c>
      <c r="X109" s="633">
        <v>0</v>
      </c>
      <c r="Y109" s="528">
        <f>IFERROR((($F109-$F108)/100)/$F108*100,0)</f>
        <v>0</v>
      </c>
      <c r="Z109" s="595">
        <f>IFERROR(F107/F109,0)</f>
        <v>0</v>
      </c>
      <c r="AA109" s="601" t="str">
        <f>IFERROR($AB$1/(F109/100)*(F107/100),"")</f>
        <v/>
      </c>
      <c r="AB109" s="431" t="str">
        <f>IFERROR((AA109/(F107/100))*(F109/100),"")</f>
        <v/>
      </c>
    </row>
    <row r="110" spans="1:28" ht="12.75" customHeight="1">
      <c r="A110" s="373" t="s">
        <v>599</v>
      </c>
      <c r="B110" s="366">
        <v>100000</v>
      </c>
      <c r="C110" s="362">
        <v>32.5</v>
      </c>
      <c r="D110" s="362">
        <v>36</v>
      </c>
      <c r="E110" s="366">
        <v>1</v>
      </c>
      <c r="F110" s="363">
        <v>33.15</v>
      </c>
      <c r="G110" s="364">
        <v>-2.8399999999999998E-2</v>
      </c>
      <c r="H110" s="365">
        <v>34.119999999999997</v>
      </c>
      <c r="I110" s="337">
        <v>36</v>
      </c>
      <c r="J110" s="337">
        <v>33.15</v>
      </c>
      <c r="K110" s="438">
        <v>34.119999999999997</v>
      </c>
      <c r="L110" s="391">
        <v>29644</v>
      </c>
      <c r="M110" s="341">
        <v>87250</v>
      </c>
      <c r="N110" s="391">
        <v>59</v>
      </c>
      <c r="O110" s="543">
        <v>45267.683611111112</v>
      </c>
      <c r="P110" s="558">
        <v>109</v>
      </c>
      <c r="Q110" s="441">
        <v>0</v>
      </c>
      <c r="R110" s="503">
        <v>0</v>
      </c>
      <c r="S110" s="512">
        <v>0</v>
      </c>
      <c r="T110" s="385">
        <v>0</v>
      </c>
      <c r="U110" s="471">
        <v>0</v>
      </c>
      <c r="V110" s="623">
        <v>0</v>
      </c>
      <c r="W110" s="632" t="str">
        <f t="shared" si="3"/>
        <v/>
      </c>
      <c r="X110" s="634">
        <v>0</v>
      </c>
      <c r="Y110" s="515">
        <f>($F111*(1-$V$1))-$F110</f>
        <v>0.85000000000000142</v>
      </c>
      <c r="Z110" s="596">
        <f>IFERROR(F106/F110,0)</f>
        <v>1015.7013574660634</v>
      </c>
      <c r="AA110" s="600">
        <f>IFERROR($AB$1/(F110/100)*(F106/100),"")</f>
        <v>533243.21266968327</v>
      </c>
      <c r="AB110" s="431">
        <f>IFERROR((AA110/(F106/100))*(F110/100),"")</f>
        <v>524.99999999999989</v>
      </c>
    </row>
    <row r="111" spans="1:28" ht="12.75" customHeight="1">
      <c r="A111" s="479" t="s">
        <v>243</v>
      </c>
      <c r="B111" s="422">
        <v>2001</v>
      </c>
      <c r="C111" s="423">
        <v>33.25</v>
      </c>
      <c r="D111" s="423">
        <v>34</v>
      </c>
      <c r="E111" s="422">
        <v>5773</v>
      </c>
      <c r="F111" s="417">
        <v>34</v>
      </c>
      <c r="G111" s="407">
        <v>1.18E-2</v>
      </c>
      <c r="H111" s="408">
        <v>34.1</v>
      </c>
      <c r="I111" s="409">
        <v>36.74</v>
      </c>
      <c r="J111" s="409">
        <v>32.299999999999997</v>
      </c>
      <c r="K111" s="434">
        <v>33.600999999999999</v>
      </c>
      <c r="L111" s="414">
        <v>86598</v>
      </c>
      <c r="M111" s="410">
        <v>250517</v>
      </c>
      <c r="N111" s="414">
        <v>136</v>
      </c>
      <c r="O111" s="545">
        <v>45267.708449074074</v>
      </c>
      <c r="P111" s="557">
        <v>110</v>
      </c>
      <c r="Q111" s="442">
        <v>0</v>
      </c>
      <c r="R111" s="505">
        <v>0</v>
      </c>
      <c r="S111" s="513">
        <v>0</v>
      </c>
      <c r="T111" s="415">
        <v>0</v>
      </c>
      <c r="U111" s="472">
        <v>0</v>
      </c>
      <c r="V111" s="473">
        <v>0</v>
      </c>
      <c r="W111" s="636" t="str">
        <f t="shared" si="3"/>
        <v/>
      </c>
      <c r="X111" s="635">
        <v>0</v>
      </c>
      <c r="Y111" s="527">
        <f>IFERROR((($F111-$F110)/100)/$F110*100,0)</f>
        <v>2.5641025641025685E-2</v>
      </c>
      <c r="Z111" s="597">
        <f>IFERROR(F107/F111,0)</f>
        <v>1000.0441176470588</v>
      </c>
      <c r="AA111" s="602">
        <f>IFERROR($AB$1/(F111/100)*(F107/100),"")</f>
        <v>525023.16176470579</v>
      </c>
      <c r="AB111" s="431">
        <f>IFERROR((AA111/(F107/100))*(F111/100),"")</f>
        <v>525</v>
      </c>
    </row>
    <row r="112" spans="1:28" ht="12.75" customHeight="1">
      <c r="A112" s="478" t="s">
        <v>600</v>
      </c>
      <c r="B112" s="394">
        <v>8000</v>
      </c>
      <c r="C112" s="330">
        <v>38700</v>
      </c>
      <c r="D112" s="416">
        <v>39500</v>
      </c>
      <c r="E112" s="394">
        <v>113</v>
      </c>
      <c r="F112" s="524">
        <v>39500</v>
      </c>
      <c r="G112" s="347">
        <v>6.4600000000000005E-2</v>
      </c>
      <c r="H112" s="346">
        <v>37400</v>
      </c>
      <c r="I112" s="338">
        <v>39500</v>
      </c>
      <c r="J112" s="338">
        <v>37200</v>
      </c>
      <c r="K112" s="437">
        <v>37100</v>
      </c>
      <c r="L112" s="406">
        <v>27134226</v>
      </c>
      <c r="M112" s="342">
        <v>71413</v>
      </c>
      <c r="N112" s="445">
        <v>142</v>
      </c>
      <c r="O112" s="546">
        <v>45267.684560185182</v>
      </c>
      <c r="P112" s="558">
        <v>111</v>
      </c>
      <c r="Q112" s="443">
        <v>0</v>
      </c>
      <c r="R112" s="500">
        <v>0</v>
      </c>
      <c r="S112" s="510">
        <v>0</v>
      </c>
      <c r="T112" s="387">
        <v>0</v>
      </c>
      <c r="U112" s="471">
        <v>0</v>
      </c>
      <c r="V112" s="628">
        <v>0</v>
      </c>
      <c r="W112" s="632" t="str">
        <f t="shared" si="3"/>
        <v/>
      </c>
      <c r="X112" s="632">
        <v>0</v>
      </c>
      <c r="Y112" s="576">
        <f>($C113*(1-$V$1))-$D112</f>
        <v>220</v>
      </c>
      <c r="Z112" s="592">
        <f>($F112/100*$X$1)-($F113/100*$W$1)+($F113/100*$W$1*($AE$1*$AD$1))</f>
        <v>-17.271232876712329</v>
      </c>
      <c r="AA112" s="660" t="str">
        <f>MID($A112,1,5)</f>
        <v xml:space="preserve">GD29 </v>
      </c>
    </row>
    <row r="113" spans="1:28" ht="12.75" customHeight="1">
      <c r="A113" s="476" t="s">
        <v>187</v>
      </c>
      <c r="B113" s="354">
        <v>39</v>
      </c>
      <c r="C113" s="356">
        <v>39720</v>
      </c>
      <c r="D113" s="356">
        <v>40500</v>
      </c>
      <c r="E113" s="354">
        <v>500</v>
      </c>
      <c r="F113" s="357">
        <v>41500</v>
      </c>
      <c r="G113" s="334">
        <v>0.1096</v>
      </c>
      <c r="H113" s="345">
        <v>38000</v>
      </c>
      <c r="I113" s="336">
        <v>41500</v>
      </c>
      <c r="J113" s="336">
        <v>36280</v>
      </c>
      <c r="K113" s="433">
        <v>37400</v>
      </c>
      <c r="L113" s="343">
        <v>90941515</v>
      </c>
      <c r="M113" s="340">
        <v>237157</v>
      </c>
      <c r="N113" s="343">
        <v>294</v>
      </c>
      <c r="O113" s="541">
        <v>45267.706099537034</v>
      </c>
      <c r="P113" s="557">
        <v>112</v>
      </c>
      <c r="Q113" s="440">
        <v>0</v>
      </c>
      <c r="R113" s="501">
        <v>0</v>
      </c>
      <c r="S113" s="507">
        <v>0</v>
      </c>
      <c r="T113" s="386">
        <v>0</v>
      </c>
      <c r="U113" s="472">
        <v>0</v>
      </c>
      <c r="V113" s="629">
        <v>0</v>
      </c>
      <c r="W113" s="633" t="str">
        <f t="shared" si="3"/>
        <v/>
      </c>
      <c r="X113" s="633">
        <v>0</v>
      </c>
      <c r="Y113" s="530">
        <f>IFERROR((($C113-$D112)/100)/$D112*100,0)</f>
        <v>5.569620253164557E-3</v>
      </c>
      <c r="Z113" s="593">
        <f>$F113/100*$W$1*($AE$1*$AD$1)</f>
        <v>2.7287671232876716</v>
      </c>
      <c r="AA113" s="661"/>
    </row>
    <row r="114" spans="1:28" ht="12.75" customHeight="1">
      <c r="A114" s="373" t="s">
        <v>601</v>
      </c>
      <c r="B114" s="361"/>
      <c r="C114" s="362"/>
      <c r="D114" s="362"/>
      <c r="E114" s="361"/>
      <c r="F114" s="363"/>
      <c r="G114" s="364"/>
      <c r="H114" s="365"/>
      <c r="I114" s="337"/>
      <c r="J114" s="337"/>
      <c r="K114" s="438">
        <v>23.8</v>
      </c>
      <c r="L114" s="391"/>
      <c r="M114" s="341"/>
      <c r="N114" s="391"/>
      <c r="O114" s="543"/>
      <c r="P114" s="558">
        <v>113</v>
      </c>
      <c r="Q114" s="441">
        <v>0</v>
      </c>
      <c r="R114" s="503">
        <v>0</v>
      </c>
      <c r="S114" s="512">
        <v>0</v>
      </c>
      <c r="T114" s="385">
        <v>0</v>
      </c>
      <c r="U114" s="471">
        <v>0</v>
      </c>
      <c r="V114" s="631">
        <v>0</v>
      </c>
      <c r="W114" s="632" t="str">
        <f t="shared" si="3"/>
        <v/>
      </c>
      <c r="X114" s="634">
        <v>0</v>
      </c>
      <c r="Y114" s="514">
        <f>($F115*(1-$V$1))-$F114</f>
        <v>0</v>
      </c>
      <c r="Z114" s="594">
        <f>IFERROR(F112/F114,0)</f>
        <v>0</v>
      </c>
      <c r="AA114" s="600" t="str">
        <f>IFERROR($AB$1/(F114/100)*(F112/100),"")</f>
        <v/>
      </c>
      <c r="AB114" s="431" t="str">
        <f>IFERROR((AA114/(F112/100))*(F114/100),"")</f>
        <v/>
      </c>
    </row>
    <row r="115" spans="1:28" ht="12.75" customHeight="1">
      <c r="A115" s="570" t="s">
        <v>232</v>
      </c>
      <c r="B115" s="353"/>
      <c r="C115" s="355"/>
      <c r="D115" s="355"/>
      <c r="E115" s="353"/>
      <c r="F115" s="357"/>
      <c r="G115" s="334"/>
      <c r="H115" s="345"/>
      <c r="I115" s="336"/>
      <c r="J115" s="336"/>
      <c r="K115" s="433">
        <v>26.75</v>
      </c>
      <c r="L115" s="343"/>
      <c r="M115" s="340"/>
      <c r="N115" s="343"/>
      <c r="O115" s="541"/>
      <c r="P115" s="557">
        <v>114</v>
      </c>
      <c r="Q115" s="440">
        <v>0</v>
      </c>
      <c r="R115" s="501">
        <v>0</v>
      </c>
      <c r="S115" s="507">
        <v>0</v>
      </c>
      <c r="T115" s="386">
        <v>0</v>
      </c>
      <c r="U115" s="472">
        <v>0</v>
      </c>
      <c r="V115" s="630">
        <v>0</v>
      </c>
      <c r="W115" s="633" t="str">
        <f t="shared" si="3"/>
        <v/>
      </c>
      <c r="X115" s="633">
        <v>0</v>
      </c>
      <c r="Y115" s="528">
        <f>IFERROR((($F115-$F114)/100)/$F114*100,0)</f>
        <v>0</v>
      </c>
      <c r="Z115" s="595">
        <f>IFERROR(F113/F115,0)</f>
        <v>0</v>
      </c>
      <c r="AA115" s="601" t="str">
        <f>IFERROR($AB$1/(F115/100)*(F113/100),"")</f>
        <v/>
      </c>
      <c r="AB115" s="431" t="str">
        <f>IFERROR((AA115/(F113/100))*(F115/100),"")</f>
        <v/>
      </c>
    </row>
    <row r="116" spans="1:28" ht="12.75" customHeight="1">
      <c r="A116" s="373" t="s">
        <v>602</v>
      </c>
      <c r="B116" s="366">
        <v>100000</v>
      </c>
      <c r="C116" s="362">
        <v>38</v>
      </c>
      <c r="D116" s="362">
        <v>38.5</v>
      </c>
      <c r="E116" s="366">
        <v>3947</v>
      </c>
      <c r="F116" s="363">
        <v>38.5</v>
      </c>
      <c r="G116" s="364">
        <v>1.3100000000000001E-2</v>
      </c>
      <c r="H116" s="365">
        <v>39.5</v>
      </c>
      <c r="I116" s="337">
        <v>39.5</v>
      </c>
      <c r="J116" s="337">
        <v>38.5</v>
      </c>
      <c r="K116" s="438">
        <v>38</v>
      </c>
      <c r="L116" s="391">
        <v>4891</v>
      </c>
      <c r="M116" s="341">
        <v>12700</v>
      </c>
      <c r="N116" s="391">
        <v>8</v>
      </c>
      <c r="O116" s="543">
        <v>45267.684652777774</v>
      </c>
      <c r="P116" s="558">
        <v>115</v>
      </c>
      <c r="Q116" s="441">
        <v>0</v>
      </c>
      <c r="R116" s="503">
        <v>0</v>
      </c>
      <c r="S116" s="512">
        <v>0</v>
      </c>
      <c r="T116" s="385">
        <v>0</v>
      </c>
      <c r="U116" s="471">
        <v>0</v>
      </c>
      <c r="V116" s="623">
        <v>0</v>
      </c>
      <c r="W116" s="632" t="str">
        <f t="shared" si="3"/>
        <v/>
      </c>
      <c r="X116" s="634">
        <v>0</v>
      </c>
      <c r="Y116" s="515">
        <f>($F117*(1-$V$1))-$F116</f>
        <v>0.60999999999999943</v>
      </c>
      <c r="Z116" s="596">
        <f>IFERROR(F112/F116,0)</f>
        <v>1025.9740259740261</v>
      </c>
      <c r="AA116" s="600">
        <f>IFERROR($AB$1/(F116/100)*(F112/100),"")</f>
        <v>538636.36363636353</v>
      </c>
      <c r="AB116" s="431">
        <f>IFERROR((AA116/(F112/100))*(F116/100),"")</f>
        <v>524.99999999999989</v>
      </c>
    </row>
    <row r="117" spans="1:28" ht="12.75" customHeight="1">
      <c r="A117" s="479" t="s">
        <v>233</v>
      </c>
      <c r="B117" s="422">
        <v>1050</v>
      </c>
      <c r="C117" s="423">
        <v>39.11</v>
      </c>
      <c r="D117" s="423">
        <v>39.5</v>
      </c>
      <c r="E117" s="422">
        <v>1000</v>
      </c>
      <c r="F117" s="417">
        <v>39.11</v>
      </c>
      <c r="G117" s="407">
        <v>1.24E-2</v>
      </c>
      <c r="H117" s="408">
        <v>40</v>
      </c>
      <c r="I117" s="409">
        <v>40.9</v>
      </c>
      <c r="J117" s="409">
        <v>39</v>
      </c>
      <c r="K117" s="434">
        <v>38.630000000000003</v>
      </c>
      <c r="L117" s="414">
        <v>32449</v>
      </c>
      <c r="M117" s="410">
        <v>81593</v>
      </c>
      <c r="N117" s="414">
        <v>59</v>
      </c>
      <c r="O117" s="544">
        <v>45267.708402777775</v>
      </c>
      <c r="P117" s="557">
        <v>116</v>
      </c>
      <c r="Q117" s="442">
        <v>0</v>
      </c>
      <c r="R117" s="505">
        <v>0</v>
      </c>
      <c r="S117" s="513">
        <v>0</v>
      </c>
      <c r="T117" s="415">
        <v>0</v>
      </c>
      <c r="U117" s="472">
        <v>0</v>
      </c>
      <c r="V117" s="473">
        <v>0</v>
      </c>
      <c r="W117" s="636" t="str">
        <f t="shared" si="3"/>
        <v/>
      </c>
      <c r="X117" s="635">
        <v>0</v>
      </c>
      <c r="Y117" s="527">
        <f>IFERROR((($F117-$F116)/100)/$F116*100,0)</f>
        <v>1.5844155844155831E-2</v>
      </c>
      <c r="Z117" s="597">
        <f>IFERROR(F113/F117,0)</f>
        <v>1061.1096906162106</v>
      </c>
      <c r="AA117" s="602">
        <f>IFERROR($AB$1/(F117/100)*(F113/100),"")</f>
        <v>557082.58757351059</v>
      </c>
      <c r="AB117" s="431">
        <f>IFERROR((AA117/(F113/100))*(F117/100),"")</f>
        <v>525</v>
      </c>
    </row>
    <row r="118" spans="1:28" ht="12.75" customHeight="1">
      <c r="A118" s="478" t="s">
        <v>603</v>
      </c>
      <c r="B118" s="394">
        <v>512</v>
      </c>
      <c r="C118" s="330">
        <v>34900</v>
      </c>
      <c r="D118" s="416">
        <v>35450</v>
      </c>
      <c r="E118" s="394">
        <v>43</v>
      </c>
      <c r="F118" s="524">
        <v>35295</v>
      </c>
      <c r="G118" s="347">
        <v>5.9900000000000002E-2</v>
      </c>
      <c r="H118" s="346">
        <v>33900</v>
      </c>
      <c r="I118" s="338">
        <v>35798</v>
      </c>
      <c r="J118" s="338">
        <v>33001</v>
      </c>
      <c r="K118" s="437">
        <v>33300</v>
      </c>
      <c r="L118" s="406">
        <v>769847001</v>
      </c>
      <c r="M118" s="342">
        <v>2294159</v>
      </c>
      <c r="N118" s="406">
        <v>1415</v>
      </c>
      <c r="O118" s="540">
        <v>45267.6878125</v>
      </c>
      <c r="P118" s="558">
        <v>117</v>
      </c>
      <c r="Q118" s="443">
        <v>0</v>
      </c>
      <c r="R118" s="500">
        <v>0</v>
      </c>
      <c r="S118" s="510">
        <v>0</v>
      </c>
      <c r="T118" s="387">
        <v>0</v>
      </c>
      <c r="U118" s="471">
        <v>0</v>
      </c>
      <c r="V118" s="628">
        <v>0</v>
      </c>
      <c r="W118" s="632" t="str">
        <f t="shared" ref="W118:W135" si="4">IF(X118&gt;0,(F118*V118/100)-(V118*X118),"")</f>
        <v/>
      </c>
      <c r="X118" s="632">
        <v>0</v>
      </c>
      <c r="Y118" s="576">
        <f>($C119*(1-$V$1))-$D118</f>
        <v>0</v>
      </c>
      <c r="Z118" s="592">
        <f>($F118/100*$X$1)-($F119/100*$W$1)+($F119/100*$W$1*($AE$1*$AD$1))</f>
        <v>0.28424657534245457</v>
      </c>
      <c r="AA118" s="660" t="str">
        <f>MID($A118,1,5)</f>
        <v xml:space="preserve">GD35 </v>
      </c>
    </row>
    <row r="119" spans="1:28" ht="12.75" customHeight="1">
      <c r="A119" s="476" t="s">
        <v>164</v>
      </c>
      <c r="B119" s="354">
        <v>524</v>
      </c>
      <c r="C119" s="356">
        <v>35450</v>
      </c>
      <c r="D119" s="356">
        <v>35500</v>
      </c>
      <c r="E119" s="354">
        <v>14723</v>
      </c>
      <c r="F119" s="357">
        <v>35500</v>
      </c>
      <c r="G119" s="334">
        <v>5.0900000000000001E-2</v>
      </c>
      <c r="H119" s="345">
        <v>34500</v>
      </c>
      <c r="I119" s="336">
        <v>36000</v>
      </c>
      <c r="J119" s="336">
        <v>33250</v>
      </c>
      <c r="K119" s="433">
        <v>33779</v>
      </c>
      <c r="L119" s="343">
        <v>9227721807</v>
      </c>
      <c r="M119" s="340">
        <v>26935575</v>
      </c>
      <c r="N119" s="343">
        <v>2516</v>
      </c>
      <c r="O119" s="541">
        <v>45267.708634259259</v>
      </c>
      <c r="P119" s="557">
        <v>118</v>
      </c>
      <c r="Q119" s="440">
        <v>0</v>
      </c>
      <c r="R119" s="501">
        <v>0</v>
      </c>
      <c r="S119" s="507">
        <v>0</v>
      </c>
      <c r="T119" s="386">
        <v>0</v>
      </c>
      <c r="U119" s="472">
        <v>0</v>
      </c>
      <c r="V119" s="629">
        <v>0</v>
      </c>
      <c r="W119" s="633" t="str">
        <f t="shared" si="4"/>
        <v/>
      </c>
      <c r="X119" s="633">
        <v>0</v>
      </c>
      <c r="Y119" s="530">
        <f>IFERROR((($C119-$D118)/100)/$D118*100,0)</f>
        <v>0</v>
      </c>
      <c r="Z119" s="593">
        <f>$F119/100*$W$1*($AE$1*$AD$1)</f>
        <v>2.3342465753424659</v>
      </c>
      <c r="AA119" s="661"/>
    </row>
    <row r="120" spans="1:28" ht="12.75" customHeight="1">
      <c r="A120" s="373" t="s">
        <v>604</v>
      </c>
      <c r="B120" s="361"/>
      <c r="C120" s="362"/>
      <c r="D120" s="362"/>
      <c r="E120" s="361"/>
      <c r="F120" s="363"/>
      <c r="G120" s="364"/>
      <c r="H120" s="365"/>
      <c r="I120" s="337"/>
      <c r="J120" s="337"/>
      <c r="K120" s="438">
        <v>25.5</v>
      </c>
      <c r="L120" s="391"/>
      <c r="M120" s="341"/>
      <c r="N120" s="391"/>
      <c r="O120" s="543"/>
      <c r="P120" s="558">
        <v>119</v>
      </c>
      <c r="Q120" s="441">
        <v>0</v>
      </c>
      <c r="R120" s="503">
        <v>0</v>
      </c>
      <c r="S120" s="512">
        <v>0</v>
      </c>
      <c r="T120" s="385">
        <v>0</v>
      </c>
      <c r="U120" s="471">
        <v>0</v>
      </c>
      <c r="V120" s="631">
        <v>0</v>
      </c>
      <c r="W120" s="632" t="str">
        <f t="shared" si="4"/>
        <v/>
      </c>
      <c r="X120" s="634">
        <v>0</v>
      </c>
      <c r="Y120" s="514">
        <f>($F121*(1-$V$1))-$F120</f>
        <v>0</v>
      </c>
      <c r="Z120" s="594">
        <f>IFERROR(F118/F120,0)</f>
        <v>0</v>
      </c>
      <c r="AA120" s="600" t="str">
        <f>IFERROR($AB$1/(F120/100)*(F118/100),"")</f>
        <v/>
      </c>
      <c r="AB120" s="431" t="str">
        <f>IFERROR((AA120/(F118/100))*(F120/100),"")</f>
        <v/>
      </c>
    </row>
    <row r="121" spans="1:28" ht="12.75" customHeight="1">
      <c r="A121" s="570" t="s">
        <v>220</v>
      </c>
      <c r="B121" s="353">
        <v>2769</v>
      </c>
      <c r="C121" s="355">
        <v>33.75</v>
      </c>
      <c r="D121" s="355"/>
      <c r="E121" s="353"/>
      <c r="F121" s="357"/>
      <c r="G121" s="334"/>
      <c r="H121" s="345"/>
      <c r="I121" s="336"/>
      <c r="J121" s="336"/>
      <c r="K121" s="433">
        <v>33.75</v>
      </c>
      <c r="L121" s="343"/>
      <c r="M121" s="340"/>
      <c r="N121" s="343"/>
      <c r="O121" s="541"/>
      <c r="P121" s="557">
        <v>120</v>
      </c>
      <c r="Q121" s="440">
        <v>0</v>
      </c>
      <c r="R121" s="501">
        <v>0</v>
      </c>
      <c r="S121" s="507">
        <v>0</v>
      </c>
      <c r="T121" s="386">
        <v>0</v>
      </c>
      <c r="U121" s="472">
        <v>0</v>
      </c>
      <c r="V121" s="630">
        <v>0</v>
      </c>
      <c r="W121" s="633" t="str">
        <f t="shared" si="4"/>
        <v/>
      </c>
      <c r="X121" s="633">
        <v>0</v>
      </c>
      <c r="Y121" s="528">
        <f>IFERROR((($F121-$F120)/100)/$F120*100,0)</f>
        <v>0</v>
      </c>
      <c r="Z121" s="595">
        <f>IFERROR(F119/F121,0)</f>
        <v>0</v>
      </c>
      <c r="AA121" s="601" t="str">
        <f>IFERROR($AB$1/(F121/100)*(F119/100),"")</f>
        <v/>
      </c>
      <c r="AB121" s="431" t="str">
        <f>IFERROR((AA121/(F119/100))*(F121/100),"")</f>
        <v/>
      </c>
    </row>
    <row r="122" spans="1:28" ht="12.75" customHeight="1">
      <c r="A122" s="373" t="s">
        <v>605</v>
      </c>
      <c r="B122" s="366">
        <v>5706</v>
      </c>
      <c r="C122" s="362">
        <v>37.1</v>
      </c>
      <c r="D122" s="362">
        <v>37.25</v>
      </c>
      <c r="E122" s="366">
        <v>100</v>
      </c>
      <c r="F122" s="363">
        <v>37.1</v>
      </c>
      <c r="G122" s="364">
        <v>5.3899999999999997E-2</v>
      </c>
      <c r="H122" s="365">
        <v>35</v>
      </c>
      <c r="I122" s="337">
        <v>37.6</v>
      </c>
      <c r="J122" s="337">
        <v>34.4</v>
      </c>
      <c r="K122" s="438">
        <v>35.200000000000003</v>
      </c>
      <c r="L122" s="391">
        <v>9922</v>
      </c>
      <c r="M122" s="341">
        <v>27222</v>
      </c>
      <c r="N122" s="391">
        <v>14</v>
      </c>
      <c r="O122" s="543">
        <v>45267.670277777775</v>
      </c>
      <c r="P122" s="558">
        <v>121</v>
      </c>
      <c r="Q122" s="441">
        <v>0</v>
      </c>
      <c r="R122" s="503">
        <v>0</v>
      </c>
      <c r="S122" s="512">
        <v>0</v>
      </c>
      <c r="T122" s="385">
        <v>0</v>
      </c>
      <c r="U122" s="471">
        <v>0</v>
      </c>
      <c r="V122" s="623">
        <v>0</v>
      </c>
      <c r="W122" s="632" t="str">
        <f t="shared" si="4"/>
        <v/>
      </c>
      <c r="X122" s="634">
        <v>0</v>
      </c>
      <c r="Y122" s="515">
        <f>($F123*(1-$V$1))-$F122</f>
        <v>-0.10000000000000142</v>
      </c>
      <c r="Z122" s="596">
        <f>IFERROR(F118/F122,0)</f>
        <v>951.34770889487868</v>
      </c>
      <c r="AA122" s="600">
        <f>IFERROR($AB$1/(F122/100)*(F118/100),"")</f>
        <v>499457.54716981127</v>
      </c>
      <c r="AB122" s="431">
        <f>IFERROR((AA122/(F118/100))*(F122/100),"")</f>
        <v>525</v>
      </c>
    </row>
    <row r="123" spans="1:28" ht="12.75" customHeight="1">
      <c r="A123" s="479" t="s">
        <v>221</v>
      </c>
      <c r="B123" s="422">
        <v>1431</v>
      </c>
      <c r="C123" s="423">
        <v>37.06</v>
      </c>
      <c r="D123" s="423">
        <v>37.39</v>
      </c>
      <c r="E123" s="422">
        <v>300</v>
      </c>
      <c r="F123" s="417">
        <v>37</v>
      </c>
      <c r="G123" s="407">
        <v>-5.4000000000000003E-3</v>
      </c>
      <c r="H123" s="408">
        <v>36.9</v>
      </c>
      <c r="I123" s="409">
        <v>38.5</v>
      </c>
      <c r="J123" s="409">
        <v>36.35</v>
      </c>
      <c r="K123" s="434">
        <v>37</v>
      </c>
      <c r="L123" s="414">
        <v>246859</v>
      </c>
      <c r="M123" s="410">
        <v>662653</v>
      </c>
      <c r="N123" s="414">
        <v>188</v>
      </c>
      <c r="O123" s="544">
        <v>45267.705879629626</v>
      </c>
      <c r="P123" s="557">
        <v>122</v>
      </c>
      <c r="Q123" s="442">
        <v>0</v>
      </c>
      <c r="R123" s="505">
        <v>0</v>
      </c>
      <c r="S123" s="513">
        <v>0</v>
      </c>
      <c r="T123" s="415">
        <v>0</v>
      </c>
      <c r="U123" s="472">
        <v>0</v>
      </c>
      <c r="V123" s="473">
        <v>0</v>
      </c>
      <c r="W123" s="636" t="str">
        <f t="shared" si="4"/>
        <v/>
      </c>
      <c r="X123" s="635">
        <v>0</v>
      </c>
      <c r="Y123" s="527">
        <f>IFERROR((($F123-$F122)/100)/$F122*100,0)</f>
        <v>-2.6954177897574503E-3</v>
      </c>
      <c r="Z123" s="597">
        <f>IFERROR(F119/F123,0)</f>
        <v>959.45945945945948</v>
      </c>
      <c r="AA123" s="602">
        <f>IFERROR($AB$1/(F123/100)*(F119/100),"")</f>
        <v>503716.21621621621</v>
      </c>
      <c r="AB123" s="431">
        <f>IFERROR((AA123/(F119/100))*(F123/100),"")</f>
        <v>525</v>
      </c>
    </row>
    <row r="124" spans="1:28" ht="12.75" customHeight="1">
      <c r="A124" s="478" t="s">
        <v>609</v>
      </c>
      <c r="B124" s="394">
        <v>1935</v>
      </c>
      <c r="C124" s="330">
        <v>39710</v>
      </c>
      <c r="D124" s="416">
        <v>42849</v>
      </c>
      <c r="E124" s="394">
        <v>1000</v>
      </c>
      <c r="F124" s="524">
        <v>39506</v>
      </c>
      <c r="G124" s="347">
        <v>4.2300000000000004E-2</v>
      </c>
      <c r="H124" s="346">
        <v>38600</v>
      </c>
      <c r="I124" s="338">
        <v>43729.5</v>
      </c>
      <c r="J124" s="338">
        <v>37900</v>
      </c>
      <c r="K124" s="437">
        <v>37900</v>
      </c>
      <c r="L124" s="406">
        <v>120138570</v>
      </c>
      <c r="M124" s="342">
        <v>297769</v>
      </c>
      <c r="N124" s="406">
        <v>263</v>
      </c>
      <c r="O124" s="540">
        <v>45267.677928240744</v>
      </c>
      <c r="P124" s="558">
        <v>123</v>
      </c>
      <c r="Q124" s="443">
        <v>0</v>
      </c>
      <c r="R124" s="500">
        <v>0</v>
      </c>
      <c r="S124" s="510">
        <v>0</v>
      </c>
      <c r="T124" s="387">
        <v>0</v>
      </c>
      <c r="U124" s="471">
        <v>0</v>
      </c>
      <c r="V124" s="628">
        <v>0</v>
      </c>
      <c r="W124" s="632" t="str">
        <f t="shared" si="4"/>
        <v/>
      </c>
      <c r="X124" s="632">
        <v>0</v>
      </c>
      <c r="Y124" s="576">
        <f>($C125*(1-$V$1))-$D124</f>
        <v>-2639</v>
      </c>
      <c r="Z124" s="592">
        <f>($F124/100*$X$1)-($F125/100*$W$1)+($F125/100*$W$1*($AE$1*$AD$1))</f>
        <v>-8.2704109589041082</v>
      </c>
      <c r="AA124" s="660" t="str">
        <f>MID($A124,1,5)</f>
        <v xml:space="preserve">GD38 </v>
      </c>
    </row>
    <row r="125" spans="1:28" ht="12.75" customHeight="1">
      <c r="A125" s="476" t="s">
        <v>190</v>
      </c>
      <c r="B125" s="354">
        <v>1209</v>
      </c>
      <c r="C125" s="356">
        <v>40210</v>
      </c>
      <c r="D125" s="356">
        <v>40600</v>
      </c>
      <c r="E125" s="354">
        <v>77531</v>
      </c>
      <c r="F125" s="357">
        <v>40600</v>
      </c>
      <c r="G125" s="334">
        <v>6.2699999999999992E-2</v>
      </c>
      <c r="H125" s="345">
        <v>38699</v>
      </c>
      <c r="I125" s="336">
        <v>42000</v>
      </c>
      <c r="J125" s="336">
        <v>36500</v>
      </c>
      <c r="K125" s="433">
        <v>38201</v>
      </c>
      <c r="L125" s="343">
        <v>2516190190</v>
      </c>
      <c r="M125" s="340">
        <v>6396055</v>
      </c>
      <c r="N125" s="343">
        <v>620</v>
      </c>
      <c r="O125" s="541">
        <v>45267.708668981482</v>
      </c>
      <c r="P125" s="557">
        <v>124</v>
      </c>
      <c r="Q125" s="440">
        <v>0</v>
      </c>
      <c r="R125" s="501">
        <v>0</v>
      </c>
      <c r="S125" s="507">
        <v>0</v>
      </c>
      <c r="T125" s="386">
        <v>0</v>
      </c>
      <c r="U125" s="472">
        <v>0</v>
      </c>
      <c r="V125" s="629">
        <v>0</v>
      </c>
      <c r="W125" s="633" t="str">
        <f t="shared" si="4"/>
        <v/>
      </c>
      <c r="X125" s="633">
        <v>0</v>
      </c>
      <c r="Y125" s="530">
        <f>IFERROR((($C125-$D124)/100)/$D124*100,0)</f>
        <v>-6.158836845667344E-2</v>
      </c>
      <c r="Z125" s="593">
        <f>$F125/100*$W$1*($AE$1*$AD$1)</f>
        <v>2.6695890410958905</v>
      </c>
      <c r="AA125" s="661"/>
    </row>
    <row r="126" spans="1:28" ht="12.75" customHeight="1">
      <c r="A126" s="373" t="s">
        <v>610</v>
      </c>
      <c r="B126" s="361"/>
      <c r="C126" s="362"/>
      <c r="D126" s="362"/>
      <c r="E126" s="361"/>
      <c r="F126" s="363"/>
      <c r="G126" s="364"/>
      <c r="H126" s="365"/>
      <c r="I126" s="337"/>
      <c r="J126" s="337"/>
      <c r="K126" s="438">
        <v>35.5</v>
      </c>
      <c r="L126" s="391"/>
      <c r="M126" s="341"/>
      <c r="N126" s="391"/>
      <c r="O126" s="543"/>
      <c r="P126" s="558">
        <v>125</v>
      </c>
      <c r="Q126" s="441">
        <v>0</v>
      </c>
      <c r="R126" s="503">
        <v>0</v>
      </c>
      <c r="S126" s="512">
        <v>0</v>
      </c>
      <c r="T126" s="385">
        <v>0</v>
      </c>
      <c r="U126" s="471">
        <v>0</v>
      </c>
      <c r="V126" s="631">
        <v>0</v>
      </c>
      <c r="W126" s="632" t="str">
        <f t="shared" si="4"/>
        <v/>
      </c>
      <c r="X126" s="634">
        <v>0</v>
      </c>
      <c r="Y126" s="514">
        <f>($F127*(1-$V$1))-$F126</f>
        <v>0</v>
      </c>
      <c r="Z126" s="594">
        <f>IFERROR(F124/F126,0)</f>
        <v>0</v>
      </c>
      <c r="AA126" s="600" t="str">
        <f>IFERROR($AB$1/(F126/100)*(F124/100),"")</f>
        <v/>
      </c>
      <c r="AB126" s="431" t="str">
        <f>IFERROR((AA126/(F124/100))*(F126/100),"")</f>
        <v/>
      </c>
    </row>
    <row r="127" spans="1:28" ht="12.75" customHeight="1">
      <c r="A127" s="570" t="s">
        <v>234</v>
      </c>
      <c r="B127" s="353"/>
      <c r="C127" s="355"/>
      <c r="D127" s="355"/>
      <c r="E127" s="353"/>
      <c r="F127" s="357"/>
      <c r="G127" s="334"/>
      <c r="H127" s="345"/>
      <c r="I127" s="336"/>
      <c r="J127" s="336"/>
      <c r="K127" s="433">
        <v>32.563000000000002</v>
      </c>
      <c r="L127" s="343"/>
      <c r="M127" s="340"/>
      <c r="N127" s="343"/>
      <c r="O127" s="541"/>
      <c r="P127" s="557">
        <v>126</v>
      </c>
      <c r="Q127" s="440">
        <v>0</v>
      </c>
      <c r="R127" s="501">
        <v>0</v>
      </c>
      <c r="S127" s="507">
        <v>0</v>
      </c>
      <c r="T127" s="386">
        <v>0</v>
      </c>
      <c r="U127" s="472">
        <v>0</v>
      </c>
      <c r="V127" s="630">
        <v>0</v>
      </c>
      <c r="W127" s="633" t="str">
        <f t="shared" si="4"/>
        <v/>
      </c>
      <c r="X127" s="633">
        <v>0</v>
      </c>
      <c r="Y127" s="528">
        <f>IFERROR((($F127-$F126)/100)/$F126*100,0)</f>
        <v>0</v>
      </c>
      <c r="Z127" s="595">
        <f>IFERROR(F125/F127,0)</f>
        <v>0</v>
      </c>
      <c r="AA127" s="601" t="str">
        <f>IFERROR($AB$1/(F127/100)*(F125/100),"")</f>
        <v/>
      </c>
      <c r="AB127" s="431" t="str">
        <f>IFERROR((AA127/(F125/100))*(F127/100),"")</f>
        <v/>
      </c>
    </row>
    <row r="128" spans="1:28" ht="12.75" customHeight="1">
      <c r="A128" s="373" t="s">
        <v>611</v>
      </c>
      <c r="B128" s="366">
        <v>4000</v>
      </c>
      <c r="C128" s="362">
        <v>40</v>
      </c>
      <c r="D128" s="362">
        <v>45</v>
      </c>
      <c r="E128" s="366">
        <v>200</v>
      </c>
      <c r="F128" s="363">
        <v>45</v>
      </c>
      <c r="G128" s="364">
        <v>8.43E-2</v>
      </c>
      <c r="H128" s="365">
        <v>40</v>
      </c>
      <c r="I128" s="337">
        <v>45</v>
      </c>
      <c r="J128" s="337">
        <v>40</v>
      </c>
      <c r="K128" s="438">
        <v>41.5</v>
      </c>
      <c r="L128" s="391">
        <v>627</v>
      </c>
      <c r="M128" s="341">
        <v>1484</v>
      </c>
      <c r="N128" s="391">
        <v>14</v>
      </c>
      <c r="O128" s="543">
        <v>45267.673159722224</v>
      </c>
      <c r="P128" s="558">
        <v>127</v>
      </c>
      <c r="Q128" s="441">
        <v>0</v>
      </c>
      <c r="R128" s="503">
        <v>0</v>
      </c>
      <c r="S128" s="512">
        <v>0</v>
      </c>
      <c r="T128" s="385">
        <v>0</v>
      </c>
      <c r="U128" s="471">
        <v>0</v>
      </c>
      <c r="V128" s="623">
        <v>0</v>
      </c>
      <c r="W128" s="632" t="str">
        <f t="shared" si="4"/>
        <v/>
      </c>
      <c r="X128" s="634">
        <v>0</v>
      </c>
      <c r="Y128" s="515">
        <f>($F129*(1-$V$1))-$F128</f>
        <v>-4</v>
      </c>
      <c r="Z128" s="596">
        <f>IFERROR(F124/F128,0)</f>
        <v>877.91111111111115</v>
      </c>
      <c r="AA128" s="600">
        <f>IFERROR($AB$1/(F128/100)*(F124/100),"")</f>
        <v>460903.33333333337</v>
      </c>
      <c r="AB128" s="431">
        <f>IFERROR((AA128/(F124/100))*(F128/100),"")</f>
        <v>525</v>
      </c>
    </row>
    <row r="129" spans="1:28" ht="12.75" customHeight="1">
      <c r="A129" s="479" t="s">
        <v>235</v>
      </c>
      <c r="B129" s="422">
        <v>7904</v>
      </c>
      <c r="C129" s="423">
        <v>40.450000000000003</v>
      </c>
      <c r="D129" s="423">
        <v>41.61</v>
      </c>
      <c r="E129" s="422">
        <v>4389</v>
      </c>
      <c r="F129" s="417">
        <v>41</v>
      </c>
      <c r="G129" s="407">
        <v>-2.3799999999999998E-2</v>
      </c>
      <c r="H129" s="408">
        <v>41.6</v>
      </c>
      <c r="I129" s="409">
        <v>46</v>
      </c>
      <c r="J129" s="409">
        <v>40.5</v>
      </c>
      <c r="K129" s="434">
        <v>42</v>
      </c>
      <c r="L129" s="414">
        <v>18705</v>
      </c>
      <c r="M129" s="410">
        <v>44177</v>
      </c>
      <c r="N129" s="414">
        <v>52</v>
      </c>
      <c r="O129" s="544">
        <v>45267.708379629628</v>
      </c>
      <c r="P129" s="557">
        <v>128</v>
      </c>
      <c r="Q129" s="442">
        <v>0</v>
      </c>
      <c r="R129" s="505">
        <v>0</v>
      </c>
      <c r="S129" s="513">
        <v>0</v>
      </c>
      <c r="T129" s="415">
        <v>0</v>
      </c>
      <c r="U129" s="472">
        <v>0</v>
      </c>
      <c r="V129" s="473">
        <v>0</v>
      </c>
      <c r="W129" s="636" t="str">
        <f t="shared" si="4"/>
        <v/>
      </c>
      <c r="X129" s="635">
        <v>0</v>
      </c>
      <c r="Y129" s="527">
        <f>IFERROR((($F129-$F128)/100)/$F128*100,0)</f>
        <v>-8.8888888888888892E-2</v>
      </c>
      <c r="Z129" s="597">
        <f>IFERROR(F125/F129,0)</f>
        <v>990.2439024390244</v>
      </c>
      <c r="AA129" s="602">
        <f>IFERROR($AB$1/(F129/100)*(F125/100),"")</f>
        <v>519878.04878048779</v>
      </c>
      <c r="AB129" s="431">
        <f>IFERROR((AA129/(F125/100))*(F129/100),"")</f>
        <v>525</v>
      </c>
    </row>
    <row r="130" spans="1:28" ht="12.75" customHeight="1">
      <c r="A130" s="478" t="s">
        <v>606</v>
      </c>
      <c r="B130" s="394">
        <v>5000</v>
      </c>
      <c r="C130" s="330">
        <v>34200</v>
      </c>
      <c r="D130" s="416">
        <v>36096</v>
      </c>
      <c r="E130" s="394">
        <v>1455</v>
      </c>
      <c r="F130" s="524">
        <v>34435</v>
      </c>
      <c r="G130" s="347">
        <v>4.3299999999999998E-2</v>
      </c>
      <c r="H130" s="346">
        <v>33005</v>
      </c>
      <c r="I130" s="338">
        <v>36096</v>
      </c>
      <c r="J130" s="338">
        <v>32958</v>
      </c>
      <c r="K130" s="437">
        <v>33005</v>
      </c>
      <c r="L130" s="406">
        <v>12712038</v>
      </c>
      <c r="M130" s="342">
        <v>37471</v>
      </c>
      <c r="N130" s="406">
        <v>115</v>
      </c>
      <c r="O130" s="540">
        <v>45267.678437499999</v>
      </c>
      <c r="P130" s="558">
        <v>129</v>
      </c>
      <c r="Q130" s="443">
        <v>0</v>
      </c>
      <c r="R130" s="500">
        <v>0</v>
      </c>
      <c r="S130" s="510">
        <v>0</v>
      </c>
      <c r="T130" s="387">
        <v>0</v>
      </c>
      <c r="U130" s="471">
        <v>0</v>
      </c>
      <c r="V130" s="628">
        <v>0</v>
      </c>
      <c r="W130" s="632" t="str">
        <f t="shared" si="4"/>
        <v/>
      </c>
      <c r="X130" s="632">
        <v>0</v>
      </c>
      <c r="Y130" s="576">
        <f>($C131*(1-$V$1))-$D130</f>
        <v>-596</v>
      </c>
      <c r="Z130" s="592">
        <f>($F130/100*$X$1)-($F131/100*$W$1)+($F131/100*$W$1*($AE$1*$AD$1))</f>
        <v>-9.7065479452054344</v>
      </c>
      <c r="AA130" s="660" t="str">
        <f>MID($A130,1,5)</f>
        <v xml:space="preserve">GD41 </v>
      </c>
    </row>
    <row r="131" spans="1:28" ht="12.75" customHeight="1">
      <c r="A131" s="476" t="s">
        <v>188</v>
      </c>
      <c r="B131" s="354">
        <v>49842</v>
      </c>
      <c r="C131" s="356">
        <v>35500</v>
      </c>
      <c r="D131" s="356">
        <v>35640</v>
      </c>
      <c r="E131" s="354">
        <v>48933</v>
      </c>
      <c r="F131" s="357">
        <v>35640</v>
      </c>
      <c r="G131" s="334">
        <v>6.0700000000000004E-2</v>
      </c>
      <c r="H131" s="345">
        <v>34000</v>
      </c>
      <c r="I131" s="336">
        <v>36100</v>
      </c>
      <c r="J131" s="336">
        <v>33000</v>
      </c>
      <c r="K131" s="433">
        <v>33600</v>
      </c>
      <c r="L131" s="343">
        <v>1481939212</v>
      </c>
      <c r="M131" s="340">
        <v>4317377</v>
      </c>
      <c r="N131" s="343">
        <v>544</v>
      </c>
      <c r="O131" s="541">
        <v>45267.70853009259</v>
      </c>
      <c r="P131" s="557">
        <v>130</v>
      </c>
      <c r="Q131" s="440">
        <v>0</v>
      </c>
      <c r="R131" s="501">
        <v>0</v>
      </c>
      <c r="S131" s="507">
        <v>0</v>
      </c>
      <c r="T131" s="386">
        <v>0</v>
      </c>
      <c r="U131" s="472">
        <v>0</v>
      </c>
      <c r="V131" s="629">
        <v>0</v>
      </c>
      <c r="W131" s="633" t="str">
        <f t="shared" si="4"/>
        <v/>
      </c>
      <c r="X131" s="633">
        <v>0</v>
      </c>
      <c r="Y131" s="530">
        <f>IFERROR((($C131-$D130)/100)/$D130*100,0)</f>
        <v>-1.6511524822695037E-2</v>
      </c>
      <c r="Z131" s="593">
        <f>$F131/100*$W$1*($AE$1*$AD$1)</f>
        <v>2.3434520547945206</v>
      </c>
      <c r="AA131" s="661"/>
    </row>
    <row r="132" spans="1:28" ht="12.75" customHeight="1">
      <c r="A132" s="373" t="s">
        <v>607</v>
      </c>
      <c r="B132" s="361"/>
      <c r="C132" s="362"/>
      <c r="D132" s="362"/>
      <c r="E132" s="361"/>
      <c r="F132" s="363"/>
      <c r="G132" s="364"/>
      <c r="H132" s="365"/>
      <c r="I132" s="337"/>
      <c r="J132" s="337"/>
      <c r="K132" s="438">
        <v>29</v>
      </c>
      <c r="L132" s="391"/>
      <c r="M132" s="341"/>
      <c r="N132" s="391"/>
      <c r="O132" s="543"/>
      <c r="P132" s="558">
        <v>131</v>
      </c>
      <c r="Q132" s="441">
        <v>0</v>
      </c>
      <c r="R132" s="503">
        <v>0</v>
      </c>
      <c r="S132" s="512">
        <v>0</v>
      </c>
      <c r="T132" s="385">
        <v>0</v>
      </c>
      <c r="U132" s="471">
        <v>0</v>
      </c>
      <c r="V132" s="631">
        <v>0</v>
      </c>
      <c r="W132" s="632" t="str">
        <f t="shared" si="4"/>
        <v/>
      </c>
      <c r="X132" s="634">
        <v>0</v>
      </c>
      <c r="Y132" s="514">
        <f>($F133*(1-$V$1))-$F132</f>
        <v>0</v>
      </c>
      <c r="Z132" s="594">
        <f>IFERROR(F130/F132,0)</f>
        <v>0</v>
      </c>
      <c r="AA132" s="600" t="str">
        <f>IFERROR($AB$1/(F132/100)*(F130/100),"")</f>
        <v/>
      </c>
      <c r="AB132" s="431" t="str">
        <f>IFERROR((AA132/(F130/100))*(F132/100),"")</f>
        <v/>
      </c>
    </row>
    <row r="133" spans="1:28" ht="12.75" customHeight="1">
      <c r="A133" s="570" t="s">
        <v>236</v>
      </c>
      <c r="B133" s="353"/>
      <c r="C133" s="355"/>
      <c r="D133" s="355"/>
      <c r="E133" s="353"/>
      <c r="F133" s="357"/>
      <c r="G133" s="334"/>
      <c r="H133" s="345"/>
      <c r="I133" s="336"/>
      <c r="J133" s="336"/>
      <c r="K133" s="433">
        <v>29</v>
      </c>
      <c r="L133" s="343"/>
      <c r="M133" s="340"/>
      <c r="N133" s="343"/>
      <c r="O133" s="541"/>
      <c r="P133" s="557">
        <v>132</v>
      </c>
      <c r="Q133" s="440">
        <v>0</v>
      </c>
      <c r="R133" s="501">
        <v>0</v>
      </c>
      <c r="S133" s="507">
        <v>0</v>
      </c>
      <c r="T133" s="386">
        <v>0</v>
      </c>
      <c r="U133" s="472">
        <v>0</v>
      </c>
      <c r="V133" s="630">
        <v>0</v>
      </c>
      <c r="W133" s="633" t="str">
        <f t="shared" si="4"/>
        <v/>
      </c>
      <c r="X133" s="633">
        <v>0</v>
      </c>
      <c r="Y133" s="528">
        <f>IFERROR((($F133-$F132)/100)/$F132*100,0)</f>
        <v>0</v>
      </c>
      <c r="Z133" s="595">
        <f>IFERROR(F131/F133,0)</f>
        <v>0</v>
      </c>
      <c r="AA133" s="601" t="str">
        <f>IFERROR($AB$1/(F133/100)*(F131/100),"")</f>
        <v/>
      </c>
      <c r="AB133" s="431" t="str">
        <f>IFERROR((AA133/(F131/100))*(F133/100),"")</f>
        <v/>
      </c>
    </row>
    <row r="134" spans="1:28" ht="12.75" customHeight="1">
      <c r="A134" s="373" t="s">
        <v>608</v>
      </c>
      <c r="B134" s="366">
        <v>445</v>
      </c>
      <c r="C134" s="362">
        <v>35.5</v>
      </c>
      <c r="D134" s="362">
        <v>38</v>
      </c>
      <c r="E134" s="366">
        <v>171</v>
      </c>
      <c r="F134" s="363">
        <v>35.5</v>
      </c>
      <c r="G134" s="364">
        <v>-9.7000000000000003E-3</v>
      </c>
      <c r="H134" s="365">
        <v>36</v>
      </c>
      <c r="I134" s="337">
        <v>36</v>
      </c>
      <c r="J134" s="337">
        <v>35.5</v>
      </c>
      <c r="K134" s="438">
        <v>35.85</v>
      </c>
      <c r="L134" s="391">
        <v>8765</v>
      </c>
      <c r="M134" s="341">
        <v>24355</v>
      </c>
      <c r="N134" s="391">
        <v>7</v>
      </c>
      <c r="O134" s="543">
        <v>45267.651921296296</v>
      </c>
      <c r="P134" s="558">
        <v>133</v>
      </c>
      <c r="Q134" s="441">
        <v>0</v>
      </c>
      <c r="R134" s="503">
        <v>0</v>
      </c>
      <c r="S134" s="512">
        <v>0</v>
      </c>
      <c r="T134" s="385">
        <v>0</v>
      </c>
      <c r="U134" s="471">
        <v>0</v>
      </c>
      <c r="V134" s="623">
        <v>0</v>
      </c>
      <c r="W134" s="632" t="str">
        <f t="shared" si="4"/>
        <v/>
      </c>
      <c r="X134" s="634">
        <v>0</v>
      </c>
      <c r="Y134" s="515">
        <f>($F135*(1-$V$1))-$F134</f>
        <v>0.60000000000000142</v>
      </c>
      <c r="Z134" s="596">
        <f>IFERROR(F130/F134,0)</f>
        <v>970</v>
      </c>
      <c r="AA134" s="600">
        <f>IFERROR($AB$1/(F134/100)*(F130/100),"")</f>
        <v>509250.00000000006</v>
      </c>
      <c r="AB134" s="431">
        <f>IFERROR((AA134/(F130/100))*(F134/100),"")</f>
        <v>525</v>
      </c>
    </row>
    <row r="135" spans="1:28" ht="12.75" customHeight="1">
      <c r="A135" s="479" t="s">
        <v>237</v>
      </c>
      <c r="B135" s="422">
        <v>120</v>
      </c>
      <c r="C135" s="423">
        <v>36.1</v>
      </c>
      <c r="D135" s="423">
        <v>36.5</v>
      </c>
      <c r="E135" s="422">
        <v>2104</v>
      </c>
      <c r="F135" s="417">
        <v>36.1</v>
      </c>
      <c r="G135" s="407">
        <v>-1.6299999999999999E-2</v>
      </c>
      <c r="H135" s="408">
        <v>36.950000000000003</v>
      </c>
      <c r="I135" s="409">
        <v>37.299999999999997</v>
      </c>
      <c r="J135" s="409">
        <v>36.1</v>
      </c>
      <c r="K135" s="434">
        <v>36.700000000000003</v>
      </c>
      <c r="L135" s="414">
        <v>9084</v>
      </c>
      <c r="M135" s="410">
        <v>24566</v>
      </c>
      <c r="N135" s="414">
        <v>31</v>
      </c>
      <c r="O135" s="544">
        <v>45267.674513888887</v>
      </c>
      <c r="P135" s="557">
        <v>134</v>
      </c>
      <c r="Q135" s="442">
        <v>0</v>
      </c>
      <c r="R135" s="505">
        <v>0</v>
      </c>
      <c r="S135" s="513">
        <v>0</v>
      </c>
      <c r="T135" s="415">
        <v>0</v>
      </c>
      <c r="U135" s="472">
        <v>0</v>
      </c>
      <c r="V135" s="473">
        <v>0</v>
      </c>
      <c r="W135" s="636" t="str">
        <f t="shared" si="4"/>
        <v/>
      </c>
      <c r="X135" s="635">
        <v>0</v>
      </c>
      <c r="Y135" s="527">
        <f>IFERROR((($F135-$F134)/100)/$F134*100,0)</f>
        <v>1.6901408450704265E-2</v>
      </c>
      <c r="Z135" s="597">
        <f>IFERROR(F131/F135,0)</f>
        <v>987.25761772853184</v>
      </c>
      <c r="AA135" s="602">
        <f>IFERROR($AB$1/(F135/100)*(F131/100),"")</f>
        <v>518310.24930747919</v>
      </c>
      <c r="AB135" s="431">
        <f>IFERROR((AA135/(F131/100))*(F135/100),"")</f>
        <v>525</v>
      </c>
    </row>
    <row r="136" spans="1:28" ht="12.75" customHeight="1">
      <c r="A136" s="478" t="s">
        <v>612</v>
      </c>
      <c r="B136" s="394">
        <v>575</v>
      </c>
      <c r="C136" s="330">
        <v>34600</v>
      </c>
      <c r="D136" s="416">
        <v>36000</v>
      </c>
      <c r="E136" s="394">
        <v>2900</v>
      </c>
      <c r="F136" s="413">
        <v>34700.5</v>
      </c>
      <c r="G136" s="347">
        <v>5.1500000000000004E-2</v>
      </c>
      <c r="H136" s="346">
        <v>33600</v>
      </c>
      <c r="I136" s="338">
        <v>35191</v>
      </c>
      <c r="J136" s="338">
        <v>33026</v>
      </c>
      <c r="K136" s="437">
        <v>33000</v>
      </c>
      <c r="L136" s="406">
        <v>71518434</v>
      </c>
      <c r="M136" s="342">
        <v>211794</v>
      </c>
      <c r="N136" s="406">
        <v>230</v>
      </c>
      <c r="O136" s="540">
        <v>45267.674375000002</v>
      </c>
      <c r="P136" s="558">
        <v>135</v>
      </c>
      <c r="Q136" s="443"/>
      <c r="R136" s="500"/>
      <c r="S136" s="510"/>
      <c r="T136" s="387"/>
      <c r="U136" s="401"/>
      <c r="V136" s="474">
        <v>0</v>
      </c>
      <c r="W136" s="323"/>
      <c r="X136" s="483"/>
      <c r="Y136" s="490">
        <f>(C137*(1-$V$1))-D136</f>
        <v>-0.5</v>
      </c>
      <c r="Z136" s="598">
        <f t="shared" ref="Z136:Z137" si="5">F136/100*V136-W136</f>
        <v>0</v>
      </c>
      <c r="AA136" s="660" t="str">
        <f>MID($A136,1,5)</f>
        <v xml:space="preserve">GD46 </v>
      </c>
    </row>
    <row r="137" spans="1:28" ht="12.75" customHeight="1">
      <c r="A137" s="476" t="s">
        <v>189</v>
      </c>
      <c r="B137" s="354">
        <v>20</v>
      </c>
      <c r="C137" s="356">
        <v>35999.5</v>
      </c>
      <c r="D137" s="356">
        <v>36000</v>
      </c>
      <c r="E137" s="354">
        <v>49765</v>
      </c>
      <c r="F137" s="357">
        <v>36000</v>
      </c>
      <c r="G137" s="334">
        <v>7.2300000000000003E-2</v>
      </c>
      <c r="H137" s="345">
        <v>33600</v>
      </c>
      <c r="I137" s="336">
        <v>36200</v>
      </c>
      <c r="J137" s="336">
        <v>32500</v>
      </c>
      <c r="K137" s="433">
        <v>33570</v>
      </c>
      <c r="L137" s="343">
        <v>151501688</v>
      </c>
      <c r="M137" s="340">
        <v>435338</v>
      </c>
      <c r="N137" s="343">
        <v>425</v>
      </c>
      <c r="O137" s="541">
        <v>45267.708564814813</v>
      </c>
      <c r="P137" s="557">
        <v>136</v>
      </c>
      <c r="Q137" s="440"/>
      <c r="R137" s="501"/>
      <c r="S137" s="507"/>
      <c r="T137" s="386"/>
      <c r="U137" s="400"/>
      <c r="V137" s="473">
        <v>0</v>
      </c>
      <c r="W137" s="324"/>
      <c r="X137" s="281"/>
      <c r="Y137" s="491">
        <f>IFERROR(((C137-D136)/100)/D136*100,0)</f>
        <v>-1.3888888888888888E-5</v>
      </c>
      <c r="Z137" s="599">
        <f t="shared" si="5"/>
        <v>0</v>
      </c>
      <c r="AA137" s="661"/>
    </row>
    <row r="138" spans="1:28" ht="12.75" customHeight="1">
      <c r="A138" s="373" t="s">
        <v>613</v>
      </c>
      <c r="B138" s="361"/>
      <c r="C138" s="362"/>
      <c r="D138" s="362"/>
      <c r="E138" s="361"/>
      <c r="F138" s="363"/>
      <c r="G138" s="364"/>
      <c r="H138" s="365"/>
      <c r="I138" s="337"/>
      <c r="J138" s="337"/>
      <c r="K138" s="438">
        <v>22.82</v>
      </c>
      <c r="L138" s="391"/>
      <c r="M138" s="341"/>
      <c r="N138" s="391"/>
      <c r="O138" s="543"/>
      <c r="P138" s="558">
        <v>137</v>
      </c>
      <c r="Q138" s="441"/>
      <c r="R138" s="503"/>
      <c r="S138" s="512"/>
      <c r="T138" s="385"/>
      <c r="U138" s="401"/>
      <c r="V138" s="474">
        <v>0</v>
      </c>
      <c r="W138" s="367"/>
      <c r="X138" s="392"/>
      <c r="Y138" s="670">
        <f>(C139*(1-$V$1))-D138</f>
        <v>0</v>
      </c>
      <c r="Z138" s="594">
        <f>IFERROR(F136/F138,0)</f>
        <v>0</v>
      </c>
      <c r="AA138" s="600" t="str">
        <f>IFERROR($AB$1/(F138/100)*(F136/100),"")</f>
        <v/>
      </c>
      <c r="AB138" s="431" t="str">
        <f>IFERROR((AA138/(F136/100))*(F138/100),"")</f>
        <v/>
      </c>
    </row>
    <row r="139" spans="1:28" ht="12.75" customHeight="1">
      <c r="A139" s="570" t="s">
        <v>276</v>
      </c>
      <c r="B139" s="353"/>
      <c r="C139" s="355"/>
      <c r="D139" s="355"/>
      <c r="E139" s="353"/>
      <c r="F139" s="357"/>
      <c r="G139" s="334"/>
      <c r="H139" s="345"/>
      <c r="I139" s="336"/>
      <c r="J139" s="336"/>
      <c r="K139" s="433">
        <v>27.088000000000001</v>
      </c>
      <c r="L139" s="343"/>
      <c r="M139" s="340"/>
      <c r="N139" s="343"/>
      <c r="O139" s="541"/>
      <c r="P139" s="557">
        <v>138</v>
      </c>
      <c r="Q139" s="440"/>
      <c r="R139" s="501"/>
      <c r="S139" s="507"/>
      <c r="T139" s="386"/>
      <c r="U139" s="400"/>
      <c r="V139" s="473">
        <v>0</v>
      </c>
      <c r="W139" s="324"/>
      <c r="X139" s="281"/>
      <c r="Y139" s="671">
        <f>IFERROR(((C139-D138)/100)/D138*100,0)</f>
        <v>0</v>
      </c>
      <c r="Z139" s="595">
        <f>IFERROR(F137/F139,0)</f>
        <v>0</v>
      </c>
      <c r="AA139" s="601" t="str">
        <f>IFERROR($AB$1/(F139/100)*(F137/100),"")</f>
        <v/>
      </c>
      <c r="AB139" s="431" t="str">
        <f>IFERROR((AA139/(F137/100))*(F139/100),"")</f>
        <v/>
      </c>
    </row>
    <row r="140" spans="1:28" ht="12.75" customHeight="1">
      <c r="A140" s="373" t="s">
        <v>614</v>
      </c>
      <c r="B140" s="366">
        <v>1042</v>
      </c>
      <c r="C140" s="362">
        <v>36.450000000000003</v>
      </c>
      <c r="D140" s="362"/>
      <c r="E140" s="366"/>
      <c r="F140" s="363"/>
      <c r="G140" s="364"/>
      <c r="H140" s="365"/>
      <c r="I140" s="337"/>
      <c r="J140" s="337"/>
      <c r="K140" s="438">
        <v>33.11</v>
      </c>
      <c r="L140" s="391"/>
      <c r="M140" s="341"/>
      <c r="N140" s="391"/>
      <c r="O140" s="543"/>
      <c r="P140" s="558">
        <v>139</v>
      </c>
      <c r="Q140" s="441"/>
      <c r="R140" s="503"/>
      <c r="S140" s="512"/>
      <c r="T140" s="385"/>
      <c r="U140" s="401"/>
      <c r="V140" s="474">
        <v>0</v>
      </c>
      <c r="W140" s="367"/>
      <c r="X140" s="392"/>
      <c r="Y140" s="668"/>
      <c r="Z140" s="596">
        <f>IFERROR(F136/F140,0)</f>
        <v>0</v>
      </c>
      <c r="AA140" s="600" t="str">
        <f>IFERROR($AB$1/(F140/100)*(F136/100),"")</f>
        <v/>
      </c>
      <c r="AB140" s="431" t="str">
        <f>IFERROR((AA140/(F136/100))*(F140/100),"")</f>
        <v/>
      </c>
    </row>
    <row r="141" spans="1:28" ht="12.75" customHeight="1">
      <c r="A141" s="479" t="s">
        <v>277</v>
      </c>
      <c r="B141" s="422">
        <v>160</v>
      </c>
      <c r="C141" s="423">
        <v>36.65</v>
      </c>
      <c r="D141" s="423">
        <v>37.450000000000003</v>
      </c>
      <c r="E141" s="422">
        <v>2000</v>
      </c>
      <c r="F141" s="417">
        <v>37.5</v>
      </c>
      <c r="G141" s="407">
        <v>3.0200000000000001E-2</v>
      </c>
      <c r="H141" s="408">
        <v>36.1</v>
      </c>
      <c r="I141" s="409">
        <v>37.5</v>
      </c>
      <c r="J141" s="409">
        <v>36.1</v>
      </c>
      <c r="K141" s="434">
        <v>36.4</v>
      </c>
      <c r="L141" s="414">
        <v>17255</v>
      </c>
      <c r="M141" s="410">
        <v>46779</v>
      </c>
      <c r="N141" s="414">
        <v>43</v>
      </c>
      <c r="O141" s="544">
        <v>45267.705995370372</v>
      </c>
      <c r="P141" s="557">
        <v>140</v>
      </c>
      <c r="Q141" s="442"/>
      <c r="R141" s="505"/>
      <c r="S141" s="513"/>
      <c r="T141" s="415"/>
      <c r="U141" s="400"/>
      <c r="V141" s="473">
        <v>0</v>
      </c>
      <c r="W141" s="419"/>
      <c r="X141" s="425"/>
      <c r="Y141" s="669"/>
      <c r="Z141" s="597">
        <f>IFERROR(F137/F141,0)</f>
        <v>960</v>
      </c>
      <c r="AA141" s="602">
        <f>IFERROR($AB$1/(F141/100)*(F137/100),"")</f>
        <v>504000</v>
      </c>
      <c r="AB141" s="431">
        <f>IFERROR((AA141/(F137/100))*(F141/100),"")</f>
        <v>525</v>
      </c>
    </row>
    <row r="142" spans="1:28" ht="12.75" customHeight="1">
      <c r="A142" s="447" t="s">
        <v>555</v>
      </c>
      <c r="B142" s="426"/>
      <c r="C142" s="330"/>
      <c r="D142" s="350"/>
      <c r="E142" s="426"/>
      <c r="F142" s="427"/>
      <c r="G142" s="347"/>
      <c r="H142" s="346"/>
      <c r="I142" s="338"/>
      <c r="J142" s="338"/>
      <c r="K142" s="437">
        <v>641</v>
      </c>
      <c r="L142" s="406"/>
      <c r="M142" s="342"/>
      <c r="N142" s="406"/>
      <c r="O142" s="540"/>
      <c r="P142" s="558">
        <v>141</v>
      </c>
      <c r="Q142" s="443">
        <v>0</v>
      </c>
      <c r="R142" s="500">
        <v>0</v>
      </c>
      <c r="S142" s="510">
        <v>0</v>
      </c>
      <c r="T142" s="387">
        <v>0</v>
      </c>
      <c r="U142" s="401"/>
      <c r="V142" s="474">
        <v>0</v>
      </c>
      <c r="W142" s="323">
        <v>0</v>
      </c>
      <c r="X142" s="483">
        <v>0</v>
      </c>
      <c r="Y142" s="492">
        <f>(C143*(1-$V$1))-D142</f>
        <v>0</v>
      </c>
      <c r="Z142" s="418">
        <f t="shared" ref="Z142:Z157" si="6">F142/100*V142-W142</f>
        <v>0</v>
      </c>
    </row>
    <row r="143" spans="1:28" ht="12.75" customHeight="1">
      <c r="A143" s="421" t="s">
        <v>556</v>
      </c>
      <c r="B143" s="359"/>
      <c r="C143" s="360"/>
      <c r="D143" s="360"/>
      <c r="E143" s="359"/>
      <c r="F143" s="348">
        <v>648.5</v>
      </c>
      <c r="G143" s="334"/>
      <c r="H143" s="345"/>
      <c r="I143" s="336"/>
      <c r="J143" s="336"/>
      <c r="K143" s="433"/>
      <c r="L143" s="343"/>
      <c r="M143" s="340"/>
      <c r="N143" s="343"/>
      <c r="O143" s="541"/>
      <c r="P143" s="557">
        <v>142</v>
      </c>
      <c r="Q143" s="440">
        <v>0</v>
      </c>
      <c r="R143" s="501">
        <v>0</v>
      </c>
      <c r="S143" s="507">
        <v>0</v>
      </c>
      <c r="T143" s="386">
        <v>0</v>
      </c>
      <c r="U143" s="400"/>
      <c r="V143" s="473">
        <v>0</v>
      </c>
      <c r="W143" s="324">
        <v>0</v>
      </c>
      <c r="X143" s="281">
        <v>0</v>
      </c>
      <c r="Y143" s="491">
        <f>IFERROR(((C143-D142)/100)/D142*100,0)</f>
        <v>0</v>
      </c>
      <c r="Z143" s="325">
        <f t="shared" si="6"/>
        <v>0</v>
      </c>
    </row>
    <row r="144" spans="1:28" ht="12.75" customHeight="1">
      <c r="A144" s="373" t="s">
        <v>557</v>
      </c>
      <c r="B144" s="369"/>
      <c r="C144" s="330"/>
      <c r="D144" s="370"/>
      <c r="E144" s="369"/>
      <c r="F144" s="371">
        <v>60</v>
      </c>
      <c r="G144" s="364"/>
      <c r="H144" s="365"/>
      <c r="I144" s="337"/>
      <c r="J144" s="337"/>
      <c r="K144" s="438"/>
      <c r="L144" s="391"/>
      <c r="M144" s="341"/>
      <c r="N144" s="391"/>
      <c r="O144" s="543"/>
      <c r="P144" s="558">
        <v>143</v>
      </c>
      <c r="Q144" s="441">
        <v>0</v>
      </c>
      <c r="R144" s="503">
        <v>0</v>
      </c>
      <c r="S144" s="512">
        <v>0</v>
      </c>
      <c r="T144" s="385">
        <v>0</v>
      </c>
      <c r="U144" s="401"/>
      <c r="V144" s="474">
        <v>0</v>
      </c>
      <c r="W144" s="367">
        <v>0</v>
      </c>
      <c r="X144" s="484">
        <v>0</v>
      </c>
      <c r="Y144" s="493">
        <f>(C145*(1-$V$1))-D144</f>
        <v>0</v>
      </c>
      <c r="Z144" s="368">
        <f t="shared" si="6"/>
        <v>0</v>
      </c>
    </row>
    <row r="145" spans="1:26" ht="12.75" customHeight="1">
      <c r="A145" s="421" t="s">
        <v>558</v>
      </c>
      <c r="B145" s="359"/>
      <c r="C145" s="360"/>
      <c r="D145" s="360"/>
      <c r="E145" s="359"/>
      <c r="F145" s="348">
        <v>59.2</v>
      </c>
      <c r="G145" s="334"/>
      <c r="H145" s="345"/>
      <c r="I145" s="336"/>
      <c r="J145" s="336"/>
      <c r="K145" s="433"/>
      <c r="L145" s="343"/>
      <c r="M145" s="340"/>
      <c r="N145" s="343"/>
      <c r="O145" s="541"/>
      <c r="P145" s="557">
        <v>144</v>
      </c>
      <c r="Q145" s="440">
        <v>0</v>
      </c>
      <c r="R145" s="501">
        <v>0</v>
      </c>
      <c r="S145" s="507">
        <v>0</v>
      </c>
      <c r="T145" s="386">
        <v>0</v>
      </c>
      <c r="U145" s="400"/>
      <c r="V145" s="473">
        <v>0</v>
      </c>
      <c r="W145" s="324">
        <v>0</v>
      </c>
      <c r="X145" s="281">
        <v>0</v>
      </c>
      <c r="Y145" s="491">
        <f>IFERROR(((C145-D144)/100)/D144*100,0)</f>
        <v>0</v>
      </c>
      <c r="Z145" s="325">
        <f t="shared" si="6"/>
        <v>0</v>
      </c>
    </row>
    <row r="146" spans="1:26" ht="12.75" customHeight="1">
      <c r="A146" s="373" t="s">
        <v>559</v>
      </c>
      <c r="B146" s="369"/>
      <c r="C146" s="330"/>
      <c r="D146" s="370"/>
      <c r="E146" s="369"/>
      <c r="F146" s="371">
        <v>530</v>
      </c>
      <c r="G146" s="364"/>
      <c r="H146" s="365"/>
      <c r="I146" s="337"/>
      <c r="J146" s="337"/>
      <c r="K146" s="438"/>
      <c r="L146" s="391"/>
      <c r="M146" s="341"/>
      <c r="N146" s="391"/>
      <c r="O146" s="543"/>
      <c r="P146" s="558">
        <v>145</v>
      </c>
      <c r="Q146" s="441">
        <v>0</v>
      </c>
      <c r="R146" s="503">
        <v>0</v>
      </c>
      <c r="S146" s="512">
        <v>0</v>
      </c>
      <c r="T146" s="385">
        <v>0</v>
      </c>
      <c r="U146" s="401"/>
      <c r="V146" s="474">
        <v>0</v>
      </c>
      <c r="W146" s="367">
        <v>0</v>
      </c>
      <c r="X146" s="484">
        <v>0</v>
      </c>
      <c r="Y146" s="493">
        <f>(C147*(1-$V$1))-D146</f>
        <v>0</v>
      </c>
      <c r="Z146" s="368">
        <f t="shared" si="6"/>
        <v>0</v>
      </c>
    </row>
    <row r="147" spans="1:26" ht="12.75" customHeight="1">
      <c r="A147" s="421" t="s">
        <v>560</v>
      </c>
      <c r="B147" s="359"/>
      <c r="C147" s="360"/>
      <c r="D147" s="360"/>
      <c r="E147" s="359"/>
      <c r="F147" s="348">
        <v>530</v>
      </c>
      <c r="G147" s="334"/>
      <c r="H147" s="345"/>
      <c r="I147" s="336"/>
      <c r="J147" s="336"/>
      <c r="K147" s="433"/>
      <c r="L147" s="343"/>
      <c r="M147" s="340"/>
      <c r="N147" s="343"/>
      <c r="O147" s="541"/>
      <c r="P147" s="557">
        <v>146</v>
      </c>
      <c r="Q147" s="440">
        <v>0</v>
      </c>
      <c r="R147" s="501">
        <v>0</v>
      </c>
      <c r="S147" s="507">
        <v>0</v>
      </c>
      <c r="T147" s="386">
        <v>0</v>
      </c>
      <c r="U147" s="400"/>
      <c r="V147" s="473">
        <v>0</v>
      </c>
      <c r="W147" s="324">
        <v>0</v>
      </c>
      <c r="X147" s="281">
        <v>0</v>
      </c>
      <c r="Y147" s="491">
        <f>IFERROR(((C147-D146)/100)/D146*100,0)</f>
        <v>0</v>
      </c>
      <c r="Z147" s="325">
        <f t="shared" si="6"/>
        <v>0</v>
      </c>
    </row>
    <row r="148" spans="1:26" ht="12.75" customHeight="1">
      <c r="A148" s="373" t="s">
        <v>561</v>
      </c>
      <c r="B148" s="369"/>
      <c r="C148" s="330"/>
      <c r="D148" s="370"/>
      <c r="E148" s="369"/>
      <c r="F148" s="371">
        <v>21.75</v>
      </c>
      <c r="G148" s="364"/>
      <c r="H148" s="365"/>
      <c r="I148" s="337"/>
      <c r="J148" s="337"/>
      <c r="K148" s="438"/>
      <c r="L148" s="391"/>
      <c r="M148" s="341"/>
      <c r="N148" s="391"/>
      <c r="O148" s="543"/>
      <c r="P148" s="558">
        <v>147</v>
      </c>
      <c r="Q148" s="441">
        <v>0</v>
      </c>
      <c r="R148" s="503">
        <v>0</v>
      </c>
      <c r="S148" s="512">
        <v>0</v>
      </c>
      <c r="T148" s="385">
        <v>0</v>
      </c>
      <c r="U148" s="401"/>
      <c r="V148" s="474">
        <v>0</v>
      </c>
      <c r="W148" s="367">
        <v>0</v>
      </c>
      <c r="X148" s="484">
        <v>0</v>
      </c>
      <c r="Y148" s="493">
        <f>(C149*(1-$V$1))-D148</f>
        <v>0</v>
      </c>
      <c r="Z148" s="368">
        <f t="shared" si="6"/>
        <v>0</v>
      </c>
    </row>
    <row r="149" spans="1:26" ht="12.75" customHeight="1">
      <c r="A149" s="421" t="s">
        <v>562</v>
      </c>
      <c r="B149" s="359"/>
      <c r="C149" s="360"/>
      <c r="D149" s="360"/>
      <c r="E149" s="359"/>
      <c r="F149" s="348">
        <v>21</v>
      </c>
      <c r="G149" s="334"/>
      <c r="H149" s="345"/>
      <c r="I149" s="336"/>
      <c r="J149" s="336"/>
      <c r="K149" s="433"/>
      <c r="L149" s="343"/>
      <c r="M149" s="340"/>
      <c r="N149" s="343"/>
      <c r="O149" s="541"/>
      <c r="P149" s="557">
        <v>148</v>
      </c>
      <c r="Q149" s="440">
        <v>0</v>
      </c>
      <c r="R149" s="501">
        <v>0</v>
      </c>
      <c r="S149" s="507">
        <v>0</v>
      </c>
      <c r="T149" s="386">
        <v>0</v>
      </c>
      <c r="U149" s="400"/>
      <c r="V149" s="473">
        <v>0</v>
      </c>
      <c r="W149" s="324">
        <v>0</v>
      </c>
      <c r="X149" s="281">
        <v>0</v>
      </c>
      <c r="Y149" s="491">
        <f>IFERROR(((C149-D148)/100)/D148*100,0)</f>
        <v>0</v>
      </c>
      <c r="Z149" s="325">
        <f t="shared" si="6"/>
        <v>0</v>
      </c>
    </row>
    <row r="150" spans="1:26" ht="12.75" customHeight="1">
      <c r="A150" s="373" t="s">
        <v>563</v>
      </c>
      <c r="B150" s="369"/>
      <c r="C150" s="330"/>
      <c r="D150" s="370"/>
      <c r="E150" s="369"/>
      <c r="F150" s="371">
        <v>728.7</v>
      </c>
      <c r="G150" s="364"/>
      <c r="H150" s="365"/>
      <c r="I150" s="337"/>
      <c r="J150" s="337"/>
      <c r="K150" s="438"/>
      <c r="L150" s="391"/>
      <c r="M150" s="341"/>
      <c r="N150" s="391"/>
      <c r="O150" s="543"/>
      <c r="P150" s="558">
        <v>149</v>
      </c>
      <c r="Q150" s="441">
        <v>0</v>
      </c>
      <c r="R150" s="503">
        <v>0</v>
      </c>
      <c r="S150" s="512">
        <v>0</v>
      </c>
      <c r="T150" s="385">
        <v>0</v>
      </c>
      <c r="U150" s="401"/>
      <c r="V150" s="474">
        <v>0</v>
      </c>
      <c r="W150" s="367">
        <v>0</v>
      </c>
      <c r="X150" s="484">
        <v>0</v>
      </c>
      <c r="Y150" s="493">
        <f>(C151*(1-$V$1))-D150</f>
        <v>0</v>
      </c>
      <c r="Z150" s="368">
        <f t="shared" si="6"/>
        <v>0</v>
      </c>
    </row>
    <row r="151" spans="1:26" ht="12.75" customHeight="1">
      <c r="A151" s="421" t="s">
        <v>568</v>
      </c>
      <c r="B151" s="359"/>
      <c r="C151" s="360"/>
      <c r="D151" s="360"/>
      <c r="E151" s="359"/>
      <c r="F151" s="348">
        <v>732.5</v>
      </c>
      <c r="G151" s="334"/>
      <c r="H151" s="345"/>
      <c r="I151" s="336"/>
      <c r="J151" s="336"/>
      <c r="K151" s="433"/>
      <c r="L151" s="343"/>
      <c r="M151" s="340"/>
      <c r="N151" s="343"/>
      <c r="O151" s="541"/>
      <c r="P151" s="557">
        <v>150</v>
      </c>
      <c r="Q151" s="440">
        <v>0</v>
      </c>
      <c r="R151" s="501">
        <v>0</v>
      </c>
      <c r="S151" s="507">
        <v>0</v>
      </c>
      <c r="T151" s="386">
        <v>0</v>
      </c>
      <c r="U151" s="400"/>
      <c r="V151" s="473">
        <v>0</v>
      </c>
      <c r="W151" s="324">
        <v>0</v>
      </c>
      <c r="X151" s="281">
        <v>0</v>
      </c>
      <c r="Y151" s="491">
        <f>IFERROR(((C151-D150)/100)/D150*100,0)</f>
        <v>0</v>
      </c>
      <c r="Z151" s="325">
        <f t="shared" si="6"/>
        <v>0</v>
      </c>
    </row>
    <row r="152" spans="1:26" ht="12.75" customHeight="1">
      <c r="A152" s="373" t="s">
        <v>564</v>
      </c>
      <c r="B152" s="369"/>
      <c r="C152" s="330"/>
      <c r="D152" s="370"/>
      <c r="E152" s="369"/>
      <c r="F152" s="371">
        <v>557</v>
      </c>
      <c r="G152" s="364"/>
      <c r="H152" s="365"/>
      <c r="I152" s="337"/>
      <c r="J152" s="337"/>
      <c r="K152" s="438"/>
      <c r="L152" s="391"/>
      <c r="M152" s="341"/>
      <c r="N152" s="391"/>
      <c r="O152" s="543"/>
      <c r="P152" s="558">
        <v>151</v>
      </c>
      <c r="Q152" s="441">
        <v>0</v>
      </c>
      <c r="R152" s="503">
        <v>0</v>
      </c>
      <c r="S152" s="512">
        <v>0</v>
      </c>
      <c r="T152" s="385">
        <v>0</v>
      </c>
      <c r="U152" s="401"/>
      <c r="V152" s="474">
        <v>0</v>
      </c>
      <c r="W152" s="367">
        <v>0</v>
      </c>
      <c r="X152" s="484">
        <v>0</v>
      </c>
      <c r="Y152" s="493">
        <f>(C153*(1-$V$1))-D152</f>
        <v>0</v>
      </c>
      <c r="Z152" s="368">
        <f t="shared" si="6"/>
        <v>0</v>
      </c>
    </row>
    <row r="153" spans="1:26" ht="12.75" customHeight="1">
      <c r="A153" s="421" t="s">
        <v>565</v>
      </c>
      <c r="B153" s="359"/>
      <c r="C153" s="360"/>
      <c r="D153" s="360"/>
      <c r="E153" s="359"/>
      <c r="F153" s="348">
        <v>558.79999999999995</v>
      </c>
      <c r="G153" s="334"/>
      <c r="H153" s="345"/>
      <c r="I153" s="336"/>
      <c r="J153" s="336"/>
      <c r="K153" s="433"/>
      <c r="L153" s="343"/>
      <c r="M153" s="340"/>
      <c r="N153" s="343"/>
      <c r="O153" s="541"/>
      <c r="P153" s="557">
        <v>152</v>
      </c>
      <c r="Q153" s="440">
        <v>0</v>
      </c>
      <c r="R153" s="501">
        <v>0</v>
      </c>
      <c r="S153" s="507">
        <v>0</v>
      </c>
      <c r="T153" s="386">
        <v>0</v>
      </c>
      <c r="U153" s="400"/>
      <c r="V153" s="473">
        <v>0</v>
      </c>
      <c r="W153" s="324">
        <v>0</v>
      </c>
      <c r="X153" s="281">
        <v>0</v>
      </c>
      <c r="Y153" s="491">
        <f>IFERROR(((C153-D152)/100)/D152*100,0)</f>
        <v>0</v>
      </c>
      <c r="Z153" s="325">
        <f t="shared" si="6"/>
        <v>0</v>
      </c>
    </row>
    <row r="154" spans="1:26" ht="12.75" customHeight="1">
      <c r="A154" s="373" t="s">
        <v>566</v>
      </c>
      <c r="B154" s="369"/>
      <c r="C154" s="330"/>
      <c r="D154" s="370"/>
      <c r="E154" s="369"/>
      <c r="F154" s="371">
        <v>531</v>
      </c>
      <c r="G154" s="364"/>
      <c r="H154" s="365"/>
      <c r="I154" s="337"/>
      <c r="J154" s="337"/>
      <c r="K154" s="438"/>
      <c r="L154" s="391"/>
      <c r="M154" s="341"/>
      <c r="N154" s="391"/>
      <c r="O154" s="543"/>
      <c r="P154" s="558">
        <v>153</v>
      </c>
      <c r="Q154" s="441">
        <v>0</v>
      </c>
      <c r="R154" s="503">
        <v>0</v>
      </c>
      <c r="S154" s="512">
        <v>0</v>
      </c>
      <c r="T154" s="385">
        <v>0</v>
      </c>
      <c r="U154" s="401"/>
      <c r="V154" s="474">
        <v>0</v>
      </c>
      <c r="W154" s="367">
        <v>0</v>
      </c>
      <c r="X154" s="484">
        <v>0</v>
      </c>
      <c r="Y154" s="493">
        <f>(C155*(1-$V$1))-D154</f>
        <v>0</v>
      </c>
      <c r="Z154" s="368">
        <f t="shared" si="6"/>
        <v>0</v>
      </c>
    </row>
    <row r="155" spans="1:26" ht="12.75" customHeight="1">
      <c r="A155" s="421" t="s">
        <v>567</v>
      </c>
      <c r="B155" s="359"/>
      <c r="C155" s="360"/>
      <c r="D155" s="360"/>
      <c r="E155" s="359"/>
      <c r="F155" s="348">
        <v>532.1</v>
      </c>
      <c r="G155" s="334"/>
      <c r="H155" s="345"/>
      <c r="I155" s="336"/>
      <c r="J155" s="336"/>
      <c r="K155" s="433"/>
      <c r="L155" s="343"/>
      <c r="M155" s="340"/>
      <c r="N155" s="343"/>
      <c r="O155" s="541"/>
      <c r="P155" s="557">
        <v>154</v>
      </c>
      <c r="Q155" s="440">
        <v>0</v>
      </c>
      <c r="R155" s="501">
        <v>0</v>
      </c>
      <c r="S155" s="507">
        <v>0</v>
      </c>
      <c r="T155" s="386">
        <v>0</v>
      </c>
      <c r="U155" s="400"/>
      <c r="V155" s="473">
        <v>0</v>
      </c>
      <c r="W155" s="324">
        <v>0</v>
      </c>
      <c r="X155" s="281">
        <v>0</v>
      </c>
      <c r="Y155" s="491">
        <f>IFERROR(((C155-D154)/100)/D154*100,0)</f>
        <v>0</v>
      </c>
      <c r="Z155" s="325">
        <f t="shared" si="6"/>
        <v>0</v>
      </c>
    </row>
    <row r="156" spans="1:26" ht="12.75" customHeight="1">
      <c r="A156" s="373" t="s">
        <v>586</v>
      </c>
      <c r="B156" s="369"/>
      <c r="C156" s="330"/>
      <c r="D156" s="370"/>
      <c r="E156" s="369"/>
      <c r="F156" s="371"/>
      <c r="G156" s="364"/>
      <c r="H156" s="365"/>
      <c r="I156" s="337"/>
      <c r="J156" s="337"/>
      <c r="K156" s="438"/>
      <c r="L156" s="391"/>
      <c r="M156" s="341"/>
      <c r="N156" s="391"/>
      <c r="O156" s="543"/>
      <c r="P156" s="558">
        <v>155</v>
      </c>
      <c r="Q156" s="441">
        <v>0</v>
      </c>
      <c r="R156" s="503">
        <v>0</v>
      </c>
      <c r="S156" s="512">
        <v>0</v>
      </c>
      <c r="T156" s="385">
        <v>0</v>
      </c>
      <c r="U156" s="401"/>
      <c r="V156" s="474">
        <v>0</v>
      </c>
      <c r="W156" s="367">
        <v>0</v>
      </c>
      <c r="X156" s="484">
        <v>0</v>
      </c>
      <c r="Y156" s="493">
        <f>(C157*(1-$V$1))-D156</f>
        <v>0</v>
      </c>
      <c r="Z156" s="368">
        <f t="shared" si="6"/>
        <v>0</v>
      </c>
    </row>
    <row r="157" spans="1:26" ht="12.75" customHeight="1">
      <c r="A157" s="421" t="s">
        <v>587</v>
      </c>
      <c r="B157" s="359"/>
      <c r="C157" s="360"/>
      <c r="D157" s="360"/>
      <c r="E157" s="359"/>
      <c r="F157" s="348">
        <v>201</v>
      </c>
      <c r="G157" s="334"/>
      <c r="H157" s="345"/>
      <c r="I157" s="336"/>
      <c r="J157" s="336"/>
      <c r="K157" s="433"/>
      <c r="L157" s="343"/>
      <c r="M157" s="340"/>
      <c r="N157" s="343"/>
      <c r="O157" s="541"/>
      <c r="P157" s="557">
        <v>156</v>
      </c>
      <c r="Q157" s="440">
        <v>0</v>
      </c>
      <c r="R157" s="501">
        <v>0</v>
      </c>
      <c r="S157" s="507">
        <v>0</v>
      </c>
      <c r="T157" s="386">
        <v>0</v>
      </c>
      <c r="U157" s="400"/>
      <c r="V157" s="473">
        <v>0</v>
      </c>
      <c r="W157" s="372">
        <v>0</v>
      </c>
      <c r="X157" s="322">
        <v>0</v>
      </c>
      <c r="Y157" s="491">
        <f>IFERROR(((C157-D156)/100)/D156*100,0)</f>
        <v>0</v>
      </c>
      <c r="Z157" s="325">
        <f t="shared" si="6"/>
        <v>0</v>
      </c>
    </row>
  </sheetData>
  <sortState xmlns:xlrd2="http://schemas.microsoft.com/office/spreadsheetml/2017/richdata2" ref="A23">
    <sortCondition descending="1" ref="A22:A23"/>
  </sortState>
  <mergeCells count="23">
    <mergeCell ref="AA4:AA5"/>
    <mergeCell ref="Y140:Y141"/>
    <mergeCell ref="AA130:AA131"/>
    <mergeCell ref="AA136:AA137"/>
    <mergeCell ref="AA12:AA13"/>
    <mergeCell ref="AA8:AA9"/>
    <mergeCell ref="Y138:Y139"/>
    <mergeCell ref="AA118:AA119"/>
    <mergeCell ref="AA124:AA125"/>
    <mergeCell ref="AA112:AA113"/>
    <mergeCell ref="AA100:AA101"/>
    <mergeCell ref="AA76:AA77"/>
    <mergeCell ref="AA82:AA83"/>
    <mergeCell ref="AA64:AA65"/>
    <mergeCell ref="AA106:AA107"/>
    <mergeCell ref="AA88:AA89"/>
    <mergeCell ref="AA94:AA95"/>
    <mergeCell ref="AA44:AA45"/>
    <mergeCell ref="AA42:AA43"/>
    <mergeCell ref="AA46:AA47"/>
    <mergeCell ref="AA52:AA53"/>
    <mergeCell ref="AA58:AA59"/>
    <mergeCell ref="AA70:AA71"/>
  </mergeCells>
  <phoneticPr fontId="16" type="noConversion"/>
  <conditionalFormatting sqref="A26:A41">
    <cfRule type="expression" dxfId="1025" priority="5610">
      <formula>V26&gt;0</formula>
    </cfRule>
    <cfRule type="expression" dxfId="1024" priority="5611">
      <formula>V26&lt;0</formula>
    </cfRule>
  </conditionalFormatting>
  <conditionalFormatting sqref="A42">
    <cfRule type="expression" dxfId="1023" priority="456">
      <formula>V42&lt;&gt;0</formula>
    </cfRule>
  </conditionalFormatting>
  <conditionalFormatting sqref="A43">
    <cfRule type="expression" dxfId="1022" priority="455">
      <formula>V43&lt;&gt;0</formula>
    </cfRule>
  </conditionalFormatting>
  <conditionalFormatting sqref="A44">
    <cfRule type="expression" dxfId="1021" priority="454">
      <formula>V44&lt;&gt;0</formula>
    </cfRule>
  </conditionalFormatting>
  <conditionalFormatting sqref="A45">
    <cfRule type="expression" dxfId="1020" priority="453">
      <formula>V45&lt;&gt;0</formula>
    </cfRule>
  </conditionalFormatting>
  <conditionalFormatting sqref="A46:A47">
    <cfRule type="expression" dxfId="1019" priority="243">
      <formula>V46&lt;&gt;0</formula>
    </cfRule>
  </conditionalFormatting>
  <conditionalFormatting sqref="A48:A49">
    <cfRule type="expression" dxfId="1018" priority="5399">
      <formula>V48&lt;&gt;0</formula>
    </cfRule>
  </conditionalFormatting>
  <conditionalFormatting sqref="A50:A51">
    <cfRule type="expression" dxfId="1017" priority="5398">
      <formula>V50&lt;&gt;0</formula>
    </cfRule>
  </conditionalFormatting>
  <conditionalFormatting sqref="A52:A53">
    <cfRule type="expression" dxfId="1016" priority="242">
      <formula>V52&lt;&gt;0</formula>
    </cfRule>
  </conditionalFormatting>
  <conditionalFormatting sqref="A54:A55">
    <cfRule type="expression" dxfId="1015" priority="5396">
      <formula>V54&lt;&gt;0</formula>
    </cfRule>
  </conditionalFormatting>
  <conditionalFormatting sqref="A56:A57">
    <cfRule type="expression" dxfId="1014" priority="5395">
      <formula>V56&lt;&gt;0</formula>
    </cfRule>
  </conditionalFormatting>
  <conditionalFormatting sqref="A58:A59">
    <cfRule type="expression" dxfId="1013" priority="241">
      <formula>V58&lt;&gt;0</formula>
    </cfRule>
  </conditionalFormatting>
  <conditionalFormatting sqref="A60:A61">
    <cfRule type="expression" dxfId="1012" priority="5393">
      <formula>V60&lt;&gt;0</formula>
    </cfRule>
  </conditionalFormatting>
  <conditionalFormatting sqref="A62:A63">
    <cfRule type="expression" dxfId="1011" priority="5392">
      <formula>V62&lt;&gt;0</formula>
    </cfRule>
  </conditionalFormatting>
  <conditionalFormatting sqref="A64:A65">
    <cfRule type="expression" dxfId="1010" priority="240">
      <formula>V64&lt;&gt;0</formula>
    </cfRule>
  </conditionalFormatting>
  <conditionalFormatting sqref="A66:A67">
    <cfRule type="expression" dxfId="1009" priority="5390">
      <formula>V66&lt;&gt;0</formula>
    </cfRule>
  </conditionalFormatting>
  <conditionalFormatting sqref="A68:A69">
    <cfRule type="expression" dxfId="1008" priority="5389">
      <formula>V68&lt;&gt;0</formula>
    </cfRule>
  </conditionalFormatting>
  <conditionalFormatting sqref="A70:A71">
    <cfRule type="expression" dxfId="1007" priority="239">
      <formula>V70&lt;&gt;0</formula>
    </cfRule>
  </conditionalFormatting>
  <conditionalFormatting sqref="A72:A73">
    <cfRule type="expression" dxfId="1006" priority="5387">
      <formula>V72&lt;&gt;0</formula>
    </cfRule>
  </conditionalFormatting>
  <conditionalFormatting sqref="A74:A75">
    <cfRule type="expression" dxfId="1005" priority="5386">
      <formula>V74&lt;&gt;0</formula>
    </cfRule>
  </conditionalFormatting>
  <conditionalFormatting sqref="A76:A77">
    <cfRule type="expression" dxfId="1004" priority="238">
      <formula>V76&lt;&gt;0</formula>
    </cfRule>
  </conditionalFormatting>
  <conditionalFormatting sqref="A78:A79">
    <cfRule type="expression" dxfId="1003" priority="7347">
      <formula>V84&lt;&gt;0</formula>
    </cfRule>
  </conditionalFormatting>
  <conditionalFormatting sqref="A80:A81">
    <cfRule type="expression" dxfId="1002" priority="7348">
      <formula>V86&lt;&gt;0</formula>
    </cfRule>
  </conditionalFormatting>
  <conditionalFormatting sqref="A82:A83">
    <cfRule type="expression" dxfId="1001" priority="237">
      <formula>V82&lt;&gt;0</formula>
    </cfRule>
  </conditionalFormatting>
  <conditionalFormatting sqref="A84:A85">
    <cfRule type="expression" dxfId="1000" priority="7345">
      <formula>V78&lt;&gt;0</formula>
    </cfRule>
  </conditionalFormatting>
  <conditionalFormatting sqref="A86:A87">
    <cfRule type="expression" dxfId="999" priority="7346">
      <formula>V80&lt;&gt;0</formula>
    </cfRule>
  </conditionalFormatting>
  <conditionalFormatting sqref="A88:A89">
    <cfRule type="expression" dxfId="998" priority="236">
      <formula>V88&lt;&gt;0</formula>
    </cfRule>
  </conditionalFormatting>
  <conditionalFormatting sqref="A90:A91">
    <cfRule type="expression" dxfId="997" priority="4642">
      <formula>V84&lt;&gt;0</formula>
    </cfRule>
  </conditionalFormatting>
  <conditionalFormatting sqref="A92:A93">
    <cfRule type="expression" dxfId="996" priority="4643">
      <formula>V86&lt;&gt;0</formula>
    </cfRule>
  </conditionalFormatting>
  <conditionalFormatting sqref="A94:A95">
    <cfRule type="expression" dxfId="995" priority="235">
      <formula>V94&lt;&gt;0</formula>
    </cfRule>
  </conditionalFormatting>
  <conditionalFormatting sqref="A96:A97">
    <cfRule type="expression" dxfId="994" priority="4584">
      <formula>V90&lt;&gt;0</formula>
    </cfRule>
  </conditionalFormatting>
  <conditionalFormatting sqref="A98:A99">
    <cfRule type="expression" dxfId="993" priority="4585">
      <formula>V92&lt;&gt;0</formula>
    </cfRule>
  </conditionalFormatting>
  <conditionalFormatting sqref="A100:A101">
    <cfRule type="expression" dxfId="992" priority="234">
      <formula>V100&lt;&gt;0</formula>
    </cfRule>
  </conditionalFormatting>
  <conditionalFormatting sqref="A102:A103">
    <cfRule type="expression" dxfId="991" priority="4526">
      <formula>V96&lt;&gt;0</formula>
    </cfRule>
  </conditionalFormatting>
  <conditionalFormatting sqref="A104:A105">
    <cfRule type="expression" dxfId="990" priority="4527">
      <formula>V98&lt;&gt;0</formula>
    </cfRule>
  </conditionalFormatting>
  <conditionalFormatting sqref="A106:A107">
    <cfRule type="expression" dxfId="989" priority="233">
      <formula>V106&lt;&gt;0</formula>
    </cfRule>
  </conditionalFormatting>
  <conditionalFormatting sqref="A108:A109">
    <cfRule type="expression" dxfId="988" priority="4466">
      <formula>V102&lt;&gt;0</formula>
    </cfRule>
  </conditionalFormatting>
  <conditionalFormatting sqref="A110:A111">
    <cfRule type="expression" dxfId="987" priority="4467">
      <formula>V104&lt;&gt;0</formula>
    </cfRule>
  </conditionalFormatting>
  <conditionalFormatting sqref="A112:A113">
    <cfRule type="expression" dxfId="986" priority="232">
      <formula>V112&lt;&gt;0</formula>
    </cfRule>
  </conditionalFormatting>
  <conditionalFormatting sqref="A114:A115">
    <cfRule type="expression" dxfId="985" priority="4406">
      <formula>V108&lt;&gt;0</formula>
    </cfRule>
  </conditionalFormatting>
  <conditionalFormatting sqref="A116:A117">
    <cfRule type="expression" dxfId="984" priority="4407">
      <formula>V110&lt;&gt;0</formula>
    </cfRule>
  </conditionalFormatting>
  <conditionalFormatting sqref="A118:A119">
    <cfRule type="expression" dxfId="983" priority="231">
      <formula>V118&lt;&gt;0</formula>
    </cfRule>
  </conditionalFormatting>
  <conditionalFormatting sqref="A120:A121">
    <cfRule type="expression" dxfId="982" priority="4346">
      <formula>V114&lt;&gt;0</formula>
    </cfRule>
  </conditionalFormatting>
  <conditionalFormatting sqref="A122:A123">
    <cfRule type="expression" dxfId="981" priority="4347">
      <formula>V116&lt;&gt;0</formula>
    </cfRule>
  </conditionalFormatting>
  <conditionalFormatting sqref="A124:A125">
    <cfRule type="expression" dxfId="980" priority="230">
      <formula>V124&lt;&gt;0</formula>
    </cfRule>
  </conditionalFormatting>
  <conditionalFormatting sqref="A126:A127">
    <cfRule type="expression" dxfId="979" priority="4286">
      <formula>V120&lt;&gt;0</formula>
    </cfRule>
  </conditionalFormatting>
  <conditionalFormatting sqref="A128:A129">
    <cfRule type="expression" dxfId="978" priority="4287">
      <formula>V122&lt;&gt;0</formula>
    </cfRule>
  </conditionalFormatting>
  <conditionalFormatting sqref="A130:A131">
    <cfRule type="expression" dxfId="977" priority="229">
      <formula>V130&lt;&gt;0</formula>
    </cfRule>
  </conditionalFormatting>
  <conditionalFormatting sqref="A132:A133">
    <cfRule type="expression" dxfId="976" priority="4226">
      <formula>V126&lt;&gt;0</formula>
    </cfRule>
  </conditionalFormatting>
  <conditionalFormatting sqref="A134:A135">
    <cfRule type="expression" dxfId="975" priority="4227">
      <formula>V128&lt;&gt;0</formula>
    </cfRule>
  </conditionalFormatting>
  <conditionalFormatting sqref="A142:A157">
    <cfRule type="expression" dxfId="974" priority="4167">
      <formula>V136&lt;&gt;0</formula>
    </cfRule>
  </conditionalFormatting>
  <conditionalFormatting sqref="B42:B47 B50:B53 B56:B59 B62:B65 B68:B71 B74:B77 B80:B83 B86:B89 B92:B95 B98:B101 B104:B107 B110:B113 B116:B119 B122:B125 B128:B131 B134:B137 B2:B25">
    <cfRule type="cellIs" dxfId="973" priority="6087" operator="greaterThan">
      <formula>E2</formula>
    </cfRule>
  </conditionalFormatting>
  <conditionalFormatting sqref="B140:B157">
    <cfRule type="cellIs" dxfId="972" priority="4659" operator="greaterThan">
      <formula>E140</formula>
    </cfRule>
  </conditionalFormatting>
  <conditionalFormatting sqref="C26:C41">
    <cfRule type="cellIs" dxfId="971" priority="5613" operator="greaterThan">
      <formula>F26</formula>
    </cfRule>
  </conditionalFormatting>
  <conditionalFormatting sqref="E42:E47 E50:E53 E56:E59 E62:E65 E68:E71 E74:E77 E80:E83 E86:E89 E92:E95 E98:E101 E104:E107 E110:E113 E116:E119 E122:E125 E128:E131 E134:E137 E2:E25">
    <cfRule type="cellIs" dxfId="970" priority="6086" operator="greaterThan">
      <formula>B2</formula>
    </cfRule>
  </conditionalFormatting>
  <conditionalFormatting sqref="E140:E157">
    <cfRule type="cellIs" dxfId="969" priority="4658" operator="greaterThan">
      <formula>B140</formula>
    </cfRule>
  </conditionalFormatting>
  <conditionalFormatting sqref="F2:F13">
    <cfRule type="cellIs" dxfId="968" priority="428" operator="lessThanOrEqual">
      <formula>$C2</formula>
    </cfRule>
    <cfRule type="cellIs" dxfId="967" priority="429" operator="greaterThan">
      <formula>$C2</formula>
    </cfRule>
  </conditionalFormatting>
  <conditionalFormatting sqref="F44:F45">
    <cfRule type="cellIs" dxfId="966" priority="3117" operator="lessThan">
      <formula>D44</formula>
    </cfRule>
    <cfRule type="cellIs" dxfId="965" priority="3118" operator="greaterThan">
      <formula>D44</formula>
    </cfRule>
  </conditionalFormatting>
  <conditionalFormatting sqref="G2:G157">
    <cfRule type="cellIs" dxfId="964" priority="4660" operator="lessThan">
      <formula>0</formula>
    </cfRule>
    <cfRule type="cellIs" dxfId="963" priority="4661" operator="greaterThan">
      <formula>0</formula>
    </cfRule>
  </conditionalFormatting>
  <conditionalFormatting sqref="Q2:T157">
    <cfRule type="cellIs" dxfId="962" priority="4169" operator="equal">
      <formula>0</formula>
    </cfRule>
  </conditionalFormatting>
  <conditionalFormatting sqref="V2:V157">
    <cfRule type="cellIs" dxfId="961" priority="4662" operator="lessThan">
      <formula>0</formula>
    </cfRule>
    <cfRule type="cellIs" dxfId="960" priority="4663" operator="equal">
      <formula>0</formula>
    </cfRule>
  </conditionalFormatting>
  <conditionalFormatting sqref="W2:X157">
    <cfRule type="cellIs" dxfId="959" priority="4168" operator="equal">
      <formula>0</formula>
    </cfRule>
  </conditionalFormatting>
  <conditionalFormatting sqref="Y5 Y9">
    <cfRule type="cellIs" dxfId="958" priority="452" operator="greaterThan">
      <formula>Y2</formula>
    </cfRule>
  </conditionalFormatting>
  <conditionalFormatting sqref="Y42:Y123">
    <cfRule type="cellIs" dxfId="957" priority="265" operator="equal">
      <formula>0</formula>
    </cfRule>
  </conditionalFormatting>
  <conditionalFormatting sqref="Y43 Y137 Y143 Y145 Y147 Y149 Y151 Y153 Y155 Y157">
    <cfRule type="expression" dxfId="956" priority="7349">
      <formula>Y43&gt;$AE$1*$AD$1</formula>
    </cfRule>
  </conditionalFormatting>
  <conditionalFormatting sqref="Y43:Y47">
    <cfRule type="cellIs" dxfId="955" priority="329" operator="lessThan">
      <formula>0</formula>
    </cfRule>
  </conditionalFormatting>
  <conditionalFormatting sqref="Y44">
    <cfRule type="expression" dxfId="954" priority="7367">
      <formula>Y45&gt;$AE$1*$AD$1</formula>
    </cfRule>
  </conditionalFormatting>
  <conditionalFormatting sqref="Y45">
    <cfRule type="expression" dxfId="953" priority="7350">
      <formula>Y45&gt;$AE$1*$AD$1</formula>
    </cfRule>
  </conditionalFormatting>
  <conditionalFormatting sqref="Y46">
    <cfRule type="expression" dxfId="952" priority="333">
      <formula>Y47&gt;$AE$1*$AD$1</formula>
    </cfRule>
  </conditionalFormatting>
  <conditionalFormatting sqref="Y47">
    <cfRule type="expression" dxfId="951" priority="331">
      <formula>Y47&gt;$AE$1*$AD$1</formula>
    </cfRule>
    <cfRule type="expression" dxfId="950" priority="332">
      <formula>Y47&gt;$AE$1*$AD$1</formula>
    </cfRule>
  </conditionalFormatting>
  <conditionalFormatting sqref="Y48:Y51">
    <cfRule type="cellIs" dxfId="949" priority="2947" operator="lessThan">
      <formula>0</formula>
    </cfRule>
  </conditionalFormatting>
  <conditionalFormatting sqref="Y52">
    <cfRule type="expression" dxfId="948" priority="328">
      <formula>Y53&gt;$AE$1*$AD$1</formula>
    </cfRule>
  </conditionalFormatting>
  <conditionalFormatting sqref="Y52:Y53">
    <cfRule type="cellIs" dxfId="947" priority="324" operator="lessThan">
      <formula>0</formula>
    </cfRule>
  </conditionalFormatting>
  <conditionalFormatting sqref="Y53">
    <cfRule type="expression" dxfId="946" priority="326">
      <formula>Y53&gt;$AE$1*$AD$1</formula>
    </cfRule>
    <cfRule type="expression" dxfId="945" priority="327">
      <formula>Y53&gt;$AE$1*$AD$1</formula>
    </cfRule>
  </conditionalFormatting>
  <conditionalFormatting sqref="Y54:Y57">
    <cfRule type="cellIs" dxfId="944" priority="2468" operator="lessThan">
      <formula>0</formula>
    </cfRule>
  </conditionalFormatting>
  <conditionalFormatting sqref="Y58">
    <cfRule type="expression" dxfId="943" priority="323">
      <formula>Y59&gt;$AE$1*$AD$1</formula>
    </cfRule>
  </conditionalFormatting>
  <conditionalFormatting sqref="Y58:Y59">
    <cfRule type="cellIs" dxfId="942" priority="319" operator="lessThan">
      <formula>0</formula>
    </cfRule>
  </conditionalFormatting>
  <conditionalFormatting sqref="Y59">
    <cfRule type="expression" dxfId="941" priority="321">
      <formula>Y59&gt;$AE$1*$AD$1</formula>
    </cfRule>
    <cfRule type="expression" dxfId="940" priority="322">
      <formula>Y59&gt;$AE$1*$AD$1</formula>
    </cfRule>
  </conditionalFormatting>
  <conditionalFormatting sqref="Y60:Y63">
    <cfRule type="cellIs" dxfId="939" priority="2456" operator="lessThan">
      <formula>0</formula>
    </cfRule>
  </conditionalFormatting>
  <conditionalFormatting sqref="Y64">
    <cfRule type="expression" dxfId="938" priority="318">
      <formula>Y65&gt;$AE$1*$AD$1</formula>
    </cfRule>
  </conditionalFormatting>
  <conditionalFormatting sqref="Y64:Y65">
    <cfRule type="cellIs" dxfId="937" priority="314" operator="lessThan">
      <formula>0</formula>
    </cfRule>
  </conditionalFormatting>
  <conditionalFormatting sqref="Y65">
    <cfRule type="expression" dxfId="936" priority="316">
      <formula>Y65&gt;$AE$1*$AD$1</formula>
    </cfRule>
    <cfRule type="expression" dxfId="935" priority="317">
      <formula>Y65&gt;$AE$1*$AD$1</formula>
    </cfRule>
  </conditionalFormatting>
  <conditionalFormatting sqref="Y66:Y69">
    <cfRule type="cellIs" dxfId="934" priority="2435" operator="lessThan">
      <formula>0</formula>
    </cfRule>
  </conditionalFormatting>
  <conditionalFormatting sqref="Y70">
    <cfRule type="expression" dxfId="933" priority="313">
      <formula>Y71&gt;$AE$1*$AD$1</formula>
    </cfRule>
  </conditionalFormatting>
  <conditionalFormatting sqref="Y70:Y71">
    <cfRule type="cellIs" dxfId="932" priority="309" operator="lessThan">
      <formula>0</formula>
    </cfRule>
  </conditionalFormatting>
  <conditionalFormatting sqref="Y71">
    <cfRule type="expression" dxfId="931" priority="311">
      <formula>Y71&gt;$AE$1*$AD$1</formula>
    </cfRule>
    <cfRule type="expression" dxfId="930" priority="312">
      <formula>Y71&gt;$AE$1*$AD$1</formula>
    </cfRule>
  </conditionalFormatting>
  <conditionalFormatting sqref="Y72:Y75">
    <cfRule type="cellIs" dxfId="929" priority="2403" operator="lessThan">
      <formula>0</formula>
    </cfRule>
  </conditionalFormatting>
  <conditionalFormatting sqref="Y76">
    <cfRule type="expression" dxfId="928" priority="308">
      <formula>Y77&gt;$AE$1*$AD$1</formula>
    </cfRule>
  </conditionalFormatting>
  <conditionalFormatting sqref="Y76:Y77">
    <cfRule type="cellIs" dxfId="927" priority="304" operator="lessThan">
      <formula>0</formula>
    </cfRule>
  </conditionalFormatting>
  <conditionalFormatting sqref="Y77">
    <cfRule type="expression" dxfId="926" priority="306">
      <formula>Y77&gt;$AE$1*$AD$1</formula>
    </cfRule>
    <cfRule type="expression" dxfId="925" priority="307">
      <formula>Y77&gt;$AE$1*$AD$1</formula>
    </cfRule>
  </conditionalFormatting>
  <conditionalFormatting sqref="Y78:Y81">
    <cfRule type="cellIs" dxfId="924" priority="2358" operator="lessThan">
      <formula>0</formula>
    </cfRule>
  </conditionalFormatting>
  <conditionalFormatting sqref="Y82">
    <cfRule type="expression" dxfId="923" priority="303">
      <formula>Y83&gt;$AE$1*$AD$1</formula>
    </cfRule>
  </conditionalFormatting>
  <conditionalFormatting sqref="Y82:Y83">
    <cfRule type="cellIs" dxfId="922" priority="299" operator="lessThan">
      <formula>0</formula>
    </cfRule>
  </conditionalFormatting>
  <conditionalFormatting sqref="Y83">
    <cfRule type="expression" dxfId="921" priority="301">
      <formula>Y83&gt;$AE$1*$AD$1</formula>
    </cfRule>
    <cfRule type="expression" dxfId="920" priority="302">
      <formula>Y83&gt;$AE$1*$AD$1</formula>
    </cfRule>
  </conditionalFormatting>
  <conditionalFormatting sqref="Y84:Y87">
    <cfRule type="cellIs" dxfId="919" priority="1681" operator="lessThan">
      <formula>0</formula>
    </cfRule>
  </conditionalFormatting>
  <conditionalFormatting sqref="Y88">
    <cfRule type="expression" dxfId="918" priority="298">
      <formula>Y89&gt;$AE$1*$AD$1</formula>
    </cfRule>
  </conditionalFormatting>
  <conditionalFormatting sqref="Y88:Y89">
    <cfRule type="cellIs" dxfId="917" priority="294" operator="lessThan">
      <formula>0</formula>
    </cfRule>
  </conditionalFormatting>
  <conditionalFormatting sqref="Y89">
    <cfRule type="expression" dxfId="916" priority="296">
      <formula>Y89&gt;$AE$1*$AD$1</formula>
    </cfRule>
    <cfRule type="expression" dxfId="915" priority="297">
      <formula>Y89&gt;$AE$1*$AD$1</formula>
    </cfRule>
  </conditionalFormatting>
  <conditionalFormatting sqref="Y90:Y93">
    <cfRule type="cellIs" dxfId="914" priority="1621" operator="lessThan">
      <formula>0</formula>
    </cfRule>
  </conditionalFormatting>
  <conditionalFormatting sqref="Y94">
    <cfRule type="expression" dxfId="913" priority="293">
      <formula>Y95&gt;$AE$1*$AD$1</formula>
    </cfRule>
  </conditionalFormatting>
  <conditionalFormatting sqref="Y94:Y95">
    <cfRule type="cellIs" dxfId="912" priority="289" operator="lessThan">
      <formula>0</formula>
    </cfRule>
  </conditionalFormatting>
  <conditionalFormatting sqref="Y95">
    <cfRule type="expression" dxfId="911" priority="291">
      <formula>Y95&gt;$AE$1*$AD$1</formula>
    </cfRule>
    <cfRule type="expression" dxfId="910" priority="292">
      <formula>Y95&gt;$AE$1*$AD$1</formula>
    </cfRule>
  </conditionalFormatting>
  <conditionalFormatting sqref="Y96:Y99">
    <cfRule type="cellIs" dxfId="909" priority="1561" operator="lessThan">
      <formula>0</formula>
    </cfRule>
  </conditionalFormatting>
  <conditionalFormatting sqref="Y100">
    <cfRule type="expression" dxfId="908" priority="288">
      <formula>Y101&gt;$AE$1*$AD$1</formula>
    </cfRule>
  </conditionalFormatting>
  <conditionalFormatting sqref="Y100:Y101">
    <cfRule type="cellIs" dxfId="907" priority="284" operator="lessThan">
      <formula>0</formula>
    </cfRule>
  </conditionalFormatting>
  <conditionalFormatting sqref="Y101">
    <cfRule type="expression" dxfId="906" priority="286">
      <formula>Y101&gt;$AE$1*$AD$1</formula>
    </cfRule>
    <cfRule type="expression" dxfId="905" priority="287">
      <formula>Y101&gt;$AE$1*$AD$1</formula>
    </cfRule>
  </conditionalFormatting>
  <conditionalFormatting sqref="Y102:Y105">
    <cfRule type="cellIs" dxfId="904" priority="1501" operator="lessThan">
      <formula>0</formula>
    </cfRule>
  </conditionalFormatting>
  <conditionalFormatting sqref="Y106">
    <cfRule type="expression" dxfId="903" priority="283">
      <formula>Y107&gt;$AE$1*$AD$1</formula>
    </cfRule>
  </conditionalFormatting>
  <conditionalFormatting sqref="Y106:Y107">
    <cfRule type="cellIs" dxfId="902" priority="279" operator="lessThan">
      <formula>0</formula>
    </cfRule>
  </conditionalFormatting>
  <conditionalFormatting sqref="Y107">
    <cfRule type="expression" dxfId="901" priority="281">
      <formula>Y107&gt;$AE$1*$AD$1</formula>
    </cfRule>
    <cfRule type="expression" dxfId="900" priority="282">
      <formula>Y107&gt;$AE$1*$AD$1</formula>
    </cfRule>
  </conditionalFormatting>
  <conditionalFormatting sqref="Y108:Y111">
    <cfRule type="cellIs" dxfId="899" priority="640" operator="lessThan">
      <formula>0</formula>
    </cfRule>
  </conditionalFormatting>
  <conditionalFormatting sqref="Y112">
    <cfRule type="expression" dxfId="898" priority="278">
      <formula>Y113&gt;$AE$1*$AD$1</formula>
    </cfRule>
  </conditionalFormatting>
  <conditionalFormatting sqref="Y112:Y113">
    <cfRule type="cellIs" dxfId="897" priority="274" operator="lessThan">
      <formula>0</formula>
    </cfRule>
  </conditionalFormatting>
  <conditionalFormatting sqref="Y113">
    <cfRule type="expression" dxfId="896" priority="276">
      <formula>Y113&gt;$AE$1*$AD$1</formula>
    </cfRule>
    <cfRule type="expression" dxfId="895" priority="277">
      <formula>Y113&gt;$AE$1*$AD$1</formula>
    </cfRule>
  </conditionalFormatting>
  <conditionalFormatting sqref="Y114:Y117">
    <cfRule type="cellIs" dxfId="894" priority="580" operator="lessThan">
      <formula>0</formula>
    </cfRule>
  </conditionalFormatting>
  <conditionalFormatting sqref="Y118">
    <cfRule type="expression" dxfId="893" priority="273">
      <formula>Y119&gt;$AE$1*$AD$1</formula>
    </cfRule>
  </conditionalFormatting>
  <conditionalFormatting sqref="Y118:Y119">
    <cfRule type="cellIs" dxfId="892" priority="269" operator="lessThan">
      <formula>0</formula>
    </cfRule>
  </conditionalFormatting>
  <conditionalFormatting sqref="Y119">
    <cfRule type="expression" dxfId="891" priority="271">
      <formula>Y119&gt;$AE$1*$AD$1</formula>
    </cfRule>
    <cfRule type="expression" dxfId="890" priority="272">
      <formula>Y119&gt;$AE$1*$AD$1</formula>
    </cfRule>
  </conditionalFormatting>
  <conditionalFormatting sqref="Y120:Y123">
    <cfRule type="cellIs" dxfId="889" priority="520" operator="lessThan">
      <formula>0</formula>
    </cfRule>
  </conditionalFormatting>
  <conditionalFormatting sqref="Y130">
    <cfRule type="expression" dxfId="888" priority="263">
      <formula>Y131&gt;$AE$1*$AD$1</formula>
    </cfRule>
  </conditionalFormatting>
  <conditionalFormatting sqref="Y130:Y131">
    <cfRule type="cellIs" dxfId="887" priority="259" operator="lessThan">
      <formula>0</formula>
    </cfRule>
  </conditionalFormatting>
  <conditionalFormatting sqref="Y130:Y141">
    <cfRule type="cellIs" dxfId="886" priority="260" operator="equal">
      <formula>0</formula>
    </cfRule>
  </conditionalFormatting>
  <conditionalFormatting sqref="Y131">
    <cfRule type="expression" dxfId="885" priority="261">
      <formula>Y131&gt;$AE$1*$AD$1</formula>
    </cfRule>
    <cfRule type="expression" dxfId="884" priority="262">
      <formula>Y131&gt;$AE$1*$AD$1</formula>
    </cfRule>
  </conditionalFormatting>
  <conditionalFormatting sqref="Y132:Y135">
    <cfRule type="cellIs" dxfId="883" priority="460" operator="lessThan">
      <formula>0</formula>
    </cfRule>
  </conditionalFormatting>
  <conditionalFormatting sqref="Y136">
    <cfRule type="cellIs" dxfId="882" priority="3395" operator="lessThan">
      <formula>0</formula>
    </cfRule>
  </conditionalFormatting>
  <conditionalFormatting sqref="Y138:Y157">
    <cfRule type="cellIs" dxfId="881" priority="3391" operator="lessThan">
      <formula>0</formula>
    </cfRule>
  </conditionalFormatting>
  <conditionalFormatting sqref="Y26:Z41">
    <cfRule type="cellIs" dxfId="880" priority="4912" operator="equal">
      <formula>0</formula>
    </cfRule>
  </conditionalFormatting>
  <conditionalFormatting sqref="AA14 AA18 AA22">
    <cfRule type="expression" dxfId="879" priority="4943">
      <formula>AB14&gt;Z15</formula>
    </cfRule>
  </conditionalFormatting>
  <conditionalFormatting sqref="AA15">
    <cfRule type="expression" dxfId="878" priority="4075">
      <formula>AB15&gt;Z14</formula>
    </cfRule>
  </conditionalFormatting>
  <conditionalFormatting sqref="AA16">
    <cfRule type="expression" dxfId="877" priority="4074">
      <formula>AB16&gt;Z17</formula>
    </cfRule>
  </conditionalFormatting>
  <conditionalFormatting sqref="AA17">
    <cfRule type="expression" dxfId="876" priority="4073">
      <formula>AB17&gt;Z16</formula>
    </cfRule>
  </conditionalFormatting>
  <conditionalFormatting sqref="AA19 AA23">
    <cfRule type="expression" dxfId="875" priority="4072">
      <formula>AB19&gt;Z18</formula>
    </cfRule>
  </conditionalFormatting>
  <conditionalFormatting sqref="AA20 AA24">
    <cfRule type="expression" dxfId="874" priority="4071">
      <formula>AB20&gt;Z21</formula>
    </cfRule>
  </conditionalFormatting>
  <conditionalFormatting sqref="AA21 AA25">
    <cfRule type="expression" dxfId="873" priority="4070">
      <formula>AB21&gt;Z20</formula>
    </cfRule>
  </conditionalFormatting>
  <conditionalFormatting sqref="Z2 Z6">
    <cfRule type="cellIs" dxfId="872" priority="450" operator="lessThan">
      <formula>Z3</formula>
    </cfRule>
  </conditionalFormatting>
  <conditionalFormatting sqref="Z42:Z43">
    <cfRule type="cellIs" dxfId="871" priority="3534" operator="greaterThan">
      <formula>0</formula>
    </cfRule>
    <cfRule type="cellIs" dxfId="870" priority="3535" operator="lessThan">
      <formula>0</formula>
    </cfRule>
    <cfRule type="cellIs" dxfId="869" priority="3536" operator="equal">
      <formula>0</formula>
    </cfRule>
  </conditionalFormatting>
  <conditionalFormatting sqref="Z44">
    <cfRule type="cellIs" dxfId="868" priority="2725" operator="greaterThan">
      <formula>Z45</formula>
    </cfRule>
    <cfRule type="cellIs" dxfId="867" priority="2726" operator="lessThan">
      <formula>Z45</formula>
    </cfRule>
    <cfRule type="cellIs" dxfId="866" priority="2727" operator="equal">
      <formula>0</formula>
    </cfRule>
  </conditionalFormatting>
  <conditionalFormatting sqref="Z45">
    <cfRule type="cellIs" dxfId="865" priority="2724" operator="equal">
      <formula>0</formula>
    </cfRule>
  </conditionalFormatting>
  <conditionalFormatting sqref="Z46">
    <cfRule type="cellIs" dxfId="864" priority="2747" operator="greaterThan">
      <formula>Z47</formula>
    </cfRule>
    <cfRule type="cellIs" dxfId="863" priority="2748" operator="lessThan">
      <formula>Z47</formula>
    </cfRule>
    <cfRule type="cellIs" dxfId="862" priority="2749" operator="equal">
      <formula>0</formula>
    </cfRule>
  </conditionalFormatting>
  <conditionalFormatting sqref="Z47">
    <cfRule type="cellIs" dxfId="861" priority="2728" operator="equal">
      <formula>0</formula>
    </cfRule>
  </conditionalFormatting>
  <conditionalFormatting sqref="Z48">
    <cfRule type="cellIs" dxfId="860" priority="3544" operator="lessThan">
      <formula>Z49</formula>
    </cfRule>
    <cfRule type="cellIs" dxfId="859" priority="3545" operator="greaterThan">
      <formula>Z49</formula>
    </cfRule>
    <cfRule type="cellIs" dxfId="858" priority="3548" operator="lessThan">
      <formula>Z49</formula>
    </cfRule>
    <cfRule type="cellIs" dxfId="857" priority="3549" operator="greaterThan">
      <formula>Z49</formula>
    </cfRule>
    <cfRule type="cellIs" dxfId="856" priority="3550" operator="lessThan">
      <formula>Z49</formula>
    </cfRule>
    <cfRule type="cellIs" dxfId="855" priority="3551" operator="greaterThan">
      <formula>Z49</formula>
    </cfRule>
  </conditionalFormatting>
  <conditionalFormatting sqref="Z48:Z51">
    <cfRule type="cellIs" dxfId="854" priority="3552" operator="equal">
      <formula>0</formula>
    </cfRule>
  </conditionalFormatting>
  <conditionalFormatting sqref="Z49">
    <cfRule type="cellIs" dxfId="853" priority="3541" operator="lessThan">
      <formula>Z48</formula>
    </cfRule>
  </conditionalFormatting>
  <conditionalFormatting sqref="Z50">
    <cfRule type="cellIs" dxfId="852" priority="3542" operator="lessThan">
      <formula>Z51</formula>
    </cfRule>
    <cfRule type="cellIs" dxfId="851" priority="3543" operator="greaterThan">
      <formula>Z51</formula>
    </cfRule>
    <cfRule type="cellIs" dxfId="850" priority="3546" operator="lessThan">
      <formula>Z51</formula>
    </cfRule>
    <cfRule type="cellIs" dxfId="849" priority="3547" operator="greaterThan">
      <formula>Z51</formula>
    </cfRule>
  </conditionalFormatting>
  <conditionalFormatting sqref="Z51">
    <cfRule type="cellIs" dxfId="848" priority="3540" operator="lessThan">
      <formula>Z50</formula>
    </cfRule>
  </conditionalFormatting>
  <conditionalFormatting sqref="Z52">
    <cfRule type="cellIs" dxfId="847" priority="2721" operator="greaterThan">
      <formula>Z53</formula>
    </cfRule>
    <cfRule type="cellIs" dxfId="846" priority="2722" operator="lessThan">
      <formula>Z53</formula>
    </cfRule>
    <cfRule type="cellIs" dxfId="845" priority="2723" operator="equal">
      <formula>0</formula>
    </cfRule>
  </conditionalFormatting>
  <conditionalFormatting sqref="Z53">
    <cfRule type="cellIs" dxfId="844" priority="2720" operator="equal">
      <formula>0</formula>
    </cfRule>
  </conditionalFormatting>
  <conditionalFormatting sqref="Z54">
    <cfRule type="cellIs" dxfId="843" priority="3382" operator="lessThan">
      <formula>Z55</formula>
    </cfRule>
    <cfRule type="cellIs" dxfId="842" priority="3383" operator="greaterThan">
      <formula>Z55</formula>
    </cfRule>
    <cfRule type="cellIs" dxfId="841" priority="3386" operator="lessThan">
      <formula>Z55</formula>
    </cfRule>
    <cfRule type="cellIs" dxfId="840" priority="3387" operator="greaterThan">
      <formula>Z55</formula>
    </cfRule>
    <cfRule type="cellIs" dxfId="839" priority="3388" operator="lessThan">
      <formula>Z55</formula>
    </cfRule>
    <cfRule type="cellIs" dxfId="838" priority="3389" operator="greaterThan">
      <formula>Z55</formula>
    </cfRule>
  </conditionalFormatting>
  <conditionalFormatting sqref="Z54:Z57">
    <cfRule type="cellIs" dxfId="837" priority="3390" operator="equal">
      <formula>0</formula>
    </cfRule>
  </conditionalFormatting>
  <conditionalFormatting sqref="Z55">
    <cfRule type="cellIs" dxfId="836" priority="3379" operator="lessThan">
      <formula>Z54</formula>
    </cfRule>
  </conditionalFormatting>
  <conditionalFormatting sqref="Z56">
    <cfRule type="cellIs" dxfId="835" priority="3380" operator="lessThan">
      <formula>Z57</formula>
    </cfRule>
    <cfRule type="cellIs" dxfId="834" priority="3381" operator="greaterThan">
      <formula>Z57</formula>
    </cfRule>
    <cfRule type="cellIs" dxfId="833" priority="3384" operator="lessThan">
      <formula>Z57</formula>
    </cfRule>
    <cfRule type="cellIs" dxfId="832" priority="3385" operator="greaterThan">
      <formula>Z57</formula>
    </cfRule>
  </conditionalFormatting>
  <conditionalFormatting sqref="Z57">
    <cfRule type="cellIs" dxfId="831" priority="3378" operator="lessThan">
      <formula>Z56</formula>
    </cfRule>
  </conditionalFormatting>
  <conditionalFormatting sqref="Z58">
    <cfRule type="cellIs" dxfId="830" priority="2717" operator="greaterThan">
      <formula>Z59</formula>
    </cfRule>
    <cfRule type="cellIs" dxfId="829" priority="2718" operator="lessThan">
      <formula>Z59</formula>
    </cfRule>
    <cfRule type="cellIs" dxfId="828" priority="2719" operator="equal">
      <formula>0</formula>
    </cfRule>
  </conditionalFormatting>
  <conditionalFormatting sqref="Z59">
    <cfRule type="cellIs" dxfId="827" priority="2716" operator="equal">
      <formula>0</formula>
    </cfRule>
  </conditionalFormatting>
  <conditionalFormatting sqref="Z60">
    <cfRule type="cellIs" dxfId="826" priority="3366" operator="lessThan">
      <formula>Z61</formula>
    </cfRule>
    <cfRule type="cellIs" dxfId="825" priority="3367" operator="greaterThan">
      <formula>Z61</formula>
    </cfRule>
    <cfRule type="cellIs" dxfId="824" priority="3370" operator="lessThan">
      <formula>Z61</formula>
    </cfRule>
    <cfRule type="cellIs" dxfId="823" priority="3371" operator="greaterThan">
      <formula>Z61</formula>
    </cfRule>
    <cfRule type="cellIs" dxfId="822" priority="3372" operator="lessThan">
      <formula>Z61</formula>
    </cfRule>
    <cfRule type="cellIs" dxfId="821" priority="3373" operator="greaterThan">
      <formula>Z61</formula>
    </cfRule>
  </conditionalFormatting>
  <conditionalFormatting sqref="Z60:Z63">
    <cfRule type="cellIs" dxfId="820" priority="3374" operator="equal">
      <formula>0</formula>
    </cfRule>
  </conditionalFormatting>
  <conditionalFormatting sqref="Z61">
    <cfRule type="cellIs" dxfId="819" priority="3363" operator="lessThan">
      <formula>Z60</formula>
    </cfRule>
  </conditionalFormatting>
  <conditionalFormatting sqref="Z62">
    <cfRule type="cellIs" dxfId="818" priority="3364" operator="lessThan">
      <formula>Z63</formula>
    </cfRule>
    <cfRule type="cellIs" dxfId="817" priority="3365" operator="greaterThan">
      <formula>Z63</formula>
    </cfRule>
    <cfRule type="cellIs" dxfId="816" priority="3368" operator="lessThan">
      <formula>Z63</formula>
    </cfRule>
    <cfRule type="cellIs" dxfId="815" priority="3369" operator="greaterThan">
      <formula>Z63</formula>
    </cfRule>
  </conditionalFormatting>
  <conditionalFormatting sqref="Z63">
    <cfRule type="cellIs" dxfId="814" priority="3362" operator="lessThan">
      <formula>Z62</formula>
    </cfRule>
  </conditionalFormatting>
  <conditionalFormatting sqref="Z64">
    <cfRule type="cellIs" dxfId="813" priority="2713" operator="greaterThan">
      <formula>Z65</formula>
    </cfRule>
    <cfRule type="cellIs" dxfId="812" priority="2714" operator="lessThan">
      <formula>Z65</formula>
    </cfRule>
    <cfRule type="cellIs" dxfId="811" priority="2715" operator="equal">
      <formula>0</formula>
    </cfRule>
  </conditionalFormatting>
  <conditionalFormatting sqref="Z65">
    <cfRule type="cellIs" dxfId="810" priority="2712" operator="equal">
      <formula>0</formula>
    </cfRule>
  </conditionalFormatting>
  <conditionalFormatting sqref="Z66">
    <cfRule type="cellIs" dxfId="809" priority="3350" operator="lessThan">
      <formula>Z67</formula>
    </cfRule>
    <cfRule type="cellIs" dxfId="808" priority="3351" operator="greaterThan">
      <formula>Z67</formula>
    </cfRule>
    <cfRule type="cellIs" dxfId="807" priority="3354" operator="lessThan">
      <formula>Z67</formula>
    </cfRule>
    <cfRule type="cellIs" dxfId="806" priority="3355" operator="greaterThan">
      <formula>Z67</formula>
    </cfRule>
    <cfRule type="cellIs" dxfId="805" priority="3356" operator="lessThan">
      <formula>Z67</formula>
    </cfRule>
    <cfRule type="cellIs" dxfId="804" priority="3357" operator="greaterThan">
      <formula>Z67</formula>
    </cfRule>
  </conditionalFormatting>
  <conditionalFormatting sqref="Z66:Z69">
    <cfRule type="cellIs" dxfId="803" priority="3358" operator="equal">
      <formula>0</formula>
    </cfRule>
  </conditionalFormatting>
  <conditionalFormatting sqref="Z67">
    <cfRule type="cellIs" dxfId="802" priority="3347" operator="lessThan">
      <formula>Z66</formula>
    </cfRule>
  </conditionalFormatting>
  <conditionalFormatting sqref="Z68">
    <cfRule type="cellIs" dxfId="801" priority="3348" operator="lessThan">
      <formula>Z69</formula>
    </cfRule>
    <cfRule type="cellIs" dxfId="800" priority="3349" operator="greaterThan">
      <formula>Z69</formula>
    </cfRule>
    <cfRule type="cellIs" dxfId="799" priority="3352" operator="lessThan">
      <formula>Z69</formula>
    </cfRule>
    <cfRule type="cellIs" dxfId="798" priority="3353" operator="greaterThan">
      <formula>Z69</formula>
    </cfRule>
  </conditionalFormatting>
  <conditionalFormatting sqref="Z69">
    <cfRule type="cellIs" dxfId="797" priority="3346" operator="lessThan">
      <formula>Z68</formula>
    </cfRule>
  </conditionalFormatting>
  <conditionalFormatting sqref="Z70">
    <cfRule type="cellIs" dxfId="796" priority="2709" operator="greaterThan">
      <formula>Z71</formula>
    </cfRule>
    <cfRule type="cellIs" dxfId="795" priority="2710" operator="lessThan">
      <formula>Z71</formula>
    </cfRule>
    <cfRule type="cellIs" dxfId="794" priority="2711" operator="equal">
      <formula>0</formula>
    </cfRule>
  </conditionalFormatting>
  <conditionalFormatting sqref="Z71">
    <cfRule type="cellIs" dxfId="793" priority="2708" operator="equal">
      <formula>0</formula>
    </cfRule>
  </conditionalFormatting>
  <conditionalFormatting sqref="Z72">
    <cfRule type="cellIs" dxfId="792" priority="3334" operator="lessThan">
      <formula>Z73</formula>
    </cfRule>
    <cfRule type="cellIs" dxfId="791" priority="3335" operator="greaterThan">
      <formula>Z73</formula>
    </cfRule>
    <cfRule type="cellIs" dxfId="790" priority="3338" operator="lessThan">
      <formula>Z73</formula>
    </cfRule>
    <cfRule type="cellIs" dxfId="789" priority="3339" operator="greaterThan">
      <formula>Z73</formula>
    </cfRule>
    <cfRule type="cellIs" dxfId="788" priority="3340" operator="lessThan">
      <formula>Z73</formula>
    </cfRule>
    <cfRule type="cellIs" dxfId="787" priority="3341" operator="greaterThan">
      <formula>Z73</formula>
    </cfRule>
  </conditionalFormatting>
  <conditionalFormatting sqref="Z72:Z75">
    <cfRule type="cellIs" dxfId="786" priority="3342" operator="equal">
      <formula>0</formula>
    </cfRule>
  </conditionalFormatting>
  <conditionalFormatting sqref="Z73">
    <cfRule type="cellIs" dxfId="785" priority="3331" operator="lessThan">
      <formula>Z72</formula>
    </cfRule>
  </conditionalFormatting>
  <conditionalFormatting sqref="Z74">
    <cfRule type="cellIs" dxfId="784" priority="3332" operator="lessThan">
      <formula>Z75</formula>
    </cfRule>
    <cfRule type="cellIs" dxfId="783" priority="3333" operator="greaterThan">
      <formula>Z75</formula>
    </cfRule>
    <cfRule type="cellIs" dxfId="782" priority="3336" operator="lessThan">
      <formula>Z75</formula>
    </cfRule>
    <cfRule type="cellIs" dxfId="781" priority="3337" operator="greaterThan">
      <formula>Z75</formula>
    </cfRule>
  </conditionalFormatting>
  <conditionalFormatting sqref="Z75">
    <cfRule type="cellIs" dxfId="780" priority="3330" operator="lessThan">
      <formula>Z74</formula>
    </cfRule>
  </conditionalFormatting>
  <conditionalFormatting sqref="Z76">
    <cfRule type="cellIs" dxfId="779" priority="2705" operator="greaterThan">
      <formula>Z77</formula>
    </cfRule>
    <cfRule type="cellIs" dxfId="778" priority="2706" operator="lessThan">
      <formula>Z77</formula>
    </cfRule>
    <cfRule type="cellIs" dxfId="777" priority="2707" operator="equal">
      <formula>0</formula>
    </cfRule>
  </conditionalFormatting>
  <conditionalFormatting sqref="Z77">
    <cfRule type="cellIs" dxfId="776" priority="2704" operator="equal">
      <formula>0</formula>
    </cfRule>
  </conditionalFormatting>
  <conditionalFormatting sqref="Z78">
    <cfRule type="cellIs" dxfId="775" priority="3318" operator="lessThan">
      <formula>Z79</formula>
    </cfRule>
    <cfRule type="cellIs" dxfId="774" priority="3319" operator="greaterThan">
      <formula>Z79</formula>
    </cfRule>
    <cfRule type="cellIs" dxfId="773" priority="3322" operator="lessThan">
      <formula>Z79</formula>
    </cfRule>
    <cfRule type="cellIs" dxfId="772" priority="3323" operator="greaterThan">
      <formula>Z79</formula>
    </cfRule>
    <cfRule type="cellIs" dxfId="771" priority="3324" operator="lessThan">
      <formula>Z79</formula>
    </cfRule>
    <cfRule type="cellIs" dxfId="770" priority="3325" operator="greaterThan">
      <formula>Z79</formula>
    </cfRule>
  </conditionalFormatting>
  <conditionalFormatting sqref="Z78:Z81">
    <cfRule type="cellIs" dxfId="769" priority="3326" operator="equal">
      <formula>0</formula>
    </cfRule>
  </conditionalFormatting>
  <conditionalFormatting sqref="Z79">
    <cfRule type="cellIs" dxfId="768" priority="3315" operator="lessThan">
      <formula>Z78</formula>
    </cfRule>
  </conditionalFormatting>
  <conditionalFormatting sqref="Z80">
    <cfRule type="cellIs" dxfId="767" priority="3316" operator="lessThan">
      <formula>Z81</formula>
    </cfRule>
    <cfRule type="cellIs" dxfId="766" priority="3317" operator="greaterThan">
      <formula>Z81</formula>
    </cfRule>
    <cfRule type="cellIs" dxfId="765" priority="3320" operator="lessThan">
      <formula>Z81</formula>
    </cfRule>
    <cfRule type="cellIs" dxfId="764" priority="3321" operator="greaterThan">
      <formula>Z81</formula>
    </cfRule>
  </conditionalFormatting>
  <conditionalFormatting sqref="Z81">
    <cfRule type="cellIs" dxfId="763" priority="3314" operator="lessThan">
      <formula>Z80</formula>
    </cfRule>
  </conditionalFormatting>
  <conditionalFormatting sqref="Z82">
    <cfRule type="cellIs" dxfId="762" priority="2701" operator="greaterThan">
      <formula>Z83</formula>
    </cfRule>
    <cfRule type="cellIs" dxfId="761" priority="2702" operator="lessThan">
      <formula>Z83</formula>
    </cfRule>
    <cfRule type="cellIs" dxfId="760" priority="2703" operator="equal">
      <formula>0</formula>
    </cfRule>
  </conditionalFormatting>
  <conditionalFormatting sqref="Z83">
    <cfRule type="cellIs" dxfId="759" priority="2700" operator="equal">
      <formula>0</formula>
    </cfRule>
  </conditionalFormatting>
  <conditionalFormatting sqref="Z84">
    <cfRule type="cellIs" dxfId="758" priority="3302" operator="lessThan">
      <formula>Z85</formula>
    </cfRule>
    <cfRule type="cellIs" dxfId="757" priority="3303" operator="greaterThan">
      <formula>Z85</formula>
    </cfRule>
    <cfRule type="cellIs" dxfId="756" priority="3306" operator="lessThan">
      <formula>Z85</formula>
    </cfRule>
    <cfRule type="cellIs" dxfId="755" priority="3307" operator="greaterThan">
      <formula>Z85</formula>
    </cfRule>
    <cfRule type="cellIs" dxfId="754" priority="3308" operator="lessThan">
      <formula>Z85</formula>
    </cfRule>
    <cfRule type="cellIs" dxfId="753" priority="3309" operator="greaterThan">
      <formula>Z85</formula>
    </cfRule>
  </conditionalFormatting>
  <conditionalFormatting sqref="Z84:Z87">
    <cfRule type="cellIs" dxfId="752" priority="3310" operator="equal">
      <formula>0</formula>
    </cfRule>
  </conditionalFormatting>
  <conditionalFormatting sqref="Z85">
    <cfRule type="cellIs" dxfId="751" priority="3299" operator="lessThan">
      <formula>Z84</formula>
    </cfRule>
  </conditionalFormatting>
  <conditionalFormatting sqref="Z86">
    <cfRule type="cellIs" dxfId="750" priority="3300" operator="lessThan">
      <formula>Z87</formula>
    </cfRule>
    <cfRule type="cellIs" dxfId="749" priority="3301" operator="greaterThan">
      <formula>Z87</formula>
    </cfRule>
    <cfRule type="cellIs" dxfId="748" priority="3304" operator="lessThan">
      <formula>Z87</formula>
    </cfRule>
    <cfRule type="cellIs" dxfId="747" priority="3305" operator="greaterThan">
      <formula>Z87</formula>
    </cfRule>
  </conditionalFormatting>
  <conditionalFormatting sqref="Z87">
    <cfRule type="cellIs" dxfId="746" priority="3298" operator="lessThan">
      <formula>Z86</formula>
    </cfRule>
  </conditionalFormatting>
  <conditionalFormatting sqref="Z88">
    <cfRule type="cellIs" dxfId="745" priority="2697" operator="greaterThan">
      <formula>Z89</formula>
    </cfRule>
    <cfRule type="cellIs" dxfId="744" priority="2698" operator="lessThan">
      <formula>Z89</formula>
    </cfRule>
    <cfRule type="cellIs" dxfId="743" priority="2699" operator="equal">
      <formula>0</formula>
    </cfRule>
  </conditionalFormatting>
  <conditionalFormatting sqref="Z89">
    <cfRule type="cellIs" dxfId="742" priority="2696" operator="equal">
      <formula>0</formula>
    </cfRule>
  </conditionalFormatting>
  <conditionalFormatting sqref="Z90">
    <cfRule type="cellIs" dxfId="741" priority="3286" operator="lessThan">
      <formula>Z91</formula>
    </cfRule>
    <cfRule type="cellIs" dxfId="740" priority="3287" operator="greaterThan">
      <formula>Z91</formula>
    </cfRule>
    <cfRule type="cellIs" dxfId="739" priority="3290" operator="lessThan">
      <formula>Z91</formula>
    </cfRule>
    <cfRule type="cellIs" dxfId="738" priority="3291" operator="greaterThan">
      <formula>Z91</formula>
    </cfRule>
    <cfRule type="cellIs" dxfId="737" priority="3292" operator="lessThan">
      <formula>Z91</formula>
    </cfRule>
    <cfRule type="cellIs" dxfId="736" priority="3293" operator="greaterThan">
      <formula>Z91</formula>
    </cfRule>
  </conditionalFormatting>
  <conditionalFormatting sqref="Z90:Z93">
    <cfRule type="cellIs" dxfId="735" priority="3294" operator="equal">
      <formula>0</formula>
    </cfRule>
  </conditionalFormatting>
  <conditionalFormatting sqref="Z91">
    <cfRule type="cellIs" dxfId="734" priority="3283" operator="lessThan">
      <formula>Z90</formula>
    </cfRule>
  </conditionalFormatting>
  <conditionalFormatting sqref="Z92">
    <cfRule type="cellIs" dxfId="733" priority="3284" operator="lessThan">
      <formula>Z93</formula>
    </cfRule>
    <cfRule type="cellIs" dxfId="732" priority="3285" operator="greaterThan">
      <formula>Z93</formula>
    </cfRule>
    <cfRule type="cellIs" dxfId="731" priority="3288" operator="lessThan">
      <formula>Z93</formula>
    </cfRule>
    <cfRule type="cellIs" dxfId="730" priority="3289" operator="greaterThan">
      <formula>Z93</formula>
    </cfRule>
  </conditionalFormatting>
  <conditionalFormatting sqref="Z93">
    <cfRule type="cellIs" dxfId="729" priority="3282" operator="lessThan">
      <formula>Z92</formula>
    </cfRule>
  </conditionalFormatting>
  <conditionalFormatting sqref="Z94">
    <cfRule type="cellIs" dxfId="728" priority="2693" operator="greaterThan">
      <formula>Z95</formula>
    </cfRule>
    <cfRule type="cellIs" dxfId="727" priority="2694" operator="lessThan">
      <formula>Z95</formula>
    </cfRule>
    <cfRule type="cellIs" dxfId="726" priority="2695" operator="equal">
      <formula>0</formula>
    </cfRule>
  </conditionalFormatting>
  <conditionalFormatting sqref="Z95">
    <cfRule type="cellIs" dxfId="725" priority="2692" operator="equal">
      <formula>0</formula>
    </cfRule>
  </conditionalFormatting>
  <conditionalFormatting sqref="Z96">
    <cfRule type="cellIs" dxfId="724" priority="3270" operator="lessThan">
      <formula>Z97</formula>
    </cfRule>
    <cfRule type="cellIs" dxfId="723" priority="3271" operator="greaterThan">
      <formula>Z97</formula>
    </cfRule>
    <cfRule type="cellIs" dxfId="722" priority="3274" operator="lessThan">
      <formula>Z97</formula>
    </cfRule>
    <cfRule type="cellIs" dxfId="721" priority="3275" operator="greaterThan">
      <formula>Z97</formula>
    </cfRule>
    <cfRule type="cellIs" dxfId="720" priority="3276" operator="lessThan">
      <formula>Z97</formula>
    </cfRule>
    <cfRule type="cellIs" dxfId="719" priority="3277" operator="greaterThan">
      <formula>Z97</formula>
    </cfRule>
  </conditionalFormatting>
  <conditionalFormatting sqref="Z96:Z99">
    <cfRule type="cellIs" dxfId="718" priority="3278" operator="equal">
      <formula>0</formula>
    </cfRule>
  </conditionalFormatting>
  <conditionalFormatting sqref="Z97">
    <cfRule type="cellIs" dxfId="717" priority="3267" operator="lessThan">
      <formula>Z96</formula>
    </cfRule>
  </conditionalFormatting>
  <conditionalFormatting sqref="Z98">
    <cfRule type="cellIs" dxfId="716" priority="3268" operator="lessThan">
      <formula>Z99</formula>
    </cfRule>
    <cfRule type="cellIs" dxfId="715" priority="3269" operator="greaterThan">
      <formula>Z99</formula>
    </cfRule>
    <cfRule type="cellIs" dxfId="714" priority="3272" operator="lessThan">
      <formula>Z99</formula>
    </cfRule>
    <cfRule type="cellIs" dxfId="713" priority="3273" operator="greaterThan">
      <formula>Z99</formula>
    </cfRule>
  </conditionalFormatting>
  <conditionalFormatting sqref="Z99">
    <cfRule type="cellIs" dxfId="712" priority="3266" operator="lessThan">
      <formula>Z98</formula>
    </cfRule>
  </conditionalFormatting>
  <conditionalFormatting sqref="Z100">
    <cfRule type="cellIs" dxfId="711" priority="2689" operator="greaterThan">
      <formula>Z101</formula>
    </cfRule>
    <cfRule type="cellIs" dxfId="710" priority="2690" operator="lessThan">
      <formula>Z101</formula>
    </cfRule>
    <cfRule type="cellIs" dxfId="709" priority="2691" operator="equal">
      <formula>0</formula>
    </cfRule>
  </conditionalFormatting>
  <conditionalFormatting sqref="Z101">
    <cfRule type="cellIs" dxfId="708" priority="2688" operator="equal">
      <formula>0</formula>
    </cfRule>
  </conditionalFormatting>
  <conditionalFormatting sqref="Z102">
    <cfRule type="cellIs" dxfId="707" priority="3254" operator="lessThan">
      <formula>Z103</formula>
    </cfRule>
    <cfRule type="cellIs" dxfId="706" priority="3255" operator="greaterThan">
      <formula>Z103</formula>
    </cfRule>
    <cfRule type="cellIs" dxfId="705" priority="3258" operator="lessThan">
      <formula>Z103</formula>
    </cfRule>
    <cfRule type="cellIs" dxfId="704" priority="3259" operator="greaterThan">
      <formula>Z103</formula>
    </cfRule>
    <cfRule type="cellIs" dxfId="703" priority="3260" operator="lessThan">
      <formula>Z103</formula>
    </cfRule>
    <cfRule type="cellIs" dxfId="702" priority="3261" operator="greaterThan">
      <formula>Z103</formula>
    </cfRule>
  </conditionalFormatting>
  <conditionalFormatting sqref="Z102:Z105">
    <cfRule type="cellIs" dxfId="701" priority="3262" operator="equal">
      <formula>0</formula>
    </cfRule>
  </conditionalFormatting>
  <conditionalFormatting sqref="Z103">
    <cfRule type="cellIs" dxfId="700" priority="3251" operator="lessThan">
      <formula>Z102</formula>
    </cfRule>
  </conditionalFormatting>
  <conditionalFormatting sqref="Z104">
    <cfRule type="cellIs" dxfId="699" priority="3252" operator="lessThan">
      <formula>Z105</formula>
    </cfRule>
    <cfRule type="cellIs" dxfId="698" priority="3253" operator="greaterThan">
      <formula>Z105</formula>
    </cfRule>
    <cfRule type="cellIs" dxfId="697" priority="3256" operator="lessThan">
      <formula>Z105</formula>
    </cfRule>
    <cfRule type="cellIs" dxfId="696" priority="3257" operator="greaterThan">
      <formula>Z105</formula>
    </cfRule>
  </conditionalFormatting>
  <conditionalFormatting sqref="Z105">
    <cfRule type="cellIs" dxfId="695" priority="3250" operator="lessThan">
      <formula>Z104</formula>
    </cfRule>
  </conditionalFormatting>
  <conditionalFormatting sqref="Z106">
    <cfRule type="cellIs" dxfId="694" priority="2685" operator="greaterThan">
      <formula>Z107</formula>
    </cfRule>
    <cfRule type="cellIs" dxfId="693" priority="2686" operator="lessThan">
      <formula>Z107</formula>
    </cfRule>
    <cfRule type="cellIs" dxfId="692" priority="2687" operator="equal">
      <formula>0</formula>
    </cfRule>
  </conditionalFormatting>
  <conditionalFormatting sqref="Z107">
    <cfRule type="cellIs" dxfId="691" priority="2684" operator="equal">
      <formula>0</formula>
    </cfRule>
  </conditionalFormatting>
  <conditionalFormatting sqref="Z108">
    <cfRule type="cellIs" dxfId="690" priority="3238" operator="lessThan">
      <formula>Z109</formula>
    </cfRule>
    <cfRule type="cellIs" dxfId="689" priority="3239" operator="greaterThan">
      <formula>Z109</formula>
    </cfRule>
    <cfRule type="cellIs" dxfId="688" priority="3242" operator="lessThan">
      <formula>Z109</formula>
    </cfRule>
    <cfRule type="cellIs" dxfId="687" priority="3243" operator="greaterThan">
      <formula>Z109</formula>
    </cfRule>
    <cfRule type="cellIs" dxfId="686" priority="3244" operator="lessThan">
      <formula>Z109</formula>
    </cfRule>
    <cfRule type="cellIs" dxfId="685" priority="3245" operator="greaterThan">
      <formula>Z109</formula>
    </cfRule>
  </conditionalFormatting>
  <conditionalFormatting sqref="Z108:Z111">
    <cfRule type="cellIs" dxfId="684" priority="3246" operator="equal">
      <formula>0</formula>
    </cfRule>
  </conditionalFormatting>
  <conditionalFormatting sqref="Z109">
    <cfRule type="cellIs" dxfId="683" priority="3235" operator="lessThan">
      <formula>Z108</formula>
    </cfRule>
  </conditionalFormatting>
  <conditionalFormatting sqref="Z110">
    <cfRule type="cellIs" dxfId="682" priority="3236" operator="lessThan">
      <formula>Z111</formula>
    </cfRule>
    <cfRule type="cellIs" dxfId="681" priority="3237" operator="greaterThan">
      <formula>Z111</formula>
    </cfRule>
    <cfRule type="cellIs" dxfId="680" priority="3240" operator="lessThan">
      <formula>Z111</formula>
    </cfRule>
    <cfRule type="cellIs" dxfId="679" priority="3241" operator="greaterThan">
      <formula>Z111</formula>
    </cfRule>
  </conditionalFormatting>
  <conditionalFormatting sqref="Z111">
    <cfRule type="cellIs" dxfId="678" priority="3234" operator="lessThan">
      <formula>Z110</formula>
    </cfRule>
  </conditionalFormatting>
  <conditionalFormatting sqref="Z112">
    <cfRule type="cellIs" dxfId="677" priority="2681" operator="greaterThan">
      <formula>Z113</formula>
    </cfRule>
    <cfRule type="cellIs" dxfId="676" priority="2682" operator="lessThan">
      <formula>Z113</formula>
    </cfRule>
    <cfRule type="cellIs" dxfId="675" priority="2683" operator="equal">
      <formula>0</formula>
    </cfRule>
  </conditionalFormatting>
  <conditionalFormatting sqref="Z113">
    <cfRule type="cellIs" dxfId="674" priority="2680" operator="equal">
      <formula>0</formula>
    </cfRule>
  </conditionalFormatting>
  <conditionalFormatting sqref="Z114">
    <cfRule type="cellIs" dxfId="673" priority="3222" operator="lessThan">
      <formula>Z115</formula>
    </cfRule>
    <cfRule type="cellIs" dxfId="672" priority="3223" operator="greaterThan">
      <formula>Z115</formula>
    </cfRule>
    <cfRule type="cellIs" dxfId="671" priority="3226" operator="lessThan">
      <formula>Z115</formula>
    </cfRule>
    <cfRule type="cellIs" dxfId="670" priority="3227" operator="greaterThan">
      <formula>Z115</formula>
    </cfRule>
    <cfRule type="cellIs" dxfId="669" priority="3228" operator="lessThan">
      <formula>Z115</formula>
    </cfRule>
    <cfRule type="cellIs" dxfId="668" priority="3229" operator="greaterThan">
      <formula>Z115</formula>
    </cfRule>
  </conditionalFormatting>
  <conditionalFormatting sqref="Z114:Z117">
    <cfRule type="cellIs" dxfId="667" priority="3230" operator="equal">
      <formula>0</formula>
    </cfRule>
  </conditionalFormatting>
  <conditionalFormatting sqref="Z115">
    <cfRule type="cellIs" dxfId="666" priority="3219" operator="lessThan">
      <formula>Z114</formula>
    </cfRule>
  </conditionalFormatting>
  <conditionalFormatting sqref="Z116">
    <cfRule type="cellIs" dxfId="665" priority="3220" operator="lessThan">
      <formula>Z117</formula>
    </cfRule>
    <cfRule type="cellIs" dxfId="664" priority="3221" operator="greaterThan">
      <formula>Z117</formula>
    </cfRule>
    <cfRule type="cellIs" dxfId="663" priority="3224" operator="lessThan">
      <formula>Z117</formula>
    </cfRule>
    <cfRule type="cellIs" dxfId="662" priority="3225" operator="greaterThan">
      <formula>Z117</formula>
    </cfRule>
  </conditionalFormatting>
  <conditionalFormatting sqref="Z117">
    <cfRule type="cellIs" dxfId="661" priority="3218" operator="lessThan">
      <formula>Z116</formula>
    </cfRule>
  </conditionalFormatting>
  <conditionalFormatting sqref="Z118">
    <cfRule type="cellIs" dxfId="660" priority="2677" operator="greaterThan">
      <formula>Z119</formula>
    </cfRule>
    <cfRule type="cellIs" dxfId="659" priority="2678" operator="lessThan">
      <formula>Z119</formula>
    </cfRule>
    <cfRule type="cellIs" dxfId="658" priority="2679" operator="equal">
      <formula>0</formula>
    </cfRule>
  </conditionalFormatting>
  <conditionalFormatting sqref="Z119">
    <cfRule type="cellIs" dxfId="657" priority="2676" operator="equal">
      <formula>0</formula>
    </cfRule>
  </conditionalFormatting>
  <conditionalFormatting sqref="Z120">
    <cfRule type="cellIs" dxfId="656" priority="3206" operator="lessThan">
      <formula>Z121</formula>
    </cfRule>
    <cfRule type="cellIs" dxfId="655" priority="3207" operator="greaterThan">
      <formula>Z121</formula>
    </cfRule>
    <cfRule type="cellIs" dxfId="654" priority="3210" operator="lessThan">
      <formula>Z121</formula>
    </cfRule>
    <cfRule type="cellIs" dxfId="653" priority="3211" operator="greaterThan">
      <formula>Z121</formula>
    </cfRule>
    <cfRule type="cellIs" dxfId="652" priority="3212" operator="lessThan">
      <formula>Z121</formula>
    </cfRule>
    <cfRule type="cellIs" dxfId="651" priority="3213" operator="greaterThan">
      <formula>Z121</formula>
    </cfRule>
  </conditionalFormatting>
  <conditionalFormatting sqref="Z120:Z123">
    <cfRule type="cellIs" dxfId="650" priority="3214" operator="equal">
      <formula>0</formula>
    </cfRule>
  </conditionalFormatting>
  <conditionalFormatting sqref="Z121">
    <cfRule type="cellIs" dxfId="649" priority="3203" operator="lessThan">
      <formula>Z120</formula>
    </cfRule>
  </conditionalFormatting>
  <conditionalFormatting sqref="Z122">
    <cfRule type="cellIs" dxfId="648" priority="3204" operator="lessThan">
      <formula>Z123</formula>
    </cfRule>
    <cfRule type="cellIs" dxfId="647" priority="3205" operator="greaterThan">
      <formula>Z123</formula>
    </cfRule>
    <cfRule type="cellIs" dxfId="646" priority="3208" operator="lessThan">
      <formula>Z123</formula>
    </cfRule>
    <cfRule type="cellIs" dxfId="645" priority="3209" operator="greaterThan">
      <formula>Z123</formula>
    </cfRule>
  </conditionalFormatting>
  <conditionalFormatting sqref="Z123">
    <cfRule type="cellIs" dxfId="644" priority="3202" operator="lessThan">
      <formula>Z122</formula>
    </cfRule>
  </conditionalFormatting>
  <conditionalFormatting sqref="Z124">
    <cfRule type="cellIs" dxfId="643" priority="2673" operator="greaterThan">
      <formula>Z125</formula>
    </cfRule>
    <cfRule type="cellIs" dxfId="642" priority="2674" operator="lessThan">
      <formula>Z125</formula>
    </cfRule>
    <cfRule type="cellIs" dxfId="641" priority="2675" operator="equal">
      <formula>0</formula>
    </cfRule>
  </conditionalFormatting>
  <conditionalFormatting sqref="Z125">
    <cfRule type="cellIs" dxfId="640" priority="2672" operator="equal">
      <formula>0</formula>
    </cfRule>
  </conditionalFormatting>
  <conditionalFormatting sqref="Z126">
    <cfRule type="cellIs" dxfId="639" priority="3190" operator="lessThan">
      <formula>Z127</formula>
    </cfRule>
    <cfRule type="cellIs" dxfId="638" priority="3191" operator="greaterThan">
      <formula>Z127</formula>
    </cfRule>
    <cfRule type="cellIs" dxfId="637" priority="3194" operator="lessThan">
      <formula>Z127</formula>
    </cfRule>
    <cfRule type="cellIs" dxfId="636" priority="3195" operator="greaterThan">
      <formula>Z127</formula>
    </cfRule>
    <cfRule type="cellIs" dxfId="635" priority="3196" operator="lessThan">
      <formula>Z127</formula>
    </cfRule>
    <cfRule type="cellIs" dxfId="634" priority="3197" operator="greaterThan">
      <formula>Z127</formula>
    </cfRule>
  </conditionalFormatting>
  <conditionalFormatting sqref="Z126:Z129">
    <cfRule type="cellIs" dxfId="633" priority="3198" operator="equal">
      <formula>0</formula>
    </cfRule>
  </conditionalFormatting>
  <conditionalFormatting sqref="Z127">
    <cfRule type="cellIs" dxfId="632" priority="3187" operator="lessThan">
      <formula>Z126</formula>
    </cfRule>
  </conditionalFormatting>
  <conditionalFormatting sqref="Z128">
    <cfRule type="cellIs" dxfId="631" priority="3188" operator="lessThan">
      <formula>Z129</formula>
    </cfRule>
    <cfRule type="cellIs" dxfId="630" priority="3189" operator="greaterThan">
      <formula>Z129</formula>
    </cfRule>
    <cfRule type="cellIs" dxfId="629" priority="3192" operator="lessThan">
      <formula>Z129</formula>
    </cfRule>
    <cfRule type="cellIs" dxfId="628" priority="3193" operator="greaterThan">
      <formula>Z129</formula>
    </cfRule>
  </conditionalFormatting>
  <conditionalFormatting sqref="Z129">
    <cfRule type="cellIs" dxfId="627" priority="3186" operator="lessThan">
      <formula>Z128</formula>
    </cfRule>
  </conditionalFormatting>
  <conditionalFormatting sqref="Z130">
    <cfRule type="cellIs" dxfId="626" priority="2669" operator="greaterThan">
      <formula>Z131</formula>
    </cfRule>
    <cfRule type="cellIs" dxfId="625" priority="2670" operator="lessThan">
      <formula>Z131</formula>
    </cfRule>
    <cfRule type="cellIs" dxfId="624" priority="2671" operator="equal">
      <formula>0</formula>
    </cfRule>
  </conditionalFormatting>
  <conditionalFormatting sqref="Z131">
    <cfRule type="cellIs" dxfId="623" priority="2668" operator="equal">
      <formula>0</formula>
    </cfRule>
  </conditionalFormatting>
  <conditionalFormatting sqref="Z132">
    <cfRule type="cellIs" dxfId="622" priority="3174" operator="lessThan">
      <formula>Z133</formula>
    </cfRule>
    <cfRule type="cellIs" dxfId="621" priority="3175" operator="greaterThan">
      <formula>Z133</formula>
    </cfRule>
    <cfRule type="cellIs" dxfId="620" priority="3178" operator="lessThan">
      <formula>Z133</formula>
    </cfRule>
    <cfRule type="cellIs" dxfId="619" priority="3179" operator="greaterThan">
      <formula>Z133</formula>
    </cfRule>
    <cfRule type="cellIs" dxfId="618" priority="3180" operator="lessThan">
      <formula>Z133</formula>
    </cfRule>
    <cfRule type="cellIs" dxfId="617" priority="3181" operator="greaterThan">
      <formula>Z133</formula>
    </cfRule>
  </conditionalFormatting>
  <conditionalFormatting sqref="Z132:Z135">
    <cfRule type="cellIs" dxfId="616" priority="3182" operator="equal">
      <formula>0</formula>
    </cfRule>
  </conditionalFormatting>
  <conditionalFormatting sqref="Z133">
    <cfRule type="cellIs" dxfId="615" priority="3171" operator="lessThan">
      <formula>Z132</formula>
    </cfRule>
  </conditionalFormatting>
  <conditionalFormatting sqref="Z134">
    <cfRule type="cellIs" dxfId="614" priority="3172" operator="lessThan">
      <formula>Z135</formula>
    </cfRule>
    <cfRule type="cellIs" dxfId="613" priority="3173" operator="greaterThan">
      <formula>Z135</formula>
    </cfRule>
    <cfRule type="cellIs" dxfId="612" priority="3176" operator="lessThan">
      <formula>Z135</formula>
    </cfRule>
    <cfRule type="cellIs" dxfId="611" priority="3177" operator="greaterThan">
      <formula>Z135</formula>
    </cfRule>
  </conditionalFormatting>
  <conditionalFormatting sqref="Z135">
    <cfRule type="cellIs" dxfId="610" priority="3170" operator="lessThan">
      <formula>Z134</formula>
    </cfRule>
  </conditionalFormatting>
  <conditionalFormatting sqref="Z136:Z137">
    <cfRule type="cellIs" dxfId="609" priority="3151" operator="greaterThan">
      <formula>0</formula>
    </cfRule>
    <cfRule type="cellIs" dxfId="608" priority="3152" operator="lessThan">
      <formula>0</formula>
    </cfRule>
    <cfRule type="cellIs" dxfId="607" priority="3153" operator="equal">
      <formula>0</formula>
    </cfRule>
  </conditionalFormatting>
  <conditionalFormatting sqref="Z138">
    <cfRule type="cellIs" dxfId="606" priority="3158" operator="lessThan">
      <formula>Z139</formula>
    </cfRule>
    <cfRule type="cellIs" dxfId="605" priority="3159" operator="greaterThan">
      <formula>Z139</formula>
    </cfRule>
    <cfRule type="cellIs" dxfId="604" priority="3162" operator="lessThan">
      <formula>Z139</formula>
    </cfRule>
    <cfRule type="cellIs" dxfId="603" priority="3163" operator="greaterThan">
      <formula>Z139</formula>
    </cfRule>
    <cfRule type="cellIs" dxfId="602" priority="3164" operator="lessThan">
      <formula>Z139</formula>
    </cfRule>
    <cfRule type="cellIs" dxfId="601" priority="3165" operator="greaterThan">
      <formula>Z139</formula>
    </cfRule>
  </conditionalFormatting>
  <conditionalFormatting sqref="Z138:Z141">
    <cfRule type="cellIs" dxfId="600" priority="3166" operator="equal">
      <formula>0</formula>
    </cfRule>
  </conditionalFormatting>
  <conditionalFormatting sqref="Z139">
    <cfRule type="cellIs" dxfId="599" priority="3155" operator="lessThan">
      <formula>Z138</formula>
    </cfRule>
  </conditionalFormatting>
  <conditionalFormatting sqref="Z140">
    <cfRule type="cellIs" dxfId="598" priority="3156" operator="lessThan">
      <formula>Z141</formula>
    </cfRule>
    <cfRule type="cellIs" dxfId="597" priority="3157" operator="greaterThan">
      <formula>Z141</formula>
    </cfRule>
    <cfRule type="cellIs" dxfId="596" priority="3160" operator="lessThan">
      <formula>Z141</formula>
    </cfRule>
    <cfRule type="cellIs" dxfId="595" priority="3161" operator="greaterThan">
      <formula>Z141</formula>
    </cfRule>
  </conditionalFormatting>
  <conditionalFormatting sqref="Z141">
    <cfRule type="cellIs" dxfId="594" priority="3154" operator="lessThan">
      <formula>Z140</formula>
    </cfRule>
  </conditionalFormatting>
  <conditionalFormatting sqref="Z142:Z157">
    <cfRule type="cellIs" dxfId="593" priority="4644" operator="greaterThan">
      <formula>0</formula>
    </cfRule>
    <cfRule type="cellIs" dxfId="592" priority="4645" operator="lessThan">
      <formula>0</formula>
    </cfRule>
    <cfRule type="cellIs" dxfId="591" priority="4646" operator="equal">
      <formula>0</formula>
    </cfRule>
  </conditionalFormatting>
  <conditionalFormatting sqref="AA4">
    <cfRule type="cellIs" dxfId="590" priority="451" operator="greaterThan">
      <formula>Z2</formula>
    </cfRule>
  </conditionalFormatting>
  <conditionalFormatting sqref="AA8">
    <cfRule type="cellIs" dxfId="589" priority="4079" operator="greaterThan">
      <formula>Z6</formula>
    </cfRule>
  </conditionalFormatting>
  <conditionalFormatting sqref="AA50 AA56 AA62 AA68 AA74 AA80 AA86 AA92 AA98 AA104 AA110 AA116 AA122 AA128 AA134 AA140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 AA57 AA63 AA69 AA75 AA81 AA87 AA93 AA99 AA105 AA111 AA117 AA123 AA129 AA135 AA141">
    <cfRule type="colorScale" priority="4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">
    <cfRule type="cellIs" dxfId="588" priority="225" operator="lessThan">
      <formula>0</formula>
    </cfRule>
  </conditionalFormatting>
  <conditionalFormatting sqref="W52">
    <cfRule type="cellIs" dxfId="587" priority="224" operator="lessThan">
      <formula>0</formula>
    </cfRule>
  </conditionalFormatting>
  <conditionalFormatting sqref="W55">
    <cfRule type="cellIs" dxfId="586" priority="223" operator="lessThan">
      <formula>0</formula>
    </cfRule>
  </conditionalFormatting>
  <conditionalFormatting sqref="W54">
    <cfRule type="cellIs" dxfId="585" priority="222" operator="lessThan">
      <formula>0</formula>
    </cfRule>
  </conditionalFormatting>
  <conditionalFormatting sqref="W57">
    <cfRule type="cellIs" dxfId="584" priority="221" operator="lessThan">
      <formula>0</formula>
    </cfRule>
  </conditionalFormatting>
  <conditionalFormatting sqref="W56">
    <cfRule type="cellIs" dxfId="583" priority="220" operator="lessThan">
      <formula>0</formula>
    </cfRule>
  </conditionalFormatting>
  <conditionalFormatting sqref="W47">
    <cfRule type="cellIs" dxfId="582" priority="219" operator="lessThan">
      <formula>0</formula>
    </cfRule>
  </conditionalFormatting>
  <conditionalFormatting sqref="W46">
    <cfRule type="cellIs" dxfId="581" priority="218" operator="lessThan">
      <formula>0</formula>
    </cfRule>
  </conditionalFormatting>
  <conditionalFormatting sqref="W49">
    <cfRule type="cellIs" dxfId="580" priority="217" operator="lessThan">
      <formula>0</formula>
    </cfRule>
  </conditionalFormatting>
  <conditionalFormatting sqref="W48">
    <cfRule type="cellIs" dxfId="579" priority="216" operator="lessThan">
      <formula>0</formula>
    </cfRule>
  </conditionalFormatting>
  <conditionalFormatting sqref="W51">
    <cfRule type="cellIs" dxfId="578" priority="215" operator="lessThan">
      <formula>0</formula>
    </cfRule>
  </conditionalFormatting>
  <conditionalFormatting sqref="W50">
    <cfRule type="cellIs" dxfId="577" priority="214" operator="lessThan">
      <formula>0</formula>
    </cfRule>
  </conditionalFormatting>
  <conditionalFormatting sqref="W59">
    <cfRule type="cellIs" dxfId="576" priority="213" operator="lessThan">
      <formula>0</formula>
    </cfRule>
  </conditionalFormatting>
  <conditionalFormatting sqref="W58">
    <cfRule type="cellIs" dxfId="575" priority="212" operator="lessThan">
      <formula>0</formula>
    </cfRule>
  </conditionalFormatting>
  <conditionalFormatting sqref="W61">
    <cfRule type="cellIs" dxfId="574" priority="211" operator="lessThan">
      <formula>0</formula>
    </cfRule>
  </conditionalFormatting>
  <conditionalFormatting sqref="W60">
    <cfRule type="cellIs" dxfId="573" priority="210" operator="lessThan">
      <formula>0</formula>
    </cfRule>
  </conditionalFormatting>
  <conditionalFormatting sqref="W63">
    <cfRule type="cellIs" dxfId="572" priority="209" operator="lessThan">
      <formula>0</formula>
    </cfRule>
  </conditionalFormatting>
  <conditionalFormatting sqref="W62">
    <cfRule type="cellIs" dxfId="571" priority="208" operator="lessThan">
      <formula>0</formula>
    </cfRule>
  </conditionalFormatting>
  <conditionalFormatting sqref="W65">
    <cfRule type="cellIs" dxfId="570" priority="207" operator="lessThan">
      <formula>0</formula>
    </cfRule>
  </conditionalFormatting>
  <conditionalFormatting sqref="W64">
    <cfRule type="cellIs" dxfId="569" priority="206" operator="lessThan">
      <formula>0</formula>
    </cfRule>
  </conditionalFormatting>
  <conditionalFormatting sqref="W67">
    <cfRule type="cellIs" dxfId="568" priority="205" operator="lessThan">
      <formula>0</formula>
    </cfRule>
  </conditionalFormatting>
  <conditionalFormatting sqref="W66">
    <cfRule type="cellIs" dxfId="567" priority="204" operator="lessThan">
      <formula>0</formula>
    </cfRule>
  </conditionalFormatting>
  <conditionalFormatting sqref="W69">
    <cfRule type="cellIs" dxfId="566" priority="203" operator="lessThan">
      <formula>0</formula>
    </cfRule>
  </conditionalFormatting>
  <conditionalFormatting sqref="W68">
    <cfRule type="cellIs" dxfId="565" priority="202" operator="lessThan">
      <formula>0</formula>
    </cfRule>
  </conditionalFormatting>
  <conditionalFormatting sqref="W71">
    <cfRule type="cellIs" dxfId="564" priority="201" operator="lessThan">
      <formula>0</formula>
    </cfRule>
  </conditionalFormatting>
  <conditionalFormatting sqref="W70">
    <cfRule type="cellIs" dxfId="563" priority="200" operator="lessThan">
      <formula>0</formula>
    </cfRule>
  </conditionalFormatting>
  <conditionalFormatting sqref="W73">
    <cfRule type="cellIs" dxfId="562" priority="199" operator="lessThan">
      <formula>0</formula>
    </cfRule>
  </conditionalFormatting>
  <conditionalFormatting sqref="W72">
    <cfRule type="cellIs" dxfId="561" priority="198" operator="lessThan">
      <formula>0</formula>
    </cfRule>
  </conditionalFormatting>
  <conditionalFormatting sqref="W75">
    <cfRule type="cellIs" dxfId="560" priority="197" operator="lessThan">
      <formula>0</formula>
    </cfRule>
  </conditionalFormatting>
  <conditionalFormatting sqref="W74">
    <cfRule type="cellIs" dxfId="559" priority="196" operator="lessThan">
      <formula>0</formula>
    </cfRule>
  </conditionalFormatting>
  <conditionalFormatting sqref="W77">
    <cfRule type="cellIs" dxfId="558" priority="195" operator="lessThan">
      <formula>0</formula>
    </cfRule>
  </conditionalFormatting>
  <conditionalFormatting sqref="W76">
    <cfRule type="cellIs" dxfId="557" priority="194" operator="lessThan">
      <formula>0</formula>
    </cfRule>
  </conditionalFormatting>
  <conditionalFormatting sqref="W79">
    <cfRule type="cellIs" dxfId="556" priority="193" operator="lessThan">
      <formula>0</formula>
    </cfRule>
  </conditionalFormatting>
  <conditionalFormatting sqref="W78">
    <cfRule type="cellIs" dxfId="555" priority="192" operator="lessThan">
      <formula>0</formula>
    </cfRule>
  </conditionalFormatting>
  <conditionalFormatting sqref="W81">
    <cfRule type="cellIs" dxfId="554" priority="191" operator="lessThan">
      <formula>0</formula>
    </cfRule>
  </conditionalFormatting>
  <conditionalFormatting sqref="W80">
    <cfRule type="cellIs" dxfId="553" priority="190" operator="lessThan">
      <formula>0</formula>
    </cfRule>
  </conditionalFormatting>
  <conditionalFormatting sqref="W83">
    <cfRule type="cellIs" dxfId="552" priority="189" operator="lessThan">
      <formula>0</formula>
    </cfRule>
  </conditionalFormatting>
  <conditionalFormatting sqref="W82">
    <cfRule type="cellIs" dxfId="551" priority="188" operator="lessThan">
      <formula>0</formula>
    </cfRule>
  </conditionalFormatting>
  <conditionalFormatting sqref="W85">
    <cfRule type="cellIs" dxfId="550" priority="187" operator="lessThan">
      <formula>0</formula>
    </cfRule>
  </conditionalFormatting>
  <conditionalFormatting sqref="W84">
    <cfRule type="cellIs" dxfId="549" priority="186" operator="lessThan">
      <formula>0</formula>
    </cfRule>
  </conditionalFormatting>
  <conditionalFormatting sqref="W87">
    <cfRule type="cellIs" dxfId="548" priority="185" operator="lessThan">
      <formula>0</formula>
    </cfRule>
  </conditionalFormatting>
  <conditionalFormatting sqref="W86">
    <cfRule type="cellIs" dxfId="547" priority="184" operator="lessThan">
      <formula>0</formula>
    </cfRule>
  </conditionalFormatting>
  <conditionalFormatting sqref="W89">
    <cfRule type="cellIs" dxfId="546" priority="183" operator="lessThan">
      <formula>0</formula>
    </cfRule>
  </conditionalFormatting>
  <conditionalFormatting sqref="W88">
    <cfRule type="cellIs" dxfId="545" priority="182" operator="lessThan">
      <formula>0</formula>
    </cfRule>
  </conditionalFormatting>
  <conditionalFormatting sqref="W91">
    <cfRule type="cellIs" dxfId="544" priority="181" operator="lessThan">
      <formula>0</formula>
    </cfRule>
  </conditionalFormatting>
  <conditionalFormatting sqref="W90">
    <cfRule type="cellIs" dxfId="543" priority="180" operator="lessThan">
      <formula>0</formula>
    </cfRule>
  </conditionalFormatting>
  <conditionalFormatting sqref="W93">
    <cfRule type="cellIs" dxfId="542" priority="179" operator="lessThan">
      <formula>0</formula>
    </cfRule>
  </conditionalFormatting>
  <conditionalFormatting sqref="W92">
    <cfRule type="cellIs" dxfId="541" priority="178" operator="lessThan">
      <formula>0</formula>
    </cfRule>
  </conditionalFormatting>
  <conditionalFormatting sqref="W95">
    <cfRule type="cellIs" dxfId="540" priority="177" operator="lessThan">
      <formula>0</formula>
    </cfRule>
  </conditionalFormatting>
  <conditionalFormatting sqref="W94">
    <cfRule type="cellIs" dxfId="539" priority="176" operator="lessThan">
      <formula>0</formula>
    </cfRule>
  </conditionalFormatting>
  <conditionalFormatting sqref="W97">
    <cfRule type="cellIs" dxfId="538" priority="175" operator="lessThan">
      <formula>0</formula>
    </cfRule>
  </conditionalFormatting>
  <conditionalFormatting sqref="W96">
    <cfRule type="cellIs" dxfId="537" priority="174" operator="lessThan">
      <formula>0</formula>
    </cfRule>
  </conditionalFormatting>
  <conditionalFormatting sqref="W99">
    <cfRule type="cellIs" dxfId="536" priority="173" operator="lessThan">
      <formula>0</formula>
    </cfRule>
  </conditionalFormatting>
  <conditionalFormatting sqref="W98">
    <cfRule type="cellIs" dxfId="535" priority="172" operator="lessThan">
      <formula>0</formula>
    </cfRule>
  </conditionalFormatting>
  <conditionalFormatting sqref="W101">
    <cfRule type="cellIs" dxfId="534" priority="171" operator="lessThan">
      <formula>0</formula>
    </cfRule>
  </conditionalFormatting>
  <conditionalFormatting sqref="W100">
    <cfRule type="cellIs" dxfId="533" priority="170" operator="lessThan">
      <formula>0</formula>
    </cfRule>
  </conditionalFormatting>
  <conditionalFormatting sqref="W103">
    <cfRule type="cellIs" dxfId="532" priority="169" operator="lessThan">
      <formula>0</formula>
    </cfRule>
  </conditionalFormatting>
  <conditionalFormatting sqref="W102">
    <cfRule type="cellIs" dxfId="531" priority="168" operator="lessThan">
      <formula>0</formula>
    </cfRule>
  </conditionalFormatting>
  <conditionalFormatting sqref="W105">
    <cfRule type="cellIs" dxfId="530" priority="167" operator="lessThan">
      <formula>0</formula>
    </cfRule>
  </conditionalFormatting>
  <conditionalFormatting sqref="W104">
    <cfRule type="cellIs" dxfId="529" priority="166" operator="lessThan">
      <formula>0</formula>
    </cfRule>
  </conditionalFormatting>
  <conditionalFormatting sqref="W107">
    <cfRule type="cellIs" dxfId="528" priority="165" operator="lessThan">
      <formula>0</formula>
    </cfRule>
  </conditionalFormatting>
  <conditionalFormatting sqref="W106">
    <cfRule type="cellIs" dxfId="527" priority="164" operator="lessThan">
      <formula>0</formula>
    </cfRule>
  </conditionalFormatting>
  <conditionalFormatting sqref="W109">
    <cfRule type="cellIs" dxfId="526" priority="163" operator="lessThan">
      <formula>0</formula>
    </cfRule>
  </conditionalFormatting>
  <conditionalFormatting sqref="W108">
    <cfRule type="cellIs" dxfId="525" priority="162" operator="lessThan">
      <formula>0</formula>
    </cfRule>
  </conditionalFormatting>
  <conditionalFormatting sqref="W111">
    <cfRule type="cellIs" dxfId="524" priority="161" operator="lessThan">
      <formula>0</formula>
    </cfRule>
  </conditionalFormatting>
  <conditionalFormatting sqref="W110">
    <cfRule type="cellIs" dxfId="523" priority="160" operator="lessThan">
      <formula>0</formula>
    </cfRule>
  </conditionalFormatting>
  <conditionalFormatting sqref="W113">
    <cfRule type="cellIs" dxfId="522" priority="159" operator="lessThan">
      <formula>0</formula>
    </cfRule>
  </conditionalFormatting>
  <conditionalFormatting sqref="W112">
    <cfRule type="cellIs" dxfId="521" priority="158" operator="lessThan">
      <formula>0</formula>
    </cfRule>
  </conditionalFormatting>
  <conditionalFormatting sqref="W115">
    <cfRule type="cellIs" dxfId="520" priority="157" operator="lessThan">
      <formula>0</formula>
    </cfRule>
  </conditionalFormatting>
  <conditionalFormatting sqref="W114">
    <cfRule type="cellIs" dxfId="519" priority="156" operator="lessThan">
      <formula>0</formula>
    </cfRule>
  </conditionalFormatting>
  <conditionalFormatting sqref="W117">
    <cfRule type="cellIs" dxfId="518" priority="155" operator="lessThan">
      <formula>0</formula>
    </cfRule>
  </conditionalFormatting>
  <conditionalFormatting sqref="W116">
    <cfRule type="cellIs" dxfId="517" priority="154" operator="lessThan">
      <formula>0</formula>
    </cfRule>
  </conditionalFormatting>
  <conditionalFormatting sqref="W119">
    <cfRule type="cellIs" dxfId="516" priority="153" operator="lessThan">
      <formula>0</formula>
    </cfRule>
  </conditionalFormatting>
  <conditionalFormatting sqref="W118">
    <cfRule type="cellIs" dxfId="515" priority="152" operator="lessThan">
      <formula>0</formula>
    </cfRule>
  </conditionalFormatting>
  <conditionalFormatting sqref="W121">
    <cfRule type="cellIs" dxfId="514" priority="151" operator="lessThan">
      <formula>0</formula>
    </cfRule>
  </conditionalFormatting>
  <conditionalFormatting sqref="W120">
    <cfRule type="cellIs" dxfId="513" priority="150" operator="lessThan">
      <formula>0</formula>
    </cfRule>
  </conditionalFormatting>
  <conditionalFormatting sqref="W123">
    <cfRule type="cellIs" dxfId="512" priority="149" operator="lessThan">
      <formula>0</formula>
    </cfRule>
  </conditionalFormatting>
  <conditionalFormatting sqref="W122">
    <cfRule type="cellIs" dxfId="511" priority="148" operator="lessThan">
      <formula>0</formula>
    </cfRule>
  </conditionalFormatting>
  <conditionalFormatting sqref="W125">
    <cfRule type="cellIs" dxfId="510" priority="147" operator="lessThan">
      <formula>0</formula>
    </cfRule>
  </conditionalFormatting>
  <conditionalFormatting sqref="W124">
    <cfRule type="cellIs" dxfId="509" priority="146" operator="lessThan">
      <formula>0</formula>
    </cfRule>
  </conditionalFormatting>
  <conditionalFormatting sqref="W127">
    <cfRule type="cellIs" dxfId="508" priority="145" operator="lessThan">
      <formula>0</formula>
    </cfRule>
  </conditionalFormatting>
  <conditionalFormatting sqref="W126">
    <cfRule type="cellIs" dxfId="507" priority="144" operator="lessThan">
      <formula>0</formula>
    </cfRule>
  </conditionalFormatting>
  <conditionalFormatting sqref="W129">
    <cfRule type="cellIs" dxfId="506" priority="143" operator="lessThan">
      <formula>0</formula>
    </cfRule>
  </conditionalFormatting>
  <conditionalFormatting sqref="W128">
    <cfRule type="cellIs" dxfId="505" priority="142" operator="lessThan">
      <formula>0</formula>
    </cfRule>
  </conditionalFormatting>
  <conditionalFormatting sqref="W131">
    <cfRule type="cellIs" dxfId="504" priority="141" operator="lessThan">
      <formula>0</formula>
    </cfRule>
  </conditionalFormatting>
  <conditionalFormatting sqref="W130">
    <cfRule type="cellIs" dxfId="503" priority="140" operator="lessThan">
      <formula>0</formula>
    </cfRule>
  </conditionalFormatting>
  <conditionalFormatting sqref="W133">
    <cfRule type="cellIs" dxfId="502" priority="139" operator="lessThan">
      <formula>0</formula>
    </cfRule>
  </conditionalFormatting>
  <conditionalFormatting sqref="W132">
    <cfRule type="cellIs" dxfId="501" priority="138" operator="lessThan">
      <formula>0</formula>
    </cfRule>
  </conditionalFormatting>
  <conditionalFormatting sqref="W135">
    <cfRule type="cellIs" dxfId="500" priority="137" operator="lessThan">
      <formula>0</formula>
    </cfRule>
  </conditionalFormatting>
  <conditionalFormatting sqref="W134">
    <cfRule type="cellIs" dxfId="499" priority="136" operator="lessThan">
      <formula>0</formula>
    </cfRule>
  </conditionalFormatting>
  <conditionalFormatting sqref="W15">
    <cfRule type="cellIs" dxfId="498" priority="127" operator="lessThan">
      <formula>0</formula>
    </cfRule>
  </conditionalFormatting>
  <conditionalFormatting sqref="W14">
    <cfRule type="cellIs" dxfId="497" priority="126" operator="lessThan">
      <formula>0</formula>
    </cfRule>
  </conditionalFormatting>
  <conditionalFormatting sqref="W17">
    <cfRule type="cellIs" dxfId="496" priority="125" operator="lessThan">
      <formula>0</formula>
    </cfRule>
  </conditionalFormatting>
  <conditionalFormatting sqref="W16">
    <cfRule type="cellIs" dxfId="495" priority="124" operator="lessThan">
      <formula>0</formula>
    </cfRule>
  </conditionalFormatting>
  <conditionalFormatting sqref="W19">
    <cfRule type="cellIs" dxfId="494" priority="123" operator="lessThan">
      <formula>0</formula>
    </cfRule>
  </conditionalFormatting>
  <conditionalFormatting sqref="W18">
    <cfRule type="cellIs" dxfId="493" priority="122" operator="lessThan">
      <formula>0</formula>
    </cfRule>
  </conditionalFormatting>
  <conditionalFormatting sqref="W21">
    <cfRule type="cellIs" dxfId="492" priority="121" operator="lessThan">
      <formula>0</formula>
    </cfRule>
  </conditionalFormatting>
  <conditionalFormatting sqref="W20">
    <cfRule type="cellIs" dxfId="491" priority="120" operator="lessThan">
      <formula>0</formula>
    </cfRule>
  </conditionalFormatting>
  <conditionalFormatting sqref="W11">
    <cfRule type="cellIs" dxfId="490" priority="119" operator="lessThan">
      <formula>0</formula>
    </cfRule>
  </conditionalFormatting>
  <conditionalFormatting sqref="W10">
    <cfRule type="cellIs" dxfId="489" priority="118" operator="lessThan">
      <formula>0</formula>
    </cfRule>
  </conditionalFormatting>
  <conditionalFormatting sqref="W13">
    <cfRule type="cellIs" dxfId="488" priority="117" operator="lessThan">
      <formula>0</formula>
    </cfRule>
  </conditionalFormatting>
  <conditionalFormatting sqref="W12">
    <cfRule type="cellIs" dxfId="487" priority="116" operator="lessThan">
      <formula>0</formula>
    </cfRule>
  </conditionalFormatting>
  <conditionalFormatting sqref="AA14:AA15">
    <cfRule type="expression" dxfId="486" priority="7368">
      <formula>$AB14&lt;0</formula>
    </cfRule>
  </conditionalFormatting>
  <conditionalFormatting sqref="A14 A16 A18 A20 A22 A24">
    <cfRule type="expression" dxfId="485" priority="7369">
      <formula>(Z15+1)&lt;AB14</formula>
    </cfRule>
  </conditionalFormatting>
  <conditionalFormatting sqref="A15 A17 A19 A21 A23 A25">
    <cfRule type="expression" dxfId="484" priority="7370">
      <formula>Z14+1&lt;AB15</formula>
    </cfRule>
  </conditionalFormatting>
  <conditionalFormatting sqref="A136:A137">
    <cfRule type="expression" dxfId="483" priority="18">
      <formula>V136&lt;&gt;0</formula>
    </cfRule>
  </conditionalFormatting>
  <conditionalFormatting sqref="A138:A139">
    <cfRule type="expression" dxfId="482" priority="19">
      <formula>V132&lt;&gt;0</formula>
    </cfRule>
  </conditionalFormatting>
  <conditionalFormatting sqref="A140:A141">
    <cfRule type="expression" dxfId="481" priority="20">
      <formula>V134&lt;&gt;0</formula>
    </cfRule>
  </conditionalFormatting>
  <conditionalFormatting sqref="Y13">
    <cfRule type="cellIs" dxfId="480" priority="16" operator="greaterThan">
      <formula>Y10</formula>
    </cfRule>
  </conditionalFormatting>
  <conditionalFormatting sqref="Z10">
    <cfRule type="cellIs" dxfId="479" priority="15" operator="lessThan">
      <formula>Z11</formula>
    </cfRule>
  </conditionalFormatting>
  <conditionalFormatting sqref="AA12">
    <cfRule type="cellIs" dxfId="478" priority="17" operator="greaterThan">
      <formula>Z10</formula>
    </cfRule>
  </conditionalFormatting>
  <conditionalFormatting sqref="Y124:Y129">
    <cfRule type="cellIs" dxfId="477" priority="1" operator="equal">
      <formula>0</formula>
    </cfRule>
  </conditionalFormatting>
  <conditionalFormatting sqref="Y124">
    <cfRule type="expression" dxfId="476" priority="5">
      <formula>Y125&gt;$AE$1*$AD$1</formula>
    </cfRule>
  </conditionalFormatting>
  <conditionalFormatting sqref="Y124:Y125">
    <cfRule type="cellIs" dxfId="475" priority="2" operator="lessThan">
      <formula>0</formula>
    </cfRule>
  </conditionalFormatting>
  <conditionalFormatting sqref="Y125">
    <cfRule type="expression" dxfId="474" priority="3">
      <formula>Y125&gt;$AE$1*$AD$1</formula>
    </cfRule>
    <cfRule type="expression" dxfId="473" priority="4">
      <formula>Y125&gt;$AE$1*$AD$1</formula>
    </cfRule>
  </conditionalFormatting>
  <conditionalFormatting sqref="Y126:Y129">
    <cfRule type="cellIs" dxfId="472" priority="6" operator="lessThan">
      <formula>0</formula>
    </cfRule>
  </conditionalFormatting>
  <dataValidations count="2">
    <dataValidation type="list" allowBlank="1" showInputMessage="1" showErrorMessage="1" sqref="A14:A25" xr:uid="{67BBF281-2202-43B8-9E2B-7482F20B89F0}">
      <formula1>$A$46:$A$135</formula1>
    </dataValidation>
    <dataValidation type="list" allowBlank="1" showInputMessage="1" showErrorMessage="1" sqref="A6:A13" xr:uid="{8D7C6814-B3A5-4192-B58E-6BF96B8D69FC}">
      <formula1>$A$46:$A$141</formula1>
    </dataValidation>
  </dataValidations>
  <pageMargins left="0.7" right="0.7" top="0.75" bottom="0.75" header="0.3" footer="0.3"/>
  <pageSetup paperSize="9" orientation="portrait" r:id="rId1"/>
  <ignoredErrors>
    <ignoredError sqref="Y55 Y50 Z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H1"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6.1406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676">
        <f>I76</f>
        <v>1136.8976000000002</v>
      </c>
      <c r="M2" s="677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19" t="s">
        <v>340</v>
      </c>
      <c r="U2" s="319" t="s">
        <v>341</v>
      </c>
      <c r="V2" s="319" t="s">
        <v>355</v>
      </c>
      <c r="W2" s="319"/>
      <c r="X2" s="319" t="s">
        <v>356</v>
      </c>
      <c r="Y2" s="397" t="s">
        <v>357</v>
      </c>
      <c r="Z2" s="397" t="s">
        <v>358</v>
      </c>
      <c r="AA2" s="397" t="s">
        <v>359</v>
      </c>
      <c r="AB2" s="397" t="s">
        <v>360</v>
      </c>
      <c r="AC2" s="397" t="s">
        <v>361</v>
      </c>
      <c r="AD2" s="398" t="s">
        <v>362</v>
      </c>
      <c r="AE2" s="241" t="s">
        <v>363</v>
      </c>
      <c r="AF2" s="320" t="s">
        <v>340</v>
      </c>
      <c r="AG2" s="321" t="s">
        <v>341</v>
      </c>
      <c r="AH2" s="320" t="s">
        <v>364</v>
      </c>
      <c r="AI2" s="320"/>
      <c r="AJ2" s="320" t="s">
        <v>356</v>
      </c>
      <c r="AK2" s="397" t="s">
        <v>357</v>
      </c>
      <c r="AL2" s="397" t="s">
        <v>358</v>
      </c>
      <c r="AM2" s="397" t="s">
        <v>359</v>
      </c>
      <c r="AN2" s="397" t="s">
        <v>360</v>
      </c>
      <c r="AO2" s="397" t="s">
        <v>361</v>
      </c>
      <c r="AP2" s="397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>
        <v>1</v>
      </c>
      <c r="C3" s="248">
        <v>1640</v>
      </c>
      <c r="D3" s="249">
        <v>144</v>
      </c>
      <c r="E3" s="256">
        <f t="shared" ref="E3:E72" si="0">+B3*D3*-100</f>
        <v>-14400</v>
      </c>
      <c r="F3" s="257">
        <f t="shared" ref="F3:F66" si="1">IF(B3&gt;0,+B3*D3*(1+($Q$53+0.002)*1.21)*-100,B3*D3*(1-($Q$53+0.002)*1.21)*-100)</f>
        <v>-14525.452799999999</v>
      </c>
      <c r="G3" s="252">
        <f>IFERROR(VLOOKUP(C3,$U$3:$AD$50,7,0),"")</f>
        <v>0</v>
      </c>
      <c r="H3" s="258">
        <f>IFERROR(+G3*B3*-100,0)</f>
        <v>0</v>
      </c>
      <c r="I3" s="259">
        <f t="shared" ref="I3:I72" si="2">+IF(G3="",0,(F3-H3))</f>
        <v>-14525.452799999999</v>
      </c>
      <c r="J3" s="69"/>
      <c r="K3" s="69"/>
      <c r="L3" s="69"/>
      <c r="M3" s="69"/>
      <c r="N3" s="107"/>
      <c r="O3" s="300">
        <f t="shared" ref="O3:O17" si="3">+O4*(1-$Q$42)</f>
        <v>0</v>
      </c>
      <c r="P3" s="108">
        <f t="shared" ref="P3:P34" si="4">EW3</f>
        <v>1136.9000000000001</v>
      </c>
      <c r="Q3" s="108">
        <f t="shared" ref="Q3:Q34" ca="1" si="5">GN3</f>
        <v>1136.9000000000001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1491.5</v>
      </c>
      <c r="V3" s="112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113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GFGC14915D - 24hs</v>
      </c>
      <c r="X3" s="113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GFGC14915D</v>
      </c>
      <c r="Y3" s="242">
        <f>IFERROR(VLOOKUP($X3,HomeBroker!$A$2:$F$103,2,0),0)</f>
        <v>0</v>
      </c>
      <c r="Z3" s="242">
        <f>IFERROR(VLOOKUP($X3,HomeBroker!$A$2:$F$103,3,0),0)</f>
        <v>0</v>
      </c>
      <c r="AA3" s="243">
        <f>IFERROR(VLOOKUP($X3,HomeBroker!$A$2:$F$103,6,0),0)</f>
        <v>0</v>
      </c>
      <c r="AB3" s="242">
        <f>IFERROR(VLOOKUP($X3,HomeBroker!$A$2:$F$103,4,0),0)</f>
        <v>0</v>
      </c>
      <c r="AC3" s="242">
        <f>IFERROR(VLOOKUP($X3,HomeBroker!$A$2:$F$103,5,0),0)</f>
        <v>0</v>
      </c>
      <c r="AD3" s="311">
        <f>IFERROR(VLOOKUP($X3,HomeBroker!$A$2:$N$103,14,0),0)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804.56</v>
      </c>
      <c r="AH3" s="112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113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GFGV80456I - 24hs</v>
      </c>
      <c r="AJ3" s="113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GFGV80456D</v>
      </c>
      <c r="AK3" s="237">
        <f>IFERROR(VLOOKUP($AJ3,HomeBroker!$A$2:$F$103,2,0),0)</f>
        <v>0</v>
      </c>
      <c r="AL3" s="242">
        <f>IFERROR(VLOOKUP($AJ3,HomeBroker!$A$2:$F$103,3,0),0)</f>
        <v>0</v>
      </c>
      <c r="AM3" s="243">
        <f>IFERROR(VLOOKUP($AJ3,HomeBroker!$A$2:$F$103,6,0),0)</f>
        <v>0</v>
      </c>
      <c r="AN3" s="242">
        <f>IFERROR(VLOOKUP($AJ3,HomeBroker!$A$2:$F$103,4,0),0)</f>
        <v>0</v>
      </c>
      <c r="AO3" s="237">
        <f>IFERROR(VLOOKUP($AJ3,HomeBroker!$A$2:$F$103,5,0),0)</f>
        <v>0</v>
      </c>
      <c r="AP3" s="115">
        <f>IFERROR(VLOOKUP($AJ3,HomeBroker!$A$2:$N$103,14,0),0)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1491.5</v>
      </c>
      <c r="AU3" s="62"/>
      <c r="AV3" s="116"/>
      <c r="AW3" s="117" t="s">
        <v>354</v>
      </c>
      <c r="AX3" s="118"/>
      <c r="AY3" s="106"/>
      <c r="AZ3" s="119"/>
      <c r="BA3" s="307">
        <f t="shared" ref="BA3:BA76" si="10">+AX3*AZ3*-100</f>
        <v>0</v>
      </c>
      <c r="BB3" s="308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312">
        <f t="shared" ref="BG3:BG76" si="12">+BD3*BF3*-100</f>
        <v>0</v>
      </c>
      <c r="BH3" s="313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315">
        <f t="shared" ref="BL3:BL76" si="14">-BK3*BJ3</f>
        <v>0</v>
      </c>
      <c r="BM3" s="316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1136.8976000000002</v>
      </c>
      <c r="EV3" s="128"/>
      <c r="EW3" s="129">
        <f t="shared" ref="EW3:EW34" si="53">ROUND($EU$3+ES3+EW36+EW70+EW103,2)</f>
        <v>1136.9000000000001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1136.8976000000002</v>
      </c>
      <c r="GM3" s="128"/>
      <c r="GN3" s="129">
        <f t="shared" ref="GN3:GN34" ca="1" si="56">ROUND($GL$3+GJ3+GN36+GN70+GN103,2)</f>
        <v>1136.9000000000001</v>
      </c>
    </row>
    <row r="4" spans="1:196" ht="15">
      <c r="A4" s="130" t="s">
        <v>410</v>
      </c>
      <c r="B4" s="255">
        <v>-2</v>
      </c>
      <c r="C4" s="248">
        <v>1931.5</v>
      </c>
      <c r="D4" s="249">
        <v>79</v>
      </c>
      <c r="E4" s="256">
        <f t="shared" si="0"/>
        <v>15800</v>
      </c>
      <c r="F4" s="257">
        <f t="shared" si="1"/>
        <v>15662.350399999999</v>
      </c>
      <c r="G4" s="252">
        <f t="shared" ref="G4:G37" si="57">IFERROR(VLOOKUP(C4,$U$3:$AD$50,7,0),"")</f>
        <v>0</v>
      </c>
      <c r="H4" s="258">
        <f t="shared" ref="H4:H67" si="58">IFERROR(+G4*B4*-100,0)</f>
        <v>0</v>
      </c>
      <c r="I4" s="259">
        <f t="shared" si="2"/>
        <v>15662.350399999999</v>
      </c>
      <c r="J4" s="131">
        <f>IFERROR(D3/D4,"")</f>
        <v>1.8227848101265822</v>
      </c>
      <c r="K4" s="132" t="str">
        <f>IFERROR(G3/G4,"")</f>
        <v/>
      </c>
      <c r="L4" s="133" t="str">
        <f>IFERROR(K4/J4-1,"")</f>
        <v/>
      </c>
      <c r="M4" s="134">
        <f>I3+I4</f>
        <v>1136.8976000000002</v>
      </c>
      <c r="N4" s="144"/>
      <c r="O4" s="301">
        <f t="shared" si="3"/>
        <v>0</v>
      </c>
      <c r="P4" s="135">
        <f t="shared" si="4"/>
        <v>1136.9000000000001</v>
      </c>
      <c r="Q4" s="135">
        <f t="shared" ca="1" si="5"/>
        <v>1136.9000000000001</v>
      </c>
      <c r="R4" s="62"/>
      <c r="S4" s="246" t="str">
        <f t="shared" si="6"/>
        <v/>
      </c>
      <c r="T4" s="110">
        <f t="shared" si="7"/>
        <v>0</v>
      </c>
      <c r="U4" s="240">
        <v>1570</v>
      </c>
      <c r="V4" s="112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113" t="str">
        <f t="shared" si="8"/>
        <v>MERV - XMEV - GFGC1570DI - 24hs</v>
      </c>
      <c r="X4" s="113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GFGC1570DI</v>
      </c>
      <c r="Y4" s="242">
        <f>IFERROR(VLOOKUP($X4,HomeBroker!$A$2:$F$103,2,0),0)</f>
        <v>0</v>
      </c>
      <c r="Z4" s="242">
        <f>IFERROR(VLOOKUP($X4,HomeBroker!$A$2:$F$103,3,0),0)</f>
        <v>0</v>
      </c>
      <c r="AA4" s="243">
        <f>IFERROR(VLOOKUP($X4,HomeBroker!$A$2:$F$103,6,0),0)</f>
        <v>0</v>
      </c>
      <c r="AB4" s="242">
        <f>IFERROR(VLOOKUP($X4,HomeBroker!$A$2:$F$103,4,0),0)</f>
        <v>0</v>
      </c>
      <c r="AC4" s="242">
        <f>IFERROR(VLOOKUP($X4,HomeBroker!$A$2:$F$103,5,0),0)</f>
        <v>0</v>
      </c>
      <c r="AD4" s="311">
        <f>IFERROR(VLOOKUP($X4,HomeBroker!$A$2:$N$103,14,0),0)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830</v>
      </c>
      <c r="AH4" s="112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113" t="str">
        <f t="shared" si="9"/>
        <v>MERV - XMEV - GFGV830.DI - 24hs</v>
      </c>
      <c r="AJ4" s="113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GFGV830.DI</v>
      </c>
      <c r="AK4" s="237">
        <f>IFERROR(VLOOKUP($AJ4,HomeBroker!$A$2:$F$103,2,0),0)</f>
        <v>0</v>
      </c>
      <c r="AL4" s="242">
        <f>IFERROR(VLOOKUP($AJ4,HomeBroker!$A$2:$F$103,3,0),0)</f>
        <v>0</v>
      </c>
      <c r="AM4" s="243">
        <f>IFERROR(VLOOKUP($AJ4,HomeBroker!$A$2:$F$103,6,0),0)</f>
        <v>0</v>
      </c>
      <c r="AN4" s="242">
        <f>IFERROR(VLOOKUP($AJ4,HomeBroker!$A$2:$F$103,4,0),0)</f>
        <v>0</v>
      </c>
      <c r="AO4" s="237">
        <f>IFERROR(VLOOKUP($AJ4,HomeBroker!$A$2:$F$103,5,0),0)</f>
        <v>0</v>
      </c>
      <c r="AP4" s="115">
        <f>IFERROR(VLOOKUP($AJ4,HomeBroker!$A$2:$N$103,14,0),0)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1570</v>
      </c>
      <c r="AU4" s="62"/>
      <c r="AV4" s="116"/>
      <c r="AW4" s="136" t="s">
        <v>354</v>
      </c>
      <c r="AX4" s="118"/>
      <c r="AY4" s="137"/>
      <c r="AZ4" s="119"/>
      <c r="BA4" s="309">
        <f t="shared" si="10"/>
        <v>0</v>
      </c>
      <c r="BB4" s="310">
        <f t="shared" si="11"/>
        <v>0</v>
      </c>
      <c r="BC4" s="120" t="s">
        <v>408</v>
      </c>
      <c r="BD4" s="118"/>
      <c r="BE4" s="106"/>
      <c r="BF4" s="121"/>
      <c r="BG4" s="312">
        <f t="shared" si="12"/>
        <v>0</v>
      </c>
      <c r="BH4" s="314">
        <f t="shared" si="13"/>
        <v>0</v>
      </c>
      <c r="BI4" s="122" t="s">
        <v>409</v>
      </c>
      <c r="BJ4" s="118"/>
      <c r="BK4" s="121"/>
      <c r="BL4" s="315">
        <f t="shared" si="14"/>
        <v>0</v>
      </c>
      <c r="BM4" s="316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1136.9000000000001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1136.9000000000001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301">
        <f t="shared" si="3"/>
        <v>0</v>
      </c>
      <c r="P5" s="135">
        <f t="shared" si="4"/>
        <v>1136.9000000000001</v>
      </c>
      <c r="Q5" s="135">
        <f t="shared" ca="1" si="5"/>
        <v>1136.9000000000001</v>
      </c>
      <c r="R5" s="62"/>
      <c r="S5" s="246" t="str">
        <f t="shared" si="6"/>
        <v/>
      </c>
      <c r="T5" s="110">
        <f t="shared" si="7"/>
        <v>1</v>
      </c>
      <c r="U5" s="240">
        <v>1640</v>
      </c>
      <c r="V5" s="112">
        <f t="shared" ca="1" si="59"/>
        <v>0</v>
      </c>
      <c r="W5" s="113" t="str">
        <f t="shared" si="8"/>
        <v>MERV - XMEV - GFGC1640DI - 24hs</v>
      </c>
      <c r="X5" s="113" t="str">
        <f t="shared" si="60"/>
        <v>GFGC1640DI</v>
      </c>
      <c r="Y5" s="242">
        <f>IFERROR(VLOOKUP($X5,HomeBroker!$A$2:$F$103,2,0),0)</f>
        <v>0</v>
      </c>
      <c r="Z5" s="242">
        <f>IFERROR(VLOOKUP($X5,HomeBroker!$A$2:$F$103,3,0),0)</f>
        <v>0</v>
      </c>
      <c r="AA5" s="243">
        <f>IFERROR(VLOOKUP($X5,HomeBroker!$A$2:$F$103,6,0),0)</f>
        <v>0</v>
      </c>
      <c r="AB5" s="242">
        <f>IFERROR(VLOOKUP($X5,HomeBroker!$A$2:$F$103,4,0),0)</f>
        <v>0</v>
      </c>
      <c r="AC5" s="242">
        <f>IFERROR(VLOOKUP($X5,HomeBroker!$A$2:$F$103,5,0),0)</f>
        <v>0</v>
      </c>
      <c r="AD5" s="311">
        <f>IFERROR(VLOOKUP($X5,HomeBroker!$A$2:$N$103,14,0),0)</f>
        <v>0</v>
      </c>
      <c r="AE5" s="247" t="str">
        <f t="shared" si="61"/>
        <v/>
      </c>
      <c r="AF5" s="110">
        <f t="shared" si="62"/>
        <v>0</v>
      </c>
      <c r="AG5" s="240">
        <v>901.52</v>
      </c>
      <c r="AH5" s="112">
        <f t="shared" ca="1" si="63"/>
        <v>0</v>
      </c>
      <c r="AI5" s="113" t="str">
        <f t="shared" si="9"/>
        <v>MERV - XMEV - GFGV90152I - 24hs</v>
      </c>
      <c r="AJ5" s="113" t="str">
        <f t="shared" si="64"/>
        <v>GFGV90152D</v>
      </c>
      <c r="AK5" s="237">
        <f>IFERROR(VLOOKUP($AJ5,HomeBroker!$A$2:$F$103,2,0),0)</f>
        <v>0</v>
      </c>
      <c r="AL5" s="242">
        <f>IFERROR(VLOOKUP($AJ5,HomeBroker!$A$2:$F$103,3,0),0)</f>
        <v>0</v>
      </c>
      <c r="AM5" s="243">
        <f>IFERROR(VLOOKUP($AJ5,HomeBroker!$A$2:$F$103,6,0),0)</f>
        <v>0</v>
      </c>
      <c r="AN5" s="242">
        <f>IFERROR(VLOOKUP($AJ5,HomeBroker!$A$2:$F$103,4,0),0)</f>
        <v>0</v>
      </c>
      <c r="AO5" s="237">
        <f>IFERROR(VLOOKUP($AJ5,HomeBroker!$A$2:$F$103,5,0),0)</f>
        <v>0</v>
      </c>
      <c r="AP5" s="115">
        <f>IFERROR(VLOOKUP($AJ5,HomeBroker!$A$2:$N$103,14,0),0)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1640</v>
      </c>
      <c r="AU5" s="62"/>
      <c r="AV5" s="116"/>
      <c r="AW5" s="136" t="s">
        <v>354</v>
      </c>
      <c r="AX5" s="118"/>
      <c r="AY5" s="140"/>
      <c r="AZ5" s="141"/>
      <c r="BA5" s="309">
        <f t="shared" si="10"/>
        <v>0</v>
      </c>
      <c r="BB5" s="310">
        <f t="shared" si="11"/>
        <v>0</v>
      </c>
      <c r="BC5" s="120" t="s">
        <v>408</v>
      </c>
      <c r="BD5" s="118"/>
      <c r="BE5" s="106"/>
      <c r="BF5" s="121"/>
      <c r="BG5" s="312">
        <f t="shared" si="12"/>
        <v>0</v>
      </c>
      <c r="BH5" s="314">
        <f t="shared" si="13"/>
        <v>0</v>
      </c>
      <c r="BI5" s="122" t="s">
        <v>409</v>
      </c>
      <c r="BJ5" s="118"/>
      <c r="BK5" s="121"/>
      <c r="BL5" s="315">
        <f t="shared" si="14"/>
        <v>0</v>
      </c>
      <c r="BM5" s="316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1136.9000000000001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1136.9000000000001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301">
        <f t="shared" si="3"/>
        <v>0</v>
      </c>
      <c r="P6" s="142">
        <f t="shared" si="4"/>
        <v>1136.9000000000001</v>
      </c>
      <c r="Q6" s="142">
        <f t="shared" ca="1" si="5"/>
        <v>1136.9000000000001</v>
      </c>
      <c r="R6" s="62"/>
      <c r="S6" s="246" t="str">
        <f t="shared" si="6"/>
        <v/>
      </c>
      <c r="T6" s="110">
        <f t="shared" si="7"/>
        <v>0</v>
      </c>
      <c r="U6" s="240">
        <v>1771.5</v>
      </c>
      <c r="V6" s="112">
        <f t="shared" ca="1" si="59"/>
        <v>0</v>
      </c>
      <c r="W6" s="113" t="str">
        <f t="shared" si="8"/>
        <v>MERV - XMEV - GFGC17715D - 24hs</v>
      </c>
      <c r="X6" s="113" t="str">
        <f t="shared" si="60"/>
        <v>GFGC17715D</v>
      </c>
      <c r="Y6" s="242">
        <f>IFERROR(VLOOKUP($X6,HomeBroker!$A$2:$F$103,2,0),0)</f>
        <v>0</v>
      </c>
      <c r="Z6" s="242">
        <f>IFERROR(VLOOKUP($X6,HomeBroker!$A$2:$F$103,3,0),0)</f>
        <v>0</v>
      </c>
      <c r="AA6" s="243">
        <f>IFERROR(VLOOKUP($X6,HomeBroker!$A$2:$F$103,6,0),0)</f>
        <v>0</v>
      </c>
      <c r="AB6" s="242">
        <f>IFERROR(VLOOKUP($X6,HomeBroker!$A$2:$F$103,4,0),0)</f>
        <v>0</v>
      </c>
      <c r="AC6" s="242">
        <f>IFERROR(VLOOKUP($X6,HomeBroker!$A$2:$F$103,5,0),0)</f>
        <v>0</v>
      </c>
      <c r="AD6" s="311">
        <f>IFERROR(VLOOKUP($X6,HomeBroker!$A$2:$N$103,14,0),0)</f>
        <v>0</v>
      </c>
      <c r="AE6" s="247" t="str">
        <f t="shared" si="61"/>
        <v/>
      </c>
      <c r="AF6" s="110">
        <f t="shared" si="62"/>
        <v>0</v>
      </c>
      <c r="AG6" s="240">
        <v>941.52</v>
      </c>
      <c r="AH6" s="112">
        <f t="shared" ca="1" si="63"/>
        <v>0</v>
      </c>
      <c r="AI6" s="113" t="str">
        <f t="shared" si="9"/>
        <v>MERV - XMEV - GFGV94152I - 24hs</v>
      </c>
      <c r="AJ6" s="113" t="str">
        <f t="shared" si="64"/>
        <v>GFGV94152D</v>
      </c>
      <c r="AK6" s="237">
        <f>IFERROR(VLOOKUP($AJ6,HomeBroker!$A$2:$F$103,2,0),0)</f>
        <v>0</v>
      </c>
      <c r="AL6" s="242">
        <f>IFERROR(VLOOKUP($AJ6,HomeBroker!$A$2:$F$103,3,0),0)</f>
        <v>0</v>
      </c>
      <c r="AM6" s="243">
        <f>IFERROR(VLOOKUP($AJ6,HomeBroker!$A$2:$F$103,6,0),0)</f>
        <v>0</v>
      </c>
      <c r="AN6" s="242">
        <f>IFERROR(VLOOKUP($AJ6,HomeBroker!$A$2:$F$103,4,0),0)</f>
        <v>0</v>
      </c>
      <c r="AO6" s="237">
        <f>IFERROR(VLOOKUP($AJ6,HomeBroker!$A$2:$F$103,5,0),0)</f>
        <v>0</v>
      </c>
      <c r="AP6" s="115">
        <f>IFERROR(VLOOKUP($AJ6,HomeBroker!$A$2:$N$103,14,0),0)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1771.5</v>
      </c>
      <c r="AU6" s="62"/>
      <c r="AV6" s="116"/>
      <c r="AW6" s="136" t="s">
        <v>354</v>
      </c>
      <c r="AX6" s="118"/>
      <c r="AY6" s="140"/>
      <c r="AZ6" s="141"/>
      <c r="BA6" s="309">
        <f t="shared" si="10"/>
        <v>0</v>
      </c>
      <c r="BB6" s="310">
        <f t="shared" si="11"/>
        <v>0</v>
      </c>
      <c r="BC6" s="120" t="s">
        <v>408</v>
      </c>
      <c r="BD6" s="118"/>
      <c r="BE6" s="143"/>
      <c r="BF6" s="121"/>
      <c r="BG6" s="312">
        <f t="shared" si="12"/>
        <v>0</v>
      </c>
      <c r="BH6" s="314">
        <f t="shared" si="13"/>
        <v>0</v>
      </c>
      <c r="BI6" s="122" t="s">
        <v>409</v>
      </c>
      <c r="BJ6" s="118"/>
      <c r="BK6" s="121"/>
      <c r="BL6" s="315">
        <f t="shared" si="14"/>
        <v>0</v>
      </c>
      <c r="BM6" s="316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1136.9000000000001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1136.9000000000001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e">
        <f>-1+(O7/$O$18)</f>
        <v>#DIV/0!</v>
      </c>
      <c r="O7" s="301">
        <f t="shared" si="3"/>
        <v>0</v>
      </c>
      <c r="P7" s="135">
        <f t="shared" si="4"/>
        <v>1136.9000000000001</v>
      </c>
      <c r="Q7" s="135">
        <f t="shared" ca="1" si="5"/>
        <v>1136.9000000000001</v>
      </c>
      <c r="R7" s="62"/>
      <c r="S7" s="246" t="str">
        <f t="shared" si="6"/>
        <v/>
      </c>
      <c r="T7" s="110">
        <f t="shared" si="7"/>
        <v>0</v>
      </c>
      <c r="U7" s="240">
        <v>1851.5</v>
      </c>
      <c r="V7" s="112">
        <f t="shared" ca="1" si="59"/>
        <v>0</v>
      </c>
      <c r="W7" s="113" t="str">
        <f t="shared" si="8"/>
        <v>MERV - XMEV - GFGC18515D - 24hs</v>
      </c>
      <c r="X7" s="113" t="str">
        <f t="shared" si="60"/>
        <v>GFGC18515D</v>
      </c>
      <c r="Y7" s="242">
        <f>IFERROR(VLOOKUP($X7,HomeBroker!$A$2:$F$103,2,0),0)</f>
        <v>0</v>
      </c>
      <c r="Z7" s="242">
        <f>IFERROR(VLOOKUP($X7,HomeBroker!$A$2:$F$103,3,0),0)</f>
        <v>0</v>
      </c>
      <c r="AA7" s="243">
        <f>IFERROR(VLOOKUP($X7,HomeBroker!$A$2:$F$103,6,0),0)</f>
        <v>0</v>
      </c>
      <c r="AB7" s="242">
        <f>IFERROR(VLOOKUP($X7,HomeBroker!$A$2:$F$103,4,0),0)</f>
        <v>0</v>
      </c>
      <c r="AC7" s="242">
        <f>IFERROR(VLOOKUP($X7,HomeBroker!$A$2:$F$103,5,0),0)</f>
        <v>0</v>
      </c>
      <c r="AD7" s="311">
        <f>IFERROR(VLOOKUP($X7,HomeBroker!$A$2:$N$103,14,0),0)</f>
        <v>0</v>
      </c>
      <c r="AE7" s="247" t="str">
        <f t="shared" si="61"/>
        <v/>
      </c>
      <c r="AF7" s="110">
        <f t="shared" si="62"/>
        <v>0</v>
      </c>
      <c r="AG7" s="240">
        <v>990</v>
      </c>
      <c r="AH7" s="112">
        <f t="shared" ca="1" si="63"/>
        <v>0</v>
      </c>
      <c r="AI7" s="113" t="str">
        <f t="shared" si="9"/>
        <v>MERV - XMEV - GFGV990.DI - 24hs</v>
      </c>
      <c r="AJ7" s="113" t="str">
        <f t="shared" si="64"/>
        <v>GFGV990.DI</v>
      </c>
      <c r="AK7" s="237">
        <f>IFERROR(VLOOKUP($AJ7,HomeBroker!$A$2:$F$103,2,0),0)</f>
        <v>0</v>
      </c>
      <c r="AL7" s="242">
        <f>IFERROR(VLOOKUP($AJ7,HomeBroker!$A$2:$F$103,3,0),0)</f>
        <v>0</v>
      </c>
      <c r="AM7" s="243">
        <f>IFERROR(VLOOKUP($AJ7,HomeBroker!$A$2:$F$103,6,0),0)</f>
        <v>0</v>
      </c>
      <c r="AN7" s="242">
        <f>IFERROR(VLOOKUP($AJ7,HomeBroker!$A$2:$F$103,4,0),0)</f>
        <v>0</v>
      </c>
      <c r="AO7" s="237">
        <f>IFERROR(VLOOKUP($AJ7,HomeBroker!$A$2:$F$103,5,0),0)</f>
        <v>0</v>
      </c>
      <c r="AP7" s="115">
        <f>IFERROR(VLOOKUP($AJ7,HomeBroker!$A$2:$N$103,14,0),0)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1851.5</v>
      </c>
      <c r="AU7" s="62"/>
      <c r="AV7" s="116"/>
      <c r="AW7" s="136" t="s">
        <v>354</v>
      </c>
      <c r="AX7" s="118"/>
      <c r="AY7" s="140"/>
      <c r="AZ7" s="141"/>
      <c r="BA7" s="309">
        <f t="shared" si="10"/>
        <v>0</v>
      </c>
      <c r="BB7" s="310">
        <f t="shared" si="11"/>
        <v>0</v>
      </c>
      <c r="BC7" s="120" t="s">
        <v>408</v>
      </c>
      <c r="BD7" s="118"/>
      <c r="BE7" s="143"/>
      <c r="BF7" s="121"/>
      <c r="BG7" s="312">
        <f t="shared" si="12"/>
        <v>0</v>
      </c>
      <c r="BH7" s="314">
        <f t="shared" si="13"/>
        <v>0</v>
      </c>
      <c r="BI7" s="122" t="s">
        <v>409</v>
      </c>
      <c r="BJ7" s="118"/>
      <c r="BK7" s="121"/>
      <c r="BL7" s="315">
        <f t="shared" si="14"/>
        <v>0</v>
      </c>
      <c r="BM7" s="316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1136.9000000000001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1136.9000000000001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302">
        <f t="shared" si="3"/>
        <v>0</v>
      </c>
      <c r="P8" s="135">
        <f t="shared" si="4"/>
        <v>1136.9000000000001</v>
      </c>
      <c r="Q8" s="135">
        <f t="shared" ca="1" si="5"/>
        <v>1136.9000000000001</v>
      </c>
      <c r="R8" s="62"/>
      <c r="S8" s="246" t="str">
        <f t="shared" si="6"/>
        <v/>
      </c>
      <c r="T8" s="110">
        <f t="shared" si="7"/>
        <v>-2</v>
      </c>
      <c r="U8" s="240">
        <v>1931.5</v>
      </c>
      <c r="V8" s="112">
        <f t="shared" ca="1" si="59"/>
        <v>0</v>
      </c>
      <c r="W8" s="113" t="str">
        <f t="shared" si="8"/>
        <v>MERV - XMEV - GFGC19315D - 24hs</v>
      </c>
      <c r="X8" s="113" t="str">
        <f t="shared" si="60"/>
        <v>GFGC19315D</v>
      </c>
      <c r="Y8" s="242">
        <f>IFERROR(VLOOKUP($X8,HomeBroker!$A$2:$F$103,2,0),0)</f>
        <v>0</v>
      </c>
      <c r="Z8" s="242">
        <f>IFERROR(VLOOKUP($X8,HomeBroker!$A$2:$F$103,3,0),0)</f>
        <v>0</v>
      </c>
      <c r="AA8" s="243">
        <f>IFERROR(VLOOKUP($X8,HomeBroker!$A$2:$F$103,6,0),0)</f>
        <v>0</v>
      </c>
      <c r="AB8" s="242">
        <f>IFERROR(VLOOKUP($X8,HomeBroker!$A$2:$F$103,4,0),0)</f>
        <v>0</v>
      </c>
      <c r="AC8" s="242">
        <f>IFERROR(VLOOKUP($X8,HomeBroker!$A$2:$F$103,5,0),0)</f>
        <v>0</v>
      </c>
      <c r="AD8" s="311">
        <f>IFERROR(VLOOKUP($X8,HomeBroker!$A$2:$N$103,14,0),0)</f>
        <v>0</v>
      </c>
      <c r="AE8" s="247" t="str">
        <f t="shared" si="61"/>
        <v/>
      </c>
      <c r="AF8" s="110">
        <f t="shared" si="62"/>
        <v>0</v>
      </c>
      <c r="AG8" s="240">
        <v>1033</v>
      </c>
      <c r="AH8" s="112">
        <f t="shared" ca="1" si="63"/>
        <v>0</v>
      </c>
      <c r="AI8" s="113" t="str">
        <f t="shared" si="9"/>
        <v>MERV - XMEV - GFGV1033DI - 24hs</v>
      </c>
      <c r="AJ8" s="113" t="str">
        <f t="shared" si="64"/>
        <v>GFGV1033DI</v>
      </c>
      <c r="AK8" s="237">
        <f>IFERROR(VLOOKUP($AJ8,HomeBroker!$A$2:$F$103,2,0),0)</f>
        <v>0</v>
      </c>
      <c r="AL8" s="242">
        <f>IFERROR(VLOOKUP($AJ8,HomeBroker!$A$2:$F$103,3,0),0)</f>
        <v>0</v>
      </c>
      <c r="AM8" s="243">
        <f>IFERROR(VLOOKUP($AJ8,HomeBroker!$A$2:$F$103,6,0),0)</f>
        <v>0</v>
      </c>
      <c r="AN8" s="242">
        <f>IFERROR(VLOOKUP($AJ8,HomeBroker!$A$2:$F$103,4,0),0)</f>
        <v>0</v>
      </c>
      <c r="AO8" s="237">
        <f>IFERROR(VLOOKUP($AJ8,HomeBroker!$A$2:$F$103,5,0),0)</f>
        <v>0</v>
      </c>
      <c r="AP8" s="115">
        <f>IFERROR(VLOOKUP($AJ8,HomeBroker!$A$2:$N$103,14,0),0)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1931.5</v>
      </c>
      <c r="AU8" s="62"/>
      <c r="AV8" s="116"/>
      <c r="AW8" s="136" t="s">
        <v>354</v>
      </c>
      <c r="AX8" s="118"/>
      <c r="AY8" s="140"/>
      <c r="AZ8" s="141"/>
      <c r="BA8" s="309">
        <f t="shared" si="10"/>
        <v>0</v>
      </c>
      <c r="BB8" s="310">
        <f t="shared" si="11"/>
        <v>0</v>
      </c>
      <c r="BC8" s="120" t="s">
        <v>408</v>
      </c>
      <c r="BD8" s="118"/>
      <c r="BE8" s="143"/>
      <c r="BF8" s="121"/>
      <c r="BG8" s="312">
        <f t="shared" si="12"/>
        <v>0</v>
      </c>
      <c r="BH8" s="314">
        <f t="shared" si="13"/>
        <v>0</v>
      </c>
      <c r="BI8" s="122" t="s">
        <v>409</v>
      </c>
      <c r="BJ8" s="118"/>
      <c r="BK8" s="121"/>
      <c r="BL8" s="315">
        <f t="shared" si="14"/>
        <v>0</v>
      </c>
      <c r="BM8" s="316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1136.9000000000001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1136.9000000000001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302">
        <f t="shared" si="3"/>
        <v>0</v>
      </c>
      <c r="P9" s="142">
        <f t="shared" si="4"/>
        <v>1136.9000000000001</v>
      </c>
      <c r="Q9" s="142">
        <f t="shared" ca="1" si="5"/>
        <v>1136.9000000000001</v>
      </c>
      <c r="R9" s="62"/>
      <c r="S9" s="246" t="str">
        <f t="shared" si="6"/>
        <v/>
      </c>
      <c r="T9" s="110">
        <f>SUMIFS(B$3:B$37,C$3:C$37,U9)</f>
        <v>0</v>
      </c>
      <c r="U9" s="240">
        <v>2020</v>
      </c>
      <c r="V9" s="112">
        <f t="shared" ca="1" si="59"/>
        <v>0</v>
      </c>
      <c r="W9" s="113" t="str">
        <f t="shared" si="8"/>
        <v>MERV - XMEV - GFGC2020DI - 24hs</v>
      </c>
      <c r="X9" s="113" t="str">
        <f t="shared" si="60"/>
        <v>GFGC2020DI</v>
      </c>
      <c r="Y9" s="242">
        <f>IFERROR(VLOOKUP($X9,HomeBroker!$A$2:$F$103,2,0),0)</f>
        <v>0</v>
      </c>
      <c r="Z9" s="242">
        <f>IFERROR(VLOOKUP($X9,HomeBroker!$A$2:$F$103,3,0),0)</f>
        <v>0</v>
      </c>
      <c r="AA9" s="243">
        <f>IFERROR(VLOOKUP($X9,HomeBroker!$A$2:$F$103,6,0),0)</f>
        <v>0</v>
      </c>
      <c r="AB9" s="242">
        <f>IFERROR(VLOOKUP($X9,HomeBroker!$A$2:$F$103,4,0),0)</f>
        <v>0</v>
      </c>
      <c r="AC9" s="242">
        <f>IFERROR(VLOOKUP($X9,HomeBroker!$A$2:$F$103,5,0),0)</f>
        <v>0</v>
      </c>
      <c r="AD9" s="311">
        <f>IFERROR(VLOOKUP($X9,HomeBroker!$A$2:$N$103,14,0),0)</f>
        <v>0</v>
      </c>
      <c r="AE9" s="247" t="str">
        <f t="shared" si="61"/>
        <v/>
      </c>
      <c r="AF9" s="110">
        <f t="shared" si="62"/>
        <v>0</v>
      </c>
      <c r="AG9" s="240">
        <v>1091.5</v>
      </c>
      <c r="AH9" s="112">
        <f t="shared" ca="1" si="63"/>
        <v>0</v>
      </c>
      <c r="AI9" s="113" t="str">
        <f t="shared" si="9"/>
        <v>MERV - XMEV - GFGV10915D - 24hs</v>
      </c>
      <c r="AJ9" s="113" t="str">
        <f t="shared" si="64"/>
        <v>GFGV10915D</v>
      </c>
      <c r="AK9" s="237">
        <f>IFERROR(VLOOKUP($AJ9,HomeBroker!$A$2:$F$103,2,0),0)</f>
        <v>0</v>
      </c>
      <c r="AL9" s="242">
        <f>IFERROR(VLOOKUP($AJ9,HomeBroker!$A$2:$F$103,3,0),0)</f>
        <v>0</v>
      </c>
      <c r="AM9" s="243">
        <f>IFERROR(VLOOKUP($AJ9,HomeBroker!$A$2:$F$103,6,0),0)</f>
        <v>0</v>
      </c>
      <c r="AN9" s="242">
        <f>IFERROR(VLOOKUP($AJ9,HomeBroker!$A$2:$F$103,4,0),0)</f>
        <v>0</v>
      </c>
      <c r="AO9" s="237">
        <f>IFERROR(VLOOKUP($AJ9,HomeBroker!$A$2:$F$103,5,0),0)</f>
        <v>0</v>
      </c>
      <c r="AP9" s="115">
        <f>IFERROR(VLOOKUP($AJ9,HomeBroker!$A$2:$N$103,14,0),0)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>
        <f t="shared" si="67"/>
        <v>2020</v>
      </c>
      <c r="AU9" s="62"/>
      <c r="AV9" s="116"/>
      <c r="AW9" s="136" t="s">
        <v>354</v>
      </c>
      <c r="AX9" s="118"/>
      <c r="AY9" s="140"/>
      <c r="AZ9" s="141"/>
      <c r="BA9" s="309">
        <f t="shared" si="10"/>
        <v>0</v>
      </c>
      <c r="BB9" s="310">
        <f t="shared" si="11"/>
        <v>0</v>
      </c>
      <c r="BC9" s="120" t="s">
        <v>408</v>
      </c>
      <c r="BD9" s="118"/>
      <c r="BE9" s="143"/>
      <c r="BF9" s="121"/>
      <c r="BG9" s="312">
        <f t="shared" si="12"/>
        <v>0</v>
      </c>
      <c r="BH9" s="314">
        <f t="shared" si="13"/>
        <v>0</v>
      </c>
      <c r="BI9" s="122" t="s">
        <v>409</v>
      </c>
      <c r="BJ9" s="118"/>
      <c r="BK9" s="121"/>
      <c r="BL9" s="315">
        <f t="shared" si="14"/>
        <v>0</v>
      </c>
      <c r="BM9" s="316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1136.9000000000001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1136.9000000000001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302">
        <f t="shared" si="3"/>
        <v>0</v>
      </c>
      <c r="P10" s="135">
        <f t="shared" si="4"/>
        <v>1136.9000000000001</v>
      </c>
      <c r="Q10" s="135">
        <f t="shared" ca="1" si="5"/>
        <v>1136.9000000000001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>
        <v>2091.5</v>
      </c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>MERV - XMEV - GFGC20915D - 24hs</v>
      </c>
      <c r="X10" s="113" t="str">
        <f t="shared" si="60"/>
        <v>GFGC20915D</v>
      </c>
      <c r="Y10" s="242">
        <f>IFERROR(VLOOKUP($X10,HomeBroker!$A$2:$F$103,2,0),0)</f>
        <v>0</v>
      </c>
      <c r="Z10" s="242">
        <f>IFERROR(VLOOKUP($X10,HomeBroker!$A$2:$F$103,3,0),0)</f>
        <v>0</v>
      </c>
      <c r="AA10" s="243">
        <f>IFERROR(VLOOKUP($X10,HomeBroker!$A$2:$F$103,6,0),0)</f>
        <v>0</v>
      </c>
      <c r="AB10" s="242">
        <f>IFERROR(VLOOKUP($X10,HomeBroker!$A$2:$F$103,4,0),0)</f>
        <v>0</v>
      </c>
      <c r="AC10" s="242">
        <f>IFERROR(VLOOKUP($X10,HomeBroker!$A$2:$F$103,5,0),0)</f>
        <v>0</v>
      </c>
      <c r="AD10" s="311">
        <f>IFERROR(VLOOKUP($X10,HomeBroker!$A$2:$N$103,14,0),0)</f>
        <v>0</v>
      </c>
      <c r="AE10" s="247" t="str">
        <f t="shared" si="61"/>
        <v/>
      </c>
      <c r="AF10" s="110">
        <f t="shared" si="62"/>
        <v>0</v>
      </c>
      <c r="AG10" s="240">
        <v>1150</v>
      </c>
      <c r="AH10" s="112">
        <f t="shared" ca="1" si="63"/>
        <v>0</v>
      </c>
      <c r="AI10" s="113" t="str">
        <f t="shared" si="9"/>
        <v>MERV - XMEV - GFGV1150DI - 24hs</v>
      </c>
      <c r="AJ10" s="113" t="str">
        <f t="shared" si="64"/>
        <v>GFGV1150DI</v>
      </c>
      <c r="AK10" s="237">
        <f>IFERROR(VLOOKUP($AJ10,HomeBroker!$A$2:$F$103,2,0),0)</f>
        <v>0</v>
      </c>
      <c r="AL10" s="242">
        <f>IFERROR(VLOOKUP($AJ10,HomeBroker!$A$2:$F$103,3,0),0)</f>
        <v>0</v>
      </c>
      <c r="AM10" s="243">
        <f>IFERROR(VLOOKUP($AJ10,HomeBroker!$A$2:$F$103,6,0),0)</f>
        <v>0</v>
      </c>
      <c r="AN10" s="242">
        <f>IFERROR(VLOOKUP($AJ10,HomeBroker!$A$2:$F$103,4,0),0)</f>
        <v>0</v>
      </c>
      <c r="AO10" s="237">
        <f>IFERROR(VLOOKUP($AJ10,HomeBroker!$A$2:$F$103,5,0),0)</f>
        <v>0</v>
      </c>
      <c r="AP10" s="115">
        <f>IFERROR(VLOOKUP($AJ10,HomeBroker!$A$2:$N$103,14,0),0)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>
        <f t="shared" si="67"/>
        <v>2091.5</v>
      </c>
      <c r="AU10" s="62"/>
      <c r="AV10" s="116"/>
      <c r="AW10" s="136" t="s">
        <v>354</v>
      </c>
      <c r="AX10" s="118"/>
      <c r="AY10" s="140"/>
      <c r="AZ10" s="141"/>
      <c r="BA10" s="309">
        <f t="shared" si="10"/>
        <v>0</v>
      </c>
      <c r="BB10" s="310">
        <f t="shared" si="11"/>
        <v>0</v>
      </c>
      <c r="BC10" s="120" t="s">
        <v>408</v>
      </c>
      <c r="BD10" s="118"/>
      <c r="BE10" s="143"/>
      <c r="BF10" s="121"/>
      <c r="BG10" s="312">
        <f t="shared" si="12"/>
        <v>0</v>
      </c>
      <c r="BH10" s="314">
        <f t="shared" si="13"/>
        <v>0</v>
      </c>
      <c r="BI10" s="122" t="s">
        <v>409</v>
      </c>
      <c r="BJ10" s="118"/>
      <c r="BK10" s="121"/>
      <c r="BL10" s="315">
        <f t="shared" si="14"/>
        <v>0</v>
      </c>
      <c r="BM10" s="316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1136.9000000000001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1136.9000000000001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302">
        <f t="shared" si="3"/>
        <v>0</v>
      </c>
      <c r="P11" s="135">
        <f t="shared" si="4"/>
        <v>1136.9000000000001</v>
      </c>
      <c r="Q11" s="135">
        <f t="shared" ca="1" si="5"/>
        <v>1136.9000000000001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IFERROR(VLOOKUP($X11,HomeBroker!$A$2:$F$103,2,0),0)</f>
        <v>0</v>
      </c>
      <c r="Z11" s="242">
        <f>IFERROR(VLOOKUP($X11,HomeBroker!$A$2:$F$103,3,0),0)</f>
        <v>0</v>
      </c>
      <c r="AA11" s="243">
        <f>IFERROR(VLOOKUP($X11,HomeBroker!$A$2:$F$103,6,0),0)</f>
        <v>0</v>
      </c>
      <c r="AB11" s="242">
        <f>IFERROR(VLOOKUP($X11,HomeBroker!$A$2:$F$103,4,0),0)</f>
        <v>0</v>
      </c>
      <c r="AC11" s="242">
        <f>IFERROR(VLOOKUP($X11,HomeBroker!$A$2:$F$103,5,0),0)</f>
        <v>0</v>
      </c>
      <c r="AD11" s="311">
        <f>IFERROR(VLOOKUP($X11,HomeBroker!$A$2:$N$103,14,0),0)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IFERROR(VLOOKUP($AJ11,HomeBroker!$A$2:$F$103,2,0),0)</f>
        <v>0</v>
      </c>
      <c r="AL11" s="242">
        <f>IFERROR(VLOOKUP($AJ11,HomeBroker!$A$2:$F$103,3,0),0)</f>
        <v>0</v>
      </c>
      <c r="AM11" s="243">
        <f>IFERROR(VLOOKUP($AJ11,HomeBroker!$A$2:$F$103,6,0),0)</f>
        <v>0</v>
      </c>
      <c r="AN11" s="242">
        <f>IFERROR(VLOOKUP($AJ11,HomeBroker!$A$2:$F$103,4,0),0)</f>
        <v>0</v>
      </c>
      <c r="AO11" s="237">
        <f>IFERROR(VLOOKUP($AJ11,HomeBroker!$A$2:$F$103,5,0),0)</f>
        <v>0</v>
      </c>
      <c r="AP11" s="115">
        <f>IFERROR(VLOOKUP($AJ11,HomeBroker!$A$2:$N$103,14,0),0)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309">
        <f t="shared" si="10"/>
        <v>0</v>
      </c>
      <c r="BB11" s="310">
        <f t="shared" si="11"/>
        <v>0</v>
      </c>
      <c r="BC11" s="120" t="s">
        <v>408</v>
      </c>
      <c r="BD11" s="118"/>
      <c r="BE11" s="143"/>
      <c r="BF11" s="121"/>
      <c r="BG11" s="312">
        <f t="shared" si="12"/>
        <v>0</v>
      </c>
      <c r="BH11" s="314">
        <f t="shared" si="13"/>
        <v>0</v>
      </c>
      <c r="BI11" s="122" t="s">
        <v>409</v>
      </c>
      <c r="BJ11" s="118"/>
      <c r="BK11" s="121"/>
      <c r="BL11" s="315">
        <f t="shared" si="14"/>
        <v>0</v>
      </c>
      <c r="BM11" s="316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1136.9000000000001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1136.9000000000001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e">
        <f t="shared" ref="N12:N17" si="71">-1+(O12/$O$18)</f>
        <v>#DIV/0!</v>
      </c>
      <c r="O12" s="302">
        <f t="shared" si="3"/>
        <v>0</v>
      </c>
      <c r="P12" s="142">
        <f t="shared" si="4"/>
        <v>1136.9000000000001</v>
      </c>
      <c r="Q12" s="142">
        <f t="shared" ca="1" si="5"/>
        <v>1136.9000000000001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IFERROR(VLOOKUP($X12,HomeBroker!$A$2:$F$103,2,0),0)</f>
        <v>0</v>
      </c>
      <c r="Z12" s="242">
        <f>IFERROR(VLOOKUP($X12,HomeBroker!$A$2:$F$103,3,0),0)</f>
        <v>0</v>
      </c>
      <c r="AA12" s="243">
        <f>IFERROR(VLOOKUP($X12,HomeBroker!$A$2:$F$103,6,0),0)</f>
        <v>0</v>
      </c>
      <c r="AB12" s="242">
        <f>IFERROR(VLOOKUP($X12,HomeBroker!$A$2:$F$103,4,0),0)</f>
        <v>0</v>
      </c>
      <c r="AC12" s="242">
        <f>IFERROR(VLOOKUP($X12,HomeBroker!$A$2:$F$103,5,0),0)</f>
        <v>0</v>
      </c>
      <c r="AD12" s="311">
        <f>IFERROR(VLOOKUP($X12,HomeBroker!$A$2:$N$103,14,0),0)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IFERROR(VLOOKUP($AJ12,HomeBroker!$A$2:$F$103,2,0),0)</f>
        <v>0</v>
      </c>
      <c r="AL12" s="242">
        <f>IFERROR(VLOOKUP($AJ12,HomeBroker!$A$2:$F$103,3,0),0)</f>
        <v>0</v>
      </c>
      <c r="AM12" s="243">
        <f>IFERROR(VLOOKUP($AJ12,HomeBroker!$A$2:$F$103,6,0),0)</f>
        <v>0</v>
      </c>
      <c r="AN12" s="242">
        <f>IFERROR(VLOOKUP($AJ12,HomeBroker!$A$2:$F$103,4,0),0)</f>
        <v>0</v>
      </c>
      <c r="AO12" s="237">
        <f>IFERROR(VLOOKUP($AJ12,HomeBroker!$A$2:$F$103,5,0),0)</f>
        <v>0</v>
      </c>
      <c r="AP12" s="115">
        <f>IFERROR(VLOOKUP($AJ12,HomeBroker!$A$2:$N$103,14,0),0)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309">
        <f t="shared" si="10"/>
        <v>0</v>
      </c>
      <c r="BB12" s="310">
        <f t="shared" si="11"/>
        <v>0</v>
      </c>
      <c r="BC12" s="120" t="s">
        <v>408</v>
      </c>
      <c r="BD12" s="118"/>
      <c r="BE12" s="143"/>
      <c r="BF12" s="121"/>
      <c r="BG12" s="312">
        <f t="shared" si="12"/>
        <v>0</v>
      </c>
      <c r="BH12" s="314">
        <f t="shared" si="13"/>
        <v>0</v>
      </c>
      <c r="BI12" s="122" t="s">
        <v>409</v>
      </c>
      <c r="BJ12" s="118"/>
      <c r="BK12" s="121"/>
      <c r="BL12" s="315">
        <f t="shared" si="14"/>
        <v>0</v>
      </c>
      <c r="BM12" s="316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1136.9000000000001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1136.9000000000001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e">
        <f t="shared" si="71"/>
        <v>#DIV/0!</v>
      </c>
      <c r="O13" s="303">
        <f t="shared" si="3"/>
        <v>0</v>
      </c>
      <c r="P13" s="135">
        <f t="shared" si="4"/>
        <v>1136.9000000000001</v>
      </c>
      <c r="Q13" s="135">
        <f t="shared" ca="1" si="5"/>
        <v>1136.9000000000001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IFERROR(VLOOKUP($X13,HomeBroker!$A$2:$F$103,2,0),0)</f>
        <v>0</v>
      </c>
      <c r="Z13" s="242">
        <f>IFERROR(VLOOKUP($X13,HomeBroker!$A$2:$F$103,3,0),0)</f>
        <v>0</v>
      </c>
      <c r="AA13" s="243">
        <f>IFERROR(VLOOKUP($X13,HomeBroker!$A$2:$F$103,6,0),0)</f>
        <v>0</v>
      </c>
      <c r="AB13" s="242">
        <f>IFERROR(VLOOKUP($X13,HomeBroker!$A$2:$F$103,4,0),0)</f>
        <v>0</v>
      </c>
      <c r="AC13" s="242">
        <f>IFERROR(VLOOKUP($X13,HomeBroker!$A$2:$F$103,5,0),0)</f>
        <v>0</v>
      </c>
      <c r="AD13" s="311">
        <f>IFERROR(VLOOKUP($X13,HomeBroker!$A$2:$N$103,14,0),0)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IFERROR(VLOOKUP($AJ13,HomeBroker!$A$2:$F$103,2,0),0)</f>
        <v>0</v>
      </c>
      <c r="AL13" s="242">
        <f>IFERROR(VLOOKUP($AJ13,HomeBroker!$A$2:$F$103,3,0),0)</f>
        <v>0</v>
      </c>
      <c r="AM13" s="243">
        <f>IFERROR(VLOOKUP($AJ13,HomeBroker!$A$2:$F$103,6,0),0)</f>
        <v>0</v>
      </c>
      <c r="AN13" s="242">
        <f>IFERROR(VLOOKUP($AJ13,HomeBroker!$A$2:$F$103,4,0),0)</f>
        <v>0</v>
      </c>
      <c r="AO13" s="237">
        <f>IFERROR(VLOOKUP($AJ13,HomeBroker!$A$2:$F$103,5,0),0)</f>
        <v>0</v>
      </c>
      <c r="AP13" s="115">
        <f>IFERROR(VLOOKUP($AJ13,HomeBroker!$A$2:$N$103,14,0),0)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309">
        <f t="shared" si="10"/>
        <v>0</v>
      </c>
      <c r="BB13" s="310">
        <f t="shared" si="11"/>
        <v>0</v>
      </c>
      <c r="BC13" s="120" t="s">
        <v>408</v>
      </c>
      <c r="BD13" s="118"/>
      <c r="BE13" s="143"/>
      <c r="BF13" s="121"/>
      <c r="BG13" s="312">
        <f t="shared" si="12"/>
        <v>0</v>
      </c>
      <c r="BH13" s="314">
        <f t="shared" si="13"/>
        <v>0</v>
      </c>
      <c r="BI13" s="122" t="s">
        <v>409</v>
      </c>
      <c r="BJ13" s="118"/>
      <c r="BK13" s="121"/>
      <c r="BL13" s="315">
        <f t="shared" si="14"/>
        <v>0</v>
      </c>
      <c r="BM13" s="316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1136.9000000000001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1136.9000000000001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e">
        <f t="shared" si="71"/>
        <v>#DIV/0!</v>
      </c>
      <c r="O14" s="303">
        <f t="shared" si="3"/>
        <v>0</v>
      </c>
      <c r="P14" s="135">
        <f t="shared" si="4"/>
        <v>1136.9000000000001</v>
      </c>
      <c r="Q14" s="135">
        <f t="shared" ca="1" si="5"/>
        <v>1136.9000000000001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IFERROR(VLOOKUP($X14,HomeBroker!$A$2:$F$103,2,0),0)</f>
        <v>0</v>
      </c>
      <c r="Z14" s="242">
        <f>IFERROR(VLOOKUP($X14,HomeBroker!$A$2:$F$103,3,0),0)</f>
        <v>0</v>
      </c>
      <c r="AA14" s="243">
        <f>IFERROR(VLOOKUP($X14,HomeBroker!$A$2:$F$103,6,0),0)</f>
        <v>0</v>
      </c>
      <c r="AB14" s="242">
        <f>IFERROR(VLOOKUP($X14,HomeBroker!$A$2:$F$103,4,0),0)</f>
        <v>0</v>
      </c>
      <c r="AC14" s="242">
        <f>IFERROR(VLOOKUP($X14,HomeBroker!$A$2:$F$88,5,0),0)</f>
        <v>0</v>
      </c>
      <c r="AD14" s="311">
        <f>IFERROR(VLOOKUP($X14,HomeBroker!$A$2:$N$103,14,0),0)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IFERROR(VLOOKUP($AJ14,HomeBroker!$A$2:$F$103,2,0),0)</f>
        <v>0</v>
      </c>
      <c r="AL14" s="242">
        <f>IFERROR(VLOOKUP($AJ14,HomeBroker!$A$2:$F$103,3,0),0)</f>
        <v>0</v>
      </c>
      <c r="AM14" s="243">
        <f>IFERROR(VLOOKUP($AJ14,HomeBroker!$A$2:$F$103,6,0),0)</f>
        <v>0</v>
      </c>
      <c r="AN14" s="242">
        <f>IFERROR(VLOOKUP($AJ14,HomeBroker!$A$2:$F$103,4,0),0)</f>
        <v>0</v>
      </c>
      <c r="AO14" s="237">
        <f>IFERROR(VLOOKUP($AJ14,HomeBroker!$A$2:$F$103,5,0),0)</f>
        <v>0</v>
      </c>
      <c r="AP14" s="115">
        <f>IFERROR(VLOOKUP($AJ14,HomeBroker!$A$2:$N$103,14,0),0)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309">
        <f t="shared" si="10"/>
        <v>0</v>
      </c>
      <c r="BB14" s="310">
        <f t="shared" si="11"/>
        <v>0</v>
      </c>
      <c r="BC14" s="120" t="s">
        <v>408</v>
      </c>
      <c r="BD14" s="118"/>
      <c r="BE14" s="143"/>
      <c r="BF14" s="121"/>
      <c r="BG14" s="312">
        <f t="shared" si="12"/>
        <v>0</v>
      </c>
      <c r="BH14" s="314">
        <f t="shared" si="13"/>
        <v>0</v>
      </c>
      <c r="BI14" s="122" t="s">
        <v>409</v>
      </c>
      <c r="BJ14" s="118"/>
      <c r="BK14" s="121"/>
      <c r="BL14" s="315">
        <f t="shared" si="14"/>
        <v>0</v>
      </c>
      <c r="BM14" s="316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1136.9000000000001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1136.9000000000001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e">
        <f t="shared" si="71"/>
        <v>#DIV/0!</v>
      </c>
      <c r="O15" s="303">
        <f t="shared" si="3"/>
        <v>0</v>
      </c>
      <c r="P15" s="142">
        <f t="shared" si="4"/>
        <v>1136.9000000000001</v>
      </c>
      <c r="Q15" s="142">
        <f t="shared" ca="1" si="5"/>
        <v>1136.9000000000001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IFERROR(VLOOKUP($X15,HomeBroker!$A$2:$F$88,2,0),0)</f>
        <v>0</v>
      </c>
      <c r="Z15" s="242">
        <f>IFERROR(VLOOKUP($X15,HomeBroker!$A$2:$F$88,3,0),0)</f>
        <v>0</v>
      </c>
      <c r="AA15" s="243">
        <f>IFERROR(VLOOKUP($X15,HomeBroker!$A$2:$F$88,6,0),0)</f>
        <v>0</v>
      </c>
      <c r="AB15" s="242">
        <f>IFERROR(VLOOKUP($X15,HomeBroker!$A$2:$F$88,4,0),0)</f>
        <v>0</v>
      </c>
      <c r="AC15" s="242">
        <f>IFERROR(VLOOKUP($X15,HomeBroker!$A$2:$F$88,5,0),0)</f>
        <v>0</v>
      </c>
      <c r="AD15" s="311">
        <f>IFERROR(VLOOKUP($X15,HomeBroker!$A$2:$N$88,14,0),0)</f>
        <v>0</v>
      </c>
      <c r="AE15" s="247" t="str">
        <f t="shared" si="61"/>
        <v/>
      </c>
      <c r="AF15" s="110">
        <f t="shared" si="62"/>
        <v>0</v>
      </c>
      <c r="AG15" s="318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IFERROR(VLOOKUP($AJ15,HomeBroker!$A$2:$F$88,2,0),0)</f>
        <v>0</v>
      </c>
      <c r="AL15" s="242">
        <f>IFERROR(VLOOKUP($AJ15,HomeBroker!$A$2:$F$88,3,0),0)</f>
        <v>0</v>
      </c>
      <c r="AM15" s="243">
        <f>IFERROR(VLOOKUP($AJ15,HomeBroker!$A$2:$F$88,6,0),0)</f>
        <v>0</v>
      </c>
      <c r="AN15" s="242">
        <f>IFERROR(VLOOKUP($AJ15,HomeBroker!$A$2:$F$88,4,0),0)</f>
        <v>0</v>
      </c>
      <c r="AO15" s="237">
        <f>IFERROR(VLOOKUP($AJ15,HomeBroker!$A$2:$F$88,5,0),0)</f>
        <v>0</v>
      </c>
      <c r="AP15" s="115">
        <f>IFERROR(VLOOKUP($AJ15,HomeBroker!$A$2:$N$88,14,0),0)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309">
        <f t="shared" si="10"/>
        <v>0</v>
      </c>
      <c r="BB15" s="310">
        <f t="shared" si="11"/>
        <v>0</v>
      </c>
      <c r="BC15" s="120" t="s">
        <v>408</v>
      </c>
      <c r="BD15" s="118"/>
      <c r="BE15" s="143"/>
      <c r="BF15" s="121"/>
      <c r="BG15" s="312">
        <f t="shared" si="12"/>
        <v>0</v>
      </c>
      <c r="BH15" s="314">
        <f t="shared" si="13"/>
        <v>0</v>
      </c>
      <c r="BI15" s="122" t="s">
        <v>409</v>
      </c>
      <c r="BJ15" s="118"/>
      <c r="BK15" s="121"/>
      <c r="BL15" s="315">
        <f t="shared" si="14"/>
        <v>0</v>
      </c>
      <c r="BM15" s="316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1136.9000000000001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1136.9000000000001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e">
        <f t="shared" si="71"/>
        <v>#DIV/0!</v>
      </c>
      <c r="O16" s="303">
        <f t="shared" si="3"/>
        <v>0</v>
      </c>
      <c r="P16" s="135">
        <f t="shared" si="4"/>
        <v>1136.9000000000001</v>
      </c>
      <c r="Q16" s="135">
        <f t="shared" ca="1" si="5"/>
        <v>1136.9000000000001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IFERROR(VLOOKUP($X16,HomeBroker!$A$2:$F$88,2,0),0)</f>
        <v>0</v>
      </c>
      <c r="Z16" s="242">
        <f>IFERROR(VLOOKUP($X16,HomeBroker!$A$2:$F$88,3,0),0)</f>
        <v>0</v>
      </c>
      <c r="AA16" s="243">
        <f>IFERROR(VLOOKUP($X16,HomeBroker!$A$2:$F$88,6,0),0)</f>
        <v>0</v>
      </c>
      <c r="AB16" s="242">
        <f>IFERROR(VLOOKUP($X16,HomeBroker!$A$2:$F$88,4,0),0)</f>
        <v>0</v>
      </c>
      <c r="AC16" s="242">
        <f>IFERROR(VLOOKUP($X16,HomeBroker!$A$2:$F$88,5,0),0)</f>
        <v>0</v>
      </c>
      <c r="AD16" s="311">
        <f>IFERROR(VLOOKUP($X16,HomeBroker!$A$2:$N$88,14,0),0)</f>
        <v>0</v>
      </c>
      <c r="AE16" s="247" t="str">
        <f t="shared" si="61"/>
        <v/>
      </c>
      <c r="AF16" s="110">
        <f t="shared" si="62"/>
        <v>0</v>
      </c>
      <c r="AG16" s="318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IFERROR(VLOOKUP($AJ16,HomeBroker!$A$2:$F$88,2,0),0)</f>
        <v>0</v>
      </c>
      <c r="AL16" s="242">
        <f>IFERROR(VLOOKUP($AJ16,HomeBroker!$A$2:$F$88,3,0),0)</f>
        <v>0</v>
      </c>
      <c r="AM16" s="243">
        <f>IFERROR(VLOOKUP($AJ16,HomeBroker!$A$2:$F$88,6,0),0)</f>
        <v>0</v>
      </c>
      <c r="AN16" s="242">
        <f>IFERROR(VLOOKUP($AJ16,HomeBroker!$A$2:$F$88,4,0),0)</f>
        <v>0</v>
      </c>
      <c r="AO16" s="237">
        <f>IFERROR(VLOOKUP($AJ16,HomeBroker!$A$2:$F$88,5,0),0)</f>
        <v>0</v>
      </c>
      <c r="AP16" s="115">
        <f>IFERROR(VLOOKUP($AJ16,HomeBroker!$A$2:$N$88,14,0),0)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309">
        <f t="shared" si="10"/>
        <v>0</v>
      </c>
      <c r="BB16" s="310">
        <f t="shared" si="11"/>
        <v>0</v>
      </c>
      <c r="BC16" s="120" t="s">
        <v>408</v>
      </c>
      <c r="BD16" s="118"/>
      <c r="BE16" s="143"/>
      <c r="BF16" s="121"/>
      <c r="BG16" s="312">
        <f t="shared" si="12"/>
        <v>0</v>
      </c>
      <c r="BH16" s="314">
        <f t="shared" si="13"/>
        <v>0</v>
      </c>
      <c r="BI16" s="122" t="s">
        <v>409</v>
      </c>
      <c r="BJ16" s="118"/>
      <c r="BK16" s="121"/>
      <c r="BL16" s="315">
        <f t="shared" si="14"/>
        <v>0</v>
      </c>
      <c r="BM16" s="316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1136.9000000000001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1136.9000000000001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e">
        <f t="shared" si="71"/>
        <v>#DIV/0!</v>
      </c>
      <c r="O17" s="303">
        <f t="shared" si="3"/>
        <v>0</v>
      </c>
      <c r="P17" s="135">
        <f t="shared" si="4"/>
        <v>1136.9000000000001</v>
      </c>
      <c r="Q17" s="135">
        <f t="shared" ca="1" si="5"/>
        <v>1136.9000000000001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IFERROR(VLOOKUP($X17,HomeBroker!$A$2:$F$88,2,0),0)</f>
        <v>0</v>
      </c>
      <c r="Z17" s="242">
        <f>IFERROR(VLOOKUP($X17,HomeBroker!$A$2:$F$88,3,0),0)</f>
        <v>0</v>
      </c>
      <c r="AA17" s="243">
        <f>IFERROR(VLOOKUP($X17,HomeBroker!$A$2:$F$88,6,0),0)</f>
        <v>0</v>
      </c>
      <c r="AB17" s="242">
        <f>IFERROR(VLOOKUP($X17,HomeBroker!$A$2:$F$88,4,0),0)</f>
        <v>0</v>
      </c>
      <c r="AC17" s="242">
        <f>IFERROR(VLOOKUP($X17,HomeBroker!$A$2:$F$88,5,0),0)</f>
        <v>0</v>
      </c>
      <c r="AD17" s="311">
        <f>IFERROR(VLOOKUP($X17,HomeBroker!$A$2:$N$88,14,0),0)</f>
        <v>0</v>
      </c>
      <c r="AE17" s="247" t="str">
        <f t="shared" si="61"/>
        <v/>
      </c>
      <c r="AF17" s="110">
        <f t="shared" si="62"/>
        <v>0</v>
      </c>
      <c r="AG17" s="318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IFERROR(VLOOKUP($AJ17,HomeBroker!$A$2:$F$88,2,0),0)</f>
        <v>0</v>
      </c>
      <c r="AL17" s="242">
        <f>IFERROR(VLOOKUP($AJ17,HomeBroker!$A$2:$F$88,3,0),0)</f>
        <v>0</v>
      </c>
      <c r="AM17" s="243">
        <f>IFERROR(VLOOKUP($AJ17,HomeBroker!$A$2:$F$88,6,0),0)</f>
        <v>0</v>
      </c>
      <c r="AN17" s="242">
        <f>IFERROR(VLOOKUP($AJ17,HomeBroker!$A$2:$F$88,4,0),0)</f>
        <v>0</v>
      </c>
      <c r="AO17" s="237">
        <f>IFERROR(VLOOKUP($AJ17,HomeBroker!$A$2:$F$88,5,0),0)</f>
        <v>0</v>
      </c>
      <c r="AP17" s="115">
        <f>IFERROR(VLOOKUP($AJ17,HomeBroker!$A$2:$N$88,14,0),0)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309">
        <f t="shared" si="10"/>
        <v>0</v>
      </c>
      <c r="BB17" s="310">
        <f t="shared" si="11"/>
        <v>0</v>
      </c>
      <c r="BC17" s="120" t="s">
        <v>408</v>
      </c>
      <c r="BD17" s="118"/>
      <c r="BE17" s="143"/>
      <c r="BF17" s="121"/>
      <c r="BG17" s="312">
        <f t="shared" si="12"/>
        <v>0</v>
      </c>
      <c r="BH17" s="314">
        <f t="shared" si="13"/>
        <v>0</v>
      </c>
      <c r="BI17" s="122" t="s">
        <v>409</v>
      </c>
      <c r="BJ17" s="118"/>
      <c r="BK17" s="121"/>
      <c r="BL17" s="315">
        <f t="shared" si="14"/>
        <v>0</v>
      </c>
      <c r="BM17" s="316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1136.9000000000001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1136.9000000000001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304">
        <f>IF($Q$45&lt;&gt;"",$Q$45,$B$76)</f>
        <v>0</v>
      </c>
      <c r="P18" s="142">
        <f t="shared" si="4"/>
        <v>1136.9000000000001</v>
      </c>
      <c r="Q18" s="142">
        <f t="shared" ca="1" si="5"/>
        <v>1136.9000000000001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IFERROR(VLOOKUP($X18,HomeBroker!$A$2:$F$88,2,0),0)</f>
        <v>0</v>
      </c>
      <c r="Z18" s="242">
        <f>IFERROR(VLOOKUP($X18,HomeBroker!$A$2:$F$88,3,0),0)</f>
        <v>0</v>
      </c>
      <c r="AA18" s="243">
        <f>IFERROR(VLOOKUP($X18,HomeBroker!$A$2:$F$88,6,0),0)</f>
        <v>0</v>
      </c>
      <c r="AB18" s="242">
        <f>IFERROR(VLOOKUP($X18,HomeBroker!$A$2:$F$88,4,0),0)</f>
        <v>0</v>
      </c>
      <c r="AC18" s="242">
        <f>IFERROR(VLOOKUP($X18,HomeBroker!$A$2:$F$88,5,0),0)</f>
        <v>0</v>
      </c>
      <c r="AD18" s="311">
        <f>IFERROR(VLOOKUP($X18,HomeBroker!$A$2:$N$88,14,0),0)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IFERROR(VLOOKUP($AJ18,HomeBroker!$A$2:$F$88,2,0),0)</f>
        <v>0</v>
      </c>
      <c r="AL18" s="242">
        <f>IFERROR(VLOOKUP($AJ18,HomeBroker!$A$2:$F$88,3,0),0)</f>
        <v>0</v>
      </c>
      <c r="AM18" s="243">
        <f>IFERROR(VLOOKUP($AJ18,HomeBroker!$A$2:$F$88,6,0),0)</f>
        <v>0</v>
      </c>
      <c r="AN18" s="242">
        <f>IFERROR(VLOOKUP($AJ18,HomeBroker!$A$2:$F$88,4,0),0)</f>
        <v>0</v>
      </c>
      <c r="AO18" s="114">
        <f>IFERROR(VLOOKUP($AJ18,HomeBroker!$A$2:$F$88,5,0),0)</f>
        <v>0</v>
      </c>
      <c r="AP18" s="115">
        <f>IFERROR(VLOOKUP($AJ18,HomeBroker!$A$2:$N$88,14,0),0)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309">
        <f t="shared" si="10"/>
        <v>0</v>
      </c>
      <c r="BB18" s="310">
        <f t="shared" si="11"/>
        <v>0</v>
      </c>
      <c r="BC18" s="120" t="s">
        <v>408</v>
      </c>
      <c r="BD18" s="118"/>
      <c r="BE18" s="143"/>
      <c r="BF18" s="121"/>
      <c r="BG18" s="312">
        <f t="shared" si="12"/>
        <v>0</v>
      </c>
      <c r="BH18" s="314">
        <f t="shared" si="13"/>
        <v>0</v>
      </c>
      <c r="BI18" s="122" t="s">
        <v>409</v>
      </c>
      <c r="BJ18" s="118"/>
      <c r="BK18" s="121"/>
      <c r="BL18" s="315">
        <f t="shared" si="14"/>
        <v>0</v>
      </c>
      <c r="BM18" s="316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1136.9000000000001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1136.9000000000001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e">
        <f t="shared" ref="N19:N24" si="79">+O19/$O$18-1</f>
        <v>#DIV/0!</v>
      </c>
      <c r="O19" s="303">
        <f t="shared" ref="O19:O34" si="80">+O18*(1+$Q$42)</f>
        <v>0</v>
      </c>
      <c r="P19" s="135">
        <f t="shared" si="4"/>
        <v>1136.9000000000001</v>
      </c>
      <c r="Q19" s="135">
        <f t="shared" ca="1" si="5"/>
        <v>1136.9000000000001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1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IFERROR(VLOOKUP($X19,HomeBroker!$A$2:$F$88,2,0),0)</f>
        <v>0</v>
      </c>
      <c r="Z19" s="242">
        <f>IFERROR(VLOOKUP($X19,HomeBroker!$A$2:$F$88,3,0),0)</f>
        <v>0</v>
      </c>
      <c r="AA19" s="243">
        <f>IFERROR(VLOOKUP($X19,HomeBroker!$A$2:$F$88,6,0),0)</f>
        <v>0</v>
      </c>
      <c r="AB19" s="242">
        <f>IFERROR(VLOOKUP($X19,HomeBroker!$A$2:$F$88,4,0),0)</f>
        <v>0</v>
      </c>
      <c r="AC19" s="242">
        <f>IFERROR(VLOOKUP($X19,HomeBroker!$A$2:$F$88,5,0),0)</f>
        <v>0</v>
      </c>
      <c r="AD19" s="311">
        <f>IFERROR(VLOOKUP($X19,HomeBroker!$A$2:$N$88,14,0),0)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IFERROR(VLOOKUP($AJ19,HomeBroker!$A$2:$F$88,2,0),0)</f>
        <v>0</v>
      </c>
      <c r="AL19" s="242">
        <f>IFERROR(VLOOKUP($AJ19,HomeBroker!$A$2:$F$88,3,0),0)</f>
        <v>0</v>
      </c>
      <c r="AM19" s="243">
        <f>IFERROR(VLOOKUP($AJ19,HomeBroker!$A$2:$F$88,6,0),0)</f>
        <v>0</v>
      </c>
      <c r="AN19" s="242">
        <f>IFERROR(VLOOKUP($AJ19,HomeBroker!$A$2:$F$88,4,0),0)</f>
        <v>0</v>
      </c>
      <c r="AO19" s="114">
        <f>IFERROR(VLOOKUP($AJ19,HomeBroker!$A$2:$F$88,5,0),0)</f>
        <v>0</v>
      </c>
      <c r="AP19" s="115">
        <f>IFERROR(VLOOKUP($AJ19,HomeBroker!$A$2:$N$88,14,0),0)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309">
        <f t="shared" si="10"/>
        <v>0</v>
      </c>
      <c r="BB19" s="310">
        <f t="shared" si="11"/>
        <v>0</v>
      </c>
      <c r="BC19" s="120" t="s">
        <v>408</v>
      </c>
      <c r="BD19" s="118"/>
      <c r="BE19" s="143"/>
      <c r="BF19" s="121"/>
      <c r="BG19" s="312">
        <f t="shared" si="12"/>
        <v>0</v>
      </c>
      <c r="BH19" s="314">
        <f t="shared" si="13"/>
        <v>0</v>
      </c>
      <c r="BI19" s="122" t="s">
        <v>409</v>
      </c>
      <c r="BJ19" s="118"/>
      <c r="BK19" s="121"/>
      <c r="BL19" s="315">
        <f t="shared" si="14"/>
        <v>0</v>
      </c>
      <c r="BM19" s="316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1136.9000000000001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1136.9000000000001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e">
        <f t="shared" si="79"/>
        <v>#DIV/0!</v>
      </c>
      <c r="O20" s="303">
        <f t="shared" si="80"/>
        <v>0</v>
      </c>
      <c r="P20" s="135">
        <f t="shared" si="4"/>
        <v>1136.9000000000001</v>
      </c>
      <c r="Q20" s="135">
        <f t="shared" ca="1" si="5"/>
        <v>1136.9000000000001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1"/>
        <v/>
      </c>
      <c r="X20" s="113" t="str">
        <f t="shared" si="75"/>
        <v/>
      </c>
      <c r="Y20" s="242">
        <f>IFERROR(VLOOKUP($X20,HomeBroker!$A$2:$F$88,2,0),0)</f>
        <v>0</v>
      </c>
      <c r="Z20" s="242">
        <f>IFERROR(VLOOKUP($X20,HomeBroker!$A$2:$F$88,3,0),0)</f>
        <v>0</v>
      </c>
      <c r="AA20" s="243">
        <f>IFERROR(VLOOKUP($X20,HomeBroker!$A$2:$F$88,6,0),0)</f>
        <v>0</v>
      </c>
      <c r="AB20" s="242">
        <f>IFERROR(VLOOKUP($X20,HomeBroker!$A$2:$F$88,4,0),0)</f>
        <v>0</v>
      </c>
      <c r="AC20" s="242">
        <f>IFERROR(VLOOKUP($X20,HomeBroker!$A$2:$F$88,5,0),0)</f>
        <v>0</v>
      </c>
      <c r="AD20" s="311">
        <f>IFERROR(VLOOKUP($X20,HomeBroker!$A$2:$N$88,14,0),0)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IFERROR(VLOOKUP($AJ20,HomeBroker!$A$2:$F$88,2,0),0)</f>
        <v>0</v>
      </c>
      <c r="AL20" s="242">
        <f>IFERROR(VLOOKUP($AJ20,HomeBroker!$A$2:$F$88,3,0),0)</f>
        <v>0</v>
      </c>
      <c r="AM20" s="243">
        <f>IFERROR(VLOOKUP($AJ20,HomeBroker!$A$2:$F$88,6,0),0)</f>
        <v>0</v>
      </c>
      <c r="AN20" s="242">
        <f>IFERROR(VLOOKUP($AJ20,HomeBroker!$A$2:$F$88,4,0),0)</f>
        <v>0</v>
      </c>
      <c r="AO20" s="114">
        <f>IFERROR(VLOOKUP($AJ20,HomeBroker!$A$2:$F$88,5,0),0)</f>
        <v>0</v>
      </c>
      <c r="AP20" s="115">
        <f>IFERROR(VLOOKUP($AJ20,HomeBroker!$A$2:$N$88,14,0),0)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309">
        <f t="shared" si="10"/>
        <v>0</v>
      </c>
      <c r="BB20" s="310">
        <f t="shared" si="11"/>
        <v>0</v>
      </c>
      <c r="BC20" s="120" t="s">
        <v>408</v>
      </c>
      <c r="BD20" s="118"/>
      <c r="BE20" s="143"/>
      <c r="BF20" s="121"/>
      <c r="BG20" s="312">
        <f t="shared" si="12"/>
        <v>0</v>
      </c>
      <c r="BH20" s="314">
        <f t="shared" si="13"/>
        <v>0</v>
      </c>
      <c r="BI20" s="122" t="s">
        <v>409</v>
      </c>
      <c r="BJ20" s="118"/>
      <c r="BK20" s="121"/>
      <c r="BL20" s="315">
        <f t="shared" si="14"/>
        <v>0</v>
      </c>
      <c r="BM20" s="316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1136.9000000000001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1136.9000000000001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e">
        <f t="shared" si="79"/>
        <v>#DIV/0!</v>
      </c>
      <c r="O21" s="303">
        <f t="shared" si="80"/>
        <v>0</v>
      </c>
      <c r="P21" s="142">
        <f t="shared" si="4"/>
        <v>1136.9000000000001</v>
      </c>
      <c r="Q21" s="142">
        <f t="shared" ca="1" si="5"/>
        <v>1136.9000000000001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1"/>
        <v/>
      </c>
      <c r="X21" s="113" t="str">
        <f t="shared" si="75"/>
        <v/>
      </c>
      <c r="Y21" s="242">
        <f>IFERROR(VLOOKUP($X21,HomeBroker!$A$2:$F$88,2,0),0)</f>
        <v>0</v>
      </c>
      <c r="Z21" s="242">
        <f>IFERROR(VLOOKUP($X21,HomeBroker!$A$2:$F$88,3,0),0)</f>
        <v>0</v>
      </c>
      <c r="AA21" s="243">
        <f>IFERROR(VLOOKUP($X21,HomeBroker!$A$2:$F$88,6,0),0)</f>
        <v>0</v>
      </c>
      <c r="AB21" s="242">
        <f>IFERROR(VLOOKUP($X21,HomeBroker!$A$2:$F$88,4,0),0)</f>
        <v>0</v>
      </c>
      <c r="AC21" s="242">
        <f>IFERROR(VLOOKUP($X21,HomeBroker!$A$2:$F$88,5,0),0)</f>
        <v>0</v>
      </c>
      <c r="AD21" s="311">
        <f>IFERROR(VLOOKUP($X21,HomeBroker!$A$2:$N$88,14,0),0)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IFERROR(VLOOKUP($AJ21,HomeBroker!$A$2:$F$88,2,0),0)</f>
        <v>0</v>
      </c>
      <c r="AL21" s="242">
        <f>IFERROR(VLOOKUP($AJ21,HomeBroker!$A$2:$F$88,3,0),0)</f>
        <v>0</v>
      </c>
      <c r="AM21" s="243">
        <f>IFERROR(VLOOKUP($AJ21,HomeBroker!$A$2:$F$88,6,0),0)</f>
        <v>0</v>
      </c>
      <c r="AN21" s="242">
        <f>IFERROR(VLOOKUP($AJ21,HomeBroker!$A$2:$F$88,4,0),0)</f>
        <v>0</v>
      </c>
      <c r="AO21" s="114">
        <f>IFERROR(VLOOKUP($AJ21,HomeBroker!$A$2:$F$88,5,0),0)</f>
        <v>0</v>
      </c>
      <c r="AP21" s="115">
        <f>IFERROR(VLOOKUP($AJ21,HomeBroker!$A$2:$N$88,14,0),0)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309">
        <f t="shared" si="10"/>
        <v>0</v>
      </c>
      <c r="BB21" s="310">
        <f t="shared" si="11"/>
        <v>0</v>
      </c>
      <c r="BC21" s="120" t="s">
        <v>408</v>
      </c>
      <c r="BD21" s="118"/>
      <c r="BE21" s="143"/>
      <c r="BF21" s="121"/>
      <c r="BG21" s="312">
        <f t="shared" si="12"/>
        <v>0</v>
      </c>
      <c r="BH21" s="314">
        <f t="shared" si="13"/>
        <v>0</v>
      </c>
      <c r="BI21" s="122" t="s">
        <v>409</v>
      </c>
      <c r="BJ21" s="118"/>
      <c r="BK21" s="121"/>
      <c r="BL21" s="315">
        <f t="shared" si="14"/>
        <v>0</v>
      </c>
      <c r="BM21" s="316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1136.9000000000001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1136.9000000000001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e">
        <f t="shared" si="79"/>
        <v>#DIV/0!</v>
      </c>
      <c r="O22" s="303">
        <f t="shared" si="80"/>
        <v>0</v>
      </c>
      <c r="P22" s="135">
        <f t="shared" si="4"/>
        <v>1136.9000000000001</v>
      </c>
      <c r="Q22" s="135">
        <f t="shared" ca="1" si="5"/>
        <v>1136.9000000000001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1"/>
        <v/>
      </c>
      <c r="X22" s="113" t="str">
        <f t="shared" si="75"/>
        <v/>
      </c>
      <c r="Y22" s="242">
        <f>IFERROR(VLOOKUP($X22,HomeBroker!$A$2:$F$88,2,0),0)</f>
        <v>0</v>
      </c>
      <c r="Z22" s="242">
        <f>IFERROR(VLOOKUP($X22,HomeBroker!$A$2:$F$88,3,0),0)</f>
        <v>0</v>
      </c>
      <c r="AA22" s="243">
        <f>IFERROR(VLOOKUP($X22,HomeBroker!$A$2:$F$88,6,0),0)</f>
        <v>0</v>
      </c>
      <c r="AB22" s="242">
        <f>IFERROR(VLOOKUP($X22,HomeBroker!$A$2:$F$88,4,0),0)</f>
        <v>0</v>
      </c>
      <c r="AC22" s="242">
        <f>IFERROR(VLOOKUP($X22,HomeBroker!$A$2:$F$88,5,0),0)</f>
        <v>0</v>
      </c>
      <c r="AD22" s="311">
        <f>IFERROR(VLOOKUP($X22,HomeBroker!$A$2:$N$88,14,0),0)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IFERROR(VLOOKUP($AJ22,HomeBroker!$A$2:$F$88,2,0),0)</f>
        <v>0</v>
      </c>
      <c r="AL22" s="242">
        <f>IFERROR(VLOOKUP($AJ22,HomeBroker!$A$2:$F$88,3,0),0)</f>
        <v>0</v>
      </c>
      <c r="AM22" s="243">
        <f>IFERROR(VLOOKUP($AJ22,HomeBroker!$A$2:$F$88,6,0),0)</f>
        <v>0</v>
      </c>
      <c r="AN22" s="242">
        <f>IFERROR(VLOOKUP($AJ22,HomeBroker!$A$2:$F$88,4,0),0)</f>
        <v>0</v>
      </c>
      <c r="AO22" s="114">
        <f>IFERROR(VLOOKUP($AJ22,HomeBroker!$A$2:$F$88,5,0),0)</f>
        <v>0</v>
      </c>
      <c r="AP22" s="115">
        <f>IFERROR(VLOOKUP($AJ22,HomeBroker!$A$2:$N$88,14,0),0)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309">
        <f t="shared" si="10"/>
        <v>0</v>
      </c>
      <c r="BB22" s="310">
        <f t="shared" si="11"/>
        <v>0</v>
      </c>
      <c r="BC22" s="120" t="s">
        <v>408</v>
      </c>
      <c r="BD22" s="118"/>
      <c r="BE22" s="143"/>
      <c r="BF22" s="121"/>
      <c r="BG22" s="312">
        <f t="shared" si="12"/>
        <v>0</v>
      </c>
      <c r="BH22" s="314">
        <f t="shared" si="13"/>
        <v>0</v>
      </c>
      <c r="BI22" s="122" t="s">
        <v>409</v>
      </c>
      <c r="BJ22" s="118"/>
      <c r="BK22" s="121"/>
      <c r="BL22" s="315">
        <f t="shared" si="14"/>
        <v>0</v>
      </c>
      <c r="BM22" s="316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1136.9000000000001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1136.9000000000001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e">
        <f t="shared" si="79"/>
        <v>#DIV/0!</v>
      </c>
      <c r="O23" s="303">
        <f t="shared" si="80"/>
        <v>0</v>
      </c>
      <c r="P23" s="135">
        <f t="shared" si="4"/>
        <v>1136.9000000000001</v>
      </c>
      <c r="Q23" s="135">
        <f t="shared" ca="1" si="5"/>
        <v>1136.9000000000001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1"/>
        <v/>
      </c>
      <c r="X23" s="113" t="str">
        <f t="shared" si="75"/>
        <v/>
      </c>
      <c r="Y23" s="242">
        <f>IFERROR(VLOOKUP($X23,HomeBroker!$A$2:$F$88,2,0),0)</f>
        <v>0</v>
      </c>
      <c r="Z23" s="242">
        <f>IFERROR(VLOOKUP($X23,HomeBroker!$A$2:$F$88,3,0),0)</f>
        <v>0</v>
      </c>
      <c r="AA23" s="243">
        <f>IFERROR(VLOOKUP($X23,HomeBroker!$A$2:$F$88,6,0),0)</f>
        <v>0</v>
      </c>
      <c r="AB23" s="242">
        <f>IFERROR(VLOOKUP($X23,HomeBroker!$A$2:$F$88,4,0),0)</f>
        <v>0</v>
      </c>
      <c r="AC23" s="242">
        <f>IFERROR(VLOOKUP($X23,HomeBroker!$A$2:$F$88,5,0),0)</f>
        <v>0</v>
      </c>
      <c r="AD23" s="311">
        <f>IFERROR(VLOOKUP($X23,HomeBroker!$A$2:$N$88,14,0),0)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IFERROR(VLOOKUP($AJ23,HomeBroker!$A$2:$F$88,2,0),0)</f>
        <v>0</v>
      </c>
      <c r="AL23" s="242">
        <f>IFERROR(VLOOKUP($AJ23,HomeBroker!$A$2:$F$88,3,0),0)</f>
        <v>0</v>
      </c>
      <c r="AM23" s="243">
        <f>IFERROR(VLOOKUP($AJ23,HomeBroker!$A$2:$F$88,6,0),0)</f>
        <v>0</v>
      </c>
      <c r="AN23" s="242">
        <f>IFERROR(VLOOKUP($AJ23,HomeBroker!$A$2:$F$88,4,0),0)</f>
        <v>0</v>
      </c>
      <c r="AO23" s="114">
        <f>IFERROR(VLOOKUP($AJ23,HomeBroker!$A$2:$F$88,5,0),0)</f>
        <v>0</v>
      </c>
      <c r="AP23" s="115">
        <f>IFERROR(VLOOKUP($AJ23,HomeBroker!$A$2:$N$88,14,0),0)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309">
        <f t="shared" si="10"/>
        <v>0</v>
      </c>
      <c r="BB23" s="310">
        <f t="shared" si="11"/>
        <v>0</v>
      </c>
      <c r="BC23" s="120" t="s">
        <v>408</v>
      </c>
      <c r="BD23" s="118"/>
      <c r="BE23" s="143"/>
      <c r="BF23" s="121"/>
      <c r="BG23" s="312">
        <f t="shared" si="12"/>
        <v>0</v>
      </c>
      <c r="BH23" s="314">
        <f t="shared" si="13"/>
        <v>0</v>
      </c>
      <c r="BI23" s="122" t="s">
        <v>409</v>
      </c>
      <c r="BJ23" s="118"/>
      <c r="BK23" s="121"/>
      <c r="BL23" s="315">
        <f t="shared" si="14"/>
        <v>0</v>
      </c>
      <c r="BM23" s="316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1136.9000000000001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1136.9000000000001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e">
        <f t="shared" si="79"/>
        <v>#DIV/0!</v>
      </c>
      <c r="O24" s="302">
        <f t="shared" si="80"/>
        <v>0</v>
      </c>
      <c r="P24" s="142">
        <f t="shared" si="4"/>
        <v>1136.9000000000001</v>
      </c>
      <c r="Q24" s="142">
        <f t="shared" ca="1" si="5"/>
        <v>1136.9000000000001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1"/>
        <v/>
      </c>
      <c r="X24" s="113" t="str">
        <f t="shared" si="75"/>
        <v/>
      </c>
      <c r="Y24" s="242">
        <f>IFERROR(VLOOKUP($X24,HomeBroker!$A$2:$F$88,2,0),0)</f>
        <v>0</v>
      </c>
      <c r="Z24" s="242">
        <f>IFERROR(VLOOKUP($X24,HomeBroker!$A$2:$F$88,3,0),0)</f>
        <v>0</v>
      </c>
      <c r="AA24" s="243">
        <f>IFERROR(VLOOKUP($X24,HomeBroker!$A$2:$F$88,6,0),0)</f>
        <v>0</v>
      </c>
      <c r="AB24" s="242">
        <f>IFERROR(VLOOKUP($X24,HomeBroker!$A$2:$F$88,4,0),0)</f>
        <v>0</v>
      </c>
      <c r="AC24" s="242">
        <f>IFERROR(VLOOKUP($X24,HomeBroker!$A$2:$F$88,5,0),0)</f>
        <v>0</v>
      </c>
      <c r="AD24" s="311">
        <f>IFERROR(VLOOKUP($X24,HomeBroker!$A$2:$N$88,14,0),0)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IFERROR(VLOOKUP($AJ24,HomeBroker!$A$2:$F$88,2,0),0)</f>
        <v>0</v>
      </c>
      <c r="AL24" s="242">
        <f>IFERROR(VLOOKUP($AJ24,HomeBroker!$A$2:$F$88,3,0),0)</f>
        <v>0</v>
      </c>
      <c r="AM24" s="243">
        <f>IFERROR(VLOOKUP($AJ24,HomeBroker!$A$2:$F$88,6,0),0)</f>
        <v>0</v>
      </c>
      <c r="AN24" s="242">
        <f>IFERROR(VLOOKUP($AJ24,HomeBroker!$A$2:$F$88,4,0),0)</f>
        <v>0</v>
      </c>
      <c r="AO24" s="114">
        <f>IFERROR(VLOOKUP($AJ24,HomeBroker!$A$2:$F$88,5,0),0)</f>
        <v>0</v>
      </c>
      <c r="AP24" s="115">
        <f>IFERROR(VLOOKUP($AJ24,HomeBroker!$A$2:$N$88,14,0),0)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309">
        <f t="shared" si="10"/>
        <v>0</v>
      </c>
      <c r="BB24" s="310">
        <f t="shared" si="11"/>
        <v>0</v>
      </c>
      <c r="BC24" s="120" t="s">
        <v>408</v>
      </c>
      <c r="BD24" s="118"/>
      <c r="BE24" s="143"/>
      <c r="BF24" s="121"/>
      <c r="BG24" s="312">
        <f t="shared" si="12"/>
        <v>0</v>
      </c>
      <c r="BH24" s="314">
        <f t="shared" si="13"/>
        <v>0</v>
      </c>
      <c r="BI24" s="122" t="s">
        <v>409</v>
      </c>
      <c r="BJ24" s="118"/>
      <c r="BK24" s="121"/>
      <c r="BL24" s="315">
        <f t="shared" si="14"/>
        <v>0</v>
      </c>
      <c r="BM24" s="316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1136.9000000000001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1136.9000000000001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302">
        <f t="shared" si="80"/>
        <v>0</v>
      </c>
      <c r="P25" s="135">
        <f t="shared" si="4"/>
        <v>1136.9000000000001</v>
      </c>
      <c r="Q25" s="135">
        <f t="shared" ca="1" si="5"/>
        <v>1136.9000000000001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1"/>
        <v/>
      </c>
      <c r="X25" s="113" t="str">
        <f t="shared" si="75"/>
        <v/>
      </c>
      <c r="Y25" s="242">
        <f>IFERROR(VLOOKUP($X25,HomeBroker!$A$2:$F$88,2,0),0)</f>
        <v>0</v>
      </c>
      <c r="Z25" s="242">
        <f>IFERROR(VLOOKUP($X25,HomeBroker!$A$2:$F$88,3,0),0)</f>
        <v>0</v>
      </c>
      <c r="AA25" s="243">
        <f>IFERROR(VLOOKUP($X25,HomeBroker!$A$2:$F$88,6,0),0)</f>
        <v>0</v>
      </c>
      <c r="AB25" s="242">
        <f>IFERROR(VLOOKUP($X25,HomeBroker!$A$2:$F$88,4,0),0)</f>
        <v>0</v>
      </c>
      <c r="AC25" s="242">
        <f>IFERROR(VLOOKUP($X25,HomeBroker!$A$2:$F$88,5,0),0)</f>
        <v>0</v>
      </c>
      <c r="AD25" s="311">
        <f>IFERROR(VLOOKUP($X25,HomeBroker!$A$2:$N$88,14,0),0)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IFERROR(VLOOKUP($AJ25,HomeBroker!$A$2:$F$88,2,0),0)</f>
        <v>0</v>
      </c>
      <c r="AL25" s="242">
        <f>IFERROR(VLOOKUP($AJ25,HomeBroker!$A$2:$F$88,3,0),0)</f>
        <v>0</v>
      </c>
      <c r="AM25" s="243">
        <f>IFERROR(VLOOKUP($AJ25,HomeBroker!$A$2:$F$88,6,0),0)</f>
        <v>0</v>
      </c>
      <c r="AN25" s="242">
        <f>IFERROR(VLOOKUP($AJ25,HomeBroker!$A$2:$F$88,4,0),0)</f>
        <v>0</v>
      </c>
      <c r="AO25" s="114">
        <f>IFERROR(VLOOKUP($AJ25,HomeBroker!$A$2:$F$88,5,0),0)</f>
        <v>0</v>
      </c>
      <c r="AP25" s="115">
        <f>IFERROR(VLOOKUP($AJ25,HomeBroker!$A$2:$N$88,14,0),0)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309">
        <f t="shared" si="10"/>
        <v>0</v>
      </c>
      <c r="BB25" s="310">
        <f t="shared" si="11"/>
        <v>0</v>
      </c>
      <c r="BC25" s="120" t="s">
        <v>408</v>
      </c>
      <c r="BD25" s="118"/>
      <c r="BE25" s="143"/>
      <c r="BF25" s="121"/>
      <c r="BG25" s="312">
        <f t="shared" si="12"/>
        <v>0</v>
      </c>
      <c r="BH25" s="314">
        <f t="shared" si="13"/>
        <v>0</v>
      </c>
      <c r="BI25" s="122" t="s">
        <v>409</v>
      </c>
      <c r="BJ25" s="118"/>
      <c r="BK25" s="121"/>
      <c r="BL25" s="315">
        <f t="shared" si="14"/>
        <v>0</v>
      </c>
      <c r="BM25" s="316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1136.9000000000001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1136.9000000000001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302">
        <f t="shared" si="80"/>
        <v>0</v>
      </c>
      <c r="P26" s="135">
        <f t="shared" si="4"/>
        <v>1136.9000000000001</v>
      </c>
      <c r="Q26" s="135">
        <f t="shared" ca="1" si="5"/>
        <v>1136.9000000000001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1"/>
        <v/>
      </c>
      <c r="X26" s="113" t="str">
        <f t="shared" si="75"/>
        <v/>
      </c>
      <c r="Y26" s="242">
        <f>IFERROR(VLOOKUP($X26,HomeBroker!$A$2:$F$88,2,0),0)</f>
        <v>0</v>
      </c>
      <c r="Z26" s="242">
        <f>IFERROR(VLOOKUP($X26,HomeBroker!$A$2:$F$88,3,0),0)</f>
        <v>0</v>
      </c>
      <c r="AA26" s="243">
        <f>IFERROR(VLOOKUP($X26,HomeBroker!$A$2:$F$88,6,0),0)</f>
        <v>0</v>
      </c>
      <c r="AB26" s="242">
        <f>IFERROR(VLOOKUP($X26,HomeBroker!$A$2:$F$88,4,0),0)</f>
        <v>0</v>
      </c>
      <c r="AC26" s="242">
        <f>IFERROR(VLOOKUP($X26,HomeBroker!$A$2:$F$88,5,0),0)</f>
        <v>0</v>
      </c>
      <c r="AD26" s="311">
        <f>IFERROR(VLOOKUP($X26,HomeBroker!$A$2:$N$88,14,0),0)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IFERROR(VLOOKUP($AJ26,HomeBroker!$A$2:$F$88,2,0),0)</f>
        <v>0</v>
      </c>
      <c r="AL26" s="242">
        <f>IFERROR(VLOOKUP($AJ26,HomeBroker!$A$2:$F$88,3,0),0)</f>
        <v>0</v>
      </c>
      <c r="AM26" s="243">
        <f>IFERROR(VLOOKUP($AJ26,HomeBroker!$A$2:$F$88,6,0),0)</f>
        <v>0</v>
      </c>
      <c r="AN26" s="242">
        <f>IFERROR(VLOOKUP($AJ26,HomeBroker!$A$2:$F$88,4,0),0)</f>
        <v>0</v>
      </c>
      <c r="AO26" s="114">
        <f>IFERROR(VLOOKUP($AJ26,HomeBroker!$A$2:$F$88,5,0),0)</f>
        <v>0</v>
      </c>
      <c r="AP26" s="115">
        <f>IFERROR(VLOOKUP($AJ26,HomeBroker!$A$2:$N$88,14,0),0)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309">
        <f t="shared" si="10"/>
        <v>0</v>
      </c>
      <c r="BB26" s="310">
        <f t="shared" si="11"/>
        <v>0</v>
      </c>
      <c r="BC26" s="120" t="s">
        <v>408</v>
      </c>
      <c r="BD26" s="118"/>
      <c r="BE26" s="143"/>
      <c r="BF26" s="121"/>
      <c r="BG26" s="312">
        <f t="shared" si="12"/>
        <v>0</v>
      </c>
      <c r="BH26" s="314">
        <f t="shared" si="13"/>
        <v>0</v>
      </c>
      <c r="BI26" s="122" t="s">
        <v>409</v>
      </c>
      <c r="BJ26" s="118"/>
      <c r="BK26" s="121"/>
      <c r="BL26" s="315">
        <f t="shared" si="14"/>
        <v>0</v>
      </c>
      <c r="BM26" s="316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1136.9000000000001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1136.9000000000001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302">
        <f t="shared" si="80"/>
        <v>0</v>
      </c>
      <c r="P27" s="142">
        <f t="shared" si="4"/>
        <v>1136.9000000000001</v>
      </c>
      <c r="Q27" s="142">
        <f t="shared" ca="1" si="5"/>
        <v>1136.9000000000001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1"/>
        <v/>
      </c>
      <c r="X27" s="113" t="str">
        <f t="shared" si="75"/>
        <v/>
      </c>
      <c r="Y27" s="242">
        <f>IFERROR(VLOOKUP($X27,HomeBroker!$A$2:$F$88,2,0),0)</f>
        <v>0</v>
      </c>
      <c r="Z27" s="242">
        <f>IFERROR(VLOOKUP($X27,HomeBroker!$A$2:$F$88,3,0),0)</f>
        <v>0</v>
      </c>
      <c r="AA27" s="243">
        <f>IFERROR(VLOOKUP($X27,HomeBroker!$A$2:$F$88,6,0),0)</f>
        <v>0</v>
      </c>
      <c r="AB27" s="242">
        <f>IFERROR(VLOOKUP($X27,HomeBroker!$A$2:$F$88,4,0),0)</f>
        <v>0</v>
      </c>
      <c r="AC27" s="242">
        <f>IFERROR(VLOOKUP($X27,HomeBroker!$A$2:$F$88,5,0),0)</f>
        <v>0</v>
      </c>
      <c r="AD27" s="311">
        <f>IFERROR(VLOOKUP($X27,HomeBroker!$A$2:$N$88,14,0),0)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IFERROR(VLOOKUP($AJ27,HomeBroker!$A$2:$F$88,2,0),0)</f>
        <v>0</v>
      </c>
      <c r="AL27" s="242">
        <f>IFERROR(VLOOKUP($AJ27,HomeBroker!$A$2:$F$88,3,0),0)</f>
        <v>0</v>
      </c>
      <c r="AM27" s="243">
        <f>IFERROR(VLOOKUP($AJ27,HomeBroker!$A$2:$F$88,6,0),0)</f>
        <v>0</v>
      </c>
      <c r="AN27" s="242">
        <f>IFERROR(VLOOKUP($AJ27,HomeBroker!$A$2:$F$88,4,0),0)</f>
        <v>0</v>
      </c>
      <c r="AO27" s="114">
        <f>IFERROR(VLOOKUP($AJ27,HomeBroker!$A$2:$F$88,5,0),0)</f>
        <v>0</v>
      </c>
      <c r="AP27" s="115">
        <f>IFERROR(VLOOKUP($AJ27,HomeBroker!$A$2:$N$88,14,0),0)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309">
        <f t="shared" si="10"/>
        <v>0</v>
      </c>
      <c r="BB27" s="310">
        <f t="shared" si="11"/>
        <v>0</v>
      </c>
      <c r="BC27" s="120" t="s">
        <v>408</v>
      </c>
      <c r="BD27" s="118"/>
      <c r="BE27" s="143"/>
      <c r="BF27" s="121"/>
      <c r="BG27" s="312">
        <f t="shared" si="12"/>
        <v>0</v>
      </c>
      <c r="BH27" s="314">
        <f t="shared" si="13"/>
        <v>0</v>
      </c>
      <c r="BI27" s="122" t="s">
        <v>409</v>
      </c>
      <c r="BJ27" s="118"/>
      <c r="BK27" s="121"/>
      <c r="BL27" s="315">
        <f t="shared" si="14"/>
        <v>0</v>
      </c>
      <c r="BM27" s="316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1136.9000000000001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1136.9000000000001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302">
        <f t="shared" si="80"/>
        <v>0</v>
      </c>
      <c r="P28" s="135">
        <f t="shared" si="4"/>
        <v>1136.9000000000001</v>
      </c>
      <c r="Q28" s="135">
        <f t="shared" ca="1" si="5"/>
        <v>1136.9000000000001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1"/>
        <v/>
      </c>
      <c r="X28" s="113" t="str">
        <f t="shared" si="75"/>
        <v/>
      </c>
      <c r="Y28" s="242">
        <f>IFERROR(VLOOKUP($X28,HomeBroker!$A$2:$F$88,2,0),0)</f>
        <v>0</v>
      </c>
      <c r="Z28" s="242">
        <f>IFERROR(VLOOKUP($X28,HomeBroker!$A$2:$F$88,3,0),0)</f>
        <v>0</v>
      </c>
      <c r="AA28" s="243">
        <f>IFERROR(VLOOKUP($X28,HomeBroker!$A$2:$F$88,6,0),0)</f>
        <v>0</v>
      </c>
      <c r="AB28" s="242">
        <f>IFERROR(VLOOKUP($X28,HomeBroker!$A$2:$F$88,4,0),0)</f>
        <v>0</v>
      </c>
      <c r="AC28" s="242">
        <f>IFERROR(VLOOKUP($X28,HomeBroker!$A$2:$F$88,5,0),0)</f>
        <v>0</v>
      </c>
      <c r="AD28" s="311">
        <f>IFERROR(VLOOKUP($X28,HomeBroker!$A$2:$N$88,14,0),0)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IFERROR(VLOOKUP($AJ28,HomeBroker!$A$2:$F$88,2,0),0)</f>
        <v>0</v>
      </c>
      <c r="AL28" s="242">
        <f>IFERROR(VLOOKUP($AJ28,HomeBroker!$A$2:$F$88,3,0),0)</f>
        <v>0</v>
      </c>
      <c r="AM28" s="243">
        <f>IFERROR(VLOOKUP($AJ28,HomeBroker!$A$2:$F$88,6,0),0)</f>
        <v>0</v>
      </c>
      <c r="AN28" s="242">
        <f>IFERROR(VLOOKUP($AJ28,HomeBroker!$A$2:$F$88,4,0),0)</f>
        <v>0</v>
      </c>
      <c r="AO28" s="114">
        <f>IFERROR(VLOOKUP($AJ28,HomeBroker!$A$2:$F$88,5,0),0)</f>
        <v>0</v>
      </c>
      <c r="AP28" s="115">
        <f>IFERROR(VLOOKUP($AJ28,HomeBroker!$A$2:$N$88,14,0),0)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309">
        <f t="shared" si="10"/>
        <v>0</v>
      </c>
      <c r="BB28" s="310">
        <f t="shared" si="11"/>
        <v>0</v>
      </c>
      <c r="BC28" s="120" t="s">
        <v>408</v>
      </c>
      <c r="BD28" s="118"/>
      <c r="BE28" s="143"/>
      <c r="BF28" s="121"/>
      <c r="BG28" s="312">
        <f t="shared" si="12"/>
        <v>0</v>
      </c>
      <c r="BH28" s="314">
        <f t="shared" si="13"/>
        <v>0</v>
      </c>
      <c r="BI28" s="122" t="s">
        <v>409</v>
      </c>
      <c r="BJ28" s="118"/>
      <c r="BK28" s="121"/>
      <c r="BL28" s="315">
        <f t="shared" si="14"/>
        <v>0</v>
      </c>
      <c r="BM28" s="316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1136.9000000000001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1136.9000000000001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e">
        <f>+O29/$O$18-1</f>
        <v>#DIV/0!</v>
      </c>
      <c r="O29" s="305">
        <f t="shared" si="80"/>
        <v>0</v>
      </c>
      <c r="P29" s="135">
        <f t="shared" si="4"/>
        <v>1136.9000000000001</v>
      </c>
      <c r="Q29" s="135">
        <f t="shared" ca="1" si="5"/>
        <v>1136.9000000000001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1"/>
        <v/>
      </c>
      <c r="X29" s="113" t="str">
        <f t="shared" si="75"/>
        <v/>
      </c>
      <c r="Y29" s="242">
        <f>IFERROR(VLOOKUP($X29,HomeBroker!$A$2:$F$88,2,0),0)</f>
        <v>0</v>
      </c>
      <c r="Z29" s="242">
        <f>IFERROR(VLOOKUP($X29,HomeBroker!$A$2:$F$88,3,0),0)</f>
        <v>0</v>
      </c>
      <c r="AA29" s="243">
        <f>IFERROR(VLOOKUP($X29,HomeBroker!$A$2:$F$88,6,0),0)</f>
        <v>0</v>
      </c>
      <c r="AB29" s="242">
        <f>IFERROR(VLOOKUP($X29,HomeBroker!$A$2:$F$88,4,0),0)</f>
        <v>0</v>
      </c>
      <c r="AC29" s="242">
        <f>IFERROR(VLOOKUP($X29,HomeBroker!$A$2:$F$88,5,0),0)</f>
        <v>0</v>
      </c>
      <c r="AD29" s="311">
        <f>IFERROR(VLOOKUP($X29,HomeBroker!$A$2:$N$88,14,0),0)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IFERROR(VLOOKUP($AJ29,HomeBroker!$A$2:$F$88,2,0),0)</f>
        <v>0</v>
      </c>
      <c r="AL29" s="242">
        <f>IFERROR(VLOOKUP($AJ29,HomeBroker!$A$2:$F$88,3,0),0)</f>
        <v>0</v>
      </c>
      <c r="AM29" s="243">
        <f>IFERROR(VLOOKUP($AJ29,HomeBroker!$A$2:$F$88,6,0),0)</f>
        <v>0</v>
      </c>
      <c r="AN29" s="242">
        <f>IFERROR(VLOOKUP($AJ29,HomeBroker!$A$2:$F$88,4,0),0)</f>
        <v>0</v>
      </c>
      <c r="AO29" s="114">
        <f>IFERROR(VLOOKUP($AJ29,HomeBroker!$A$2:$F$88,5,0),0)</f>
        <v>0</v>
      </c>
      <c r="AP29" s="115">
        <f>IFERROR(VLOOKUP($AJ29,HomeBroker!$A$2:$N$88,14,0),0)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309">
        <f t="shared" si="10"/>
        <v>0</v>
      </c>
      <c r="BB29" s="310">
        <f t="shared" si="11"/>
        <v>0</v>
      </c>
      <c r="BC29" s="120" t="s">
        <v>408</v>
      </c>
      <c r="BD29" s="118"/>
      <c r="BE29" s="143"/>
      <c r="BF29" s="121"/>
      <c r="BG29" s="312">
        <f t="shared" si="12"/>
        <v>0</v>
      </c>
      <c r="BH29" s="314">
        <f t="shared" si="13"/>
        <v>0</v>
      </c>
      <c r="BI29" s="122" t="s">
        <v>409</v>
      </c>
      <c r="BJ29" s="118"/>
      <c r="BK29" s="121"/>
      <c r="BL29" s="315">
        <f t="shared" si="14"/>
        <v>0</v>
      </c>
      <c r="BM29" s="316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1136.9000000000001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1136.9000000000001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305">
        <f t="shared" si="80"/>
        <v>0</v>
      </c>
      <c r="P30" s="142">
        <f t="shared" si="4"/>
        <v>1136.9000000000001</v>
      </c>
      <c r="Q30" s="142">
        <f t="shared" ca="1" si="5"/>
        <v>1136.9000000000001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1"/>
        <v/>
      </c>
      <c r="X30" s="113" t="str">
        <f t="shared" si="75"/>
        <v/>
      </c>
      <c r="Y30" s="242">
        <f>IFERROR(VLOOKUP($X30,HomeBroker!$A$2:$F$88,2,0),0)</f>
        <v>0</v>
      </c>
      <c r="Z30" s="242">
        <f>IFERROR(VLOOKUP($X30,HomeBroker!$A$2:$F$88,3,0),0)</f>
        <v>0</v>
      </c>
      <c r="AA30" s="243">
        <f>IFERROR(VLOOKUP($X30,HomeBroker!$A$2:$F$88,6,0),0)</f>
        <v>0</v>
      </c>
      <c r="AB30" s="242">
        <f>IFERROR(VLOOKUP($X30,HomeBroker!$A$2:$F$88,4,0),0)</f>
        <v>0</v>
      </c>
      <c r="AC30" s="242">
        <f>IFERROR(VLOOKUP($X30,HomeBroker!$A$2:$F$88,5,0),0)</f>
        <v>0</v>
      </c>
      <c r="AD30" s="311">
        <f>IFERROR(VLOOKUP($X30,HomeBroker!$A$2:$N$88,14,0),0)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IFERROR(VLOOKUP($AJ30,HomeBroker!$A$2:$F$88,2,0),0)</f>
        <v>0</v>
      </c>
      <c r="AL30" s="242">
        <f>IFERROR(VLOOKUP($AJ30,HomeBroker!$A$2:$F$88,3,0),0)</f>
        <v>0</v>
      </c>
      <c r="AM30" s="243">
        <f>IFERROR(VLOOKUP($AJ30,HomeBroker!$A$2:$F$88,6,0),0)</f>
        <v>0</v>
      </c>
      <c r="AN30" s="242">
        <f>IFERROR(VLOOKUP($AJ30,HomeBroker!$A$2:$F$88,4,0),0)</f>
        <v>0</v>
      </c>
      <c r="AO30" s="114">
        <f>IFERROR(VLOOKUP($AJ30,HomeBroker!$A$2:$F$88,5,0),0)</f>
        <v>0</v>
      </c>
      <c r="AP30" s="115">
        <f>IFERROR(VLOOKUP($AJ30,HomeBroker!$A$2:$N$88,14,0),0)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309">
        <f t="shared" si="10"/>
        <v>0</v>
      </c>
      <c r="BB30" s="310">
        <f t="shared" si="11"/>
        <v>0</v>
      </c>
      <c r="BC30" s="120" t="s">
        <v>408</v>
      </c>
      <c r="BD30" s="118"/>
      <c r="BE30" s="143"/>
      <c r="BF30" s="121"/>
      <c r="BG30" s="312">
        <f t="shared" si="12"/>
        <v>0</v>
      </c>
      <c r="BH30" s="314">
        <f t="shared" si="13"/>
        <v>0</v>
      </c>
      <c r="BI30" s="122" t="s">
        <v>409</v>
      </c>
      <c r="BJ30" s="118"/>
      <c r="BK30" s="121"/>
      <c r="BL30" s="315">
        <f t="shared" si="14"/>
        <v>0</v>
      </c>
      <c r="BM30" s="316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1136.9000000000001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1136.9000000000001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305">
        <f t="shared" si="80"/>
        <v>0</v>
      </c>
      <c r="P31" s="135">
        <f t="shared" si="4"/>
        <v>1136.9000000000001</v>
      </c>
      <c r="Q31" s="135">
        <f t="shared" ca="1" si="5"/>
        <v>1136.9000000000001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1"/>
        <v/>
      </c>
      <c r="X31" s="113" t="str">
        <f t="shared" si="75"/>
        <v/>
      </c>
      <c r="Y31" s="242">
        <f>IFERROR(VLOOKUP($X31,HomeBroker!$A$2:$F$88,2,0),0)</f>
        <v>0</v>
      </c>
      <c r="Z31" s="242">
        <f>IFERROR(VLOOKUP($X31,HomeBroker!$A$2:$F$88,3,0),0)</f>
        <v>0</v>
      </c>
      <c r="AA31" s="243">
        <f>IFERROR(VLOOKUP($X31,HomeBroker!$A$2:$F$88,6,0),0)</f>
        <v>0</v>
      </c>
      <c r="AB31" s="242">
        <f>IFERROR(VLOOKUP($X31,HomeBroker!$A$2:$F$88,4,0),0)</f>
        <v>0</v>
      </c>
      <c r="AC31" s="242">
        <f>IFERROR(VLOOKUP($X31,HomeBroker!$A$2:$F$88,5,0),0)</f>
        <v>0</v>
      </c>
      <c r="AD31" s="311">
        <f>IFERROR(VLOOKUP($X31,HomeBroker!$A$2:$N$88,14,0),0)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IFERROR(VLOOKUP($AJ31,HomeBroker!$A$2:$F$88,2,0),0)</f>
        <v>0</v>
      </c>
      <c r="AL31" s="242">
        <f>IFERROR(VLOOKUP($AJ31,HomeBroker!$A$2:$F$88,3,0),0)</f>
        <v>0</v>
      </c>
      <c r="AM31" s="243">
        <f>IFERROR(VLOOKUP($AJ31,HomeBroker!$A$2:$F$88,6,0),0)</f>
        <v>0</v>
      </c>
      <c r="AN31" s="242">
        <f>IFERROR(VLOOKUP($AJ31,HomeBroker!$A$2:$F$88,4,0),0)</f>
        <v>0</v>
      </c>
      <c r="AO31" s="114">
        <f>IFERROR(VLOOKUP($AJ31,HomeBroker!$A$2:$F$88,5,0),0)</f>
        <v>0</v>
      </c>
      <c r="AP31" s="115">
        <f>IFERROR(VLOOKUP($AJ31,HomeBroker!$A$2:$N$88,14,0),0)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309">
        <f t="shared" si="10"/>
        <v>0</v>
      </c>
      <c r="BB31" s="310">
        <f t="shared" si="11"/>
        <v>0</v>
      </c>
      <c r="BC31" s="120" t="s">
        <v>408</v>
      </c>
      <c r="BD31" s="118"/>
      <c r="BE31" s="143"/>
      <c r="BF31" s="121"/>
      <c r="BG31" s="312">
        <f t="shared" si="12"/>
        <v>0</v>
      </c>
      <c r="BH31" s="314">
        <f t="shared" si="13"/>
        <v>0</v>
      </c>
      <c r="BI31" s="122" t="s">
        <v>409</v>
      </c>
      <c r="BJ31" s="118"/>
      <c r="BK31" s="121"/>
      <c r="BL31" s="315">
        <f t="shared" si="14"/>
        <v>0</v>
      </c>
      <c r="BM31" s="316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1136.9000000000001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1136.9000000000001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305">
        <f t="shared" si="80"/>
        <v>0</v>
      </c>
      <c r="P32" s="135">
        <f t="shared" si="4"/>
        <v>1136.9000000000001</v>
      </c>
      <c r="Q32" s="135">
        <f t="shared" ca="1" si="5"/>
        <v>1136.9000000000001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1"/>
        <v/>
      </c>
      <c r="X32" s="113" t="str">
        <f t="shared" si="75"/>
        <v/>
      </c>
      <c r="Y32" s="242">
        <f>IFERROR(VLOOKUP($X32,HomeBroker!$A$2:$F$88,2,0),0)</f>
        <v>0</v>
      </c>
      <c r="Z32" s="242">
        <f>IFERROR(VLOOKUP($X32,HomeBroker!$A$2:$F$88,3,0),0)</f>
        <v>0</v>
      </c>
      <c r="AA32" s="243">
        <f>IFERROR(VLOOKUP($X32,HomeBroker!$A$2:$F$88,6,0),0)</f>
        <v>0</v>
      </c>
      <c r="AB32" s="242">
        <f>IFERROR(VLOOKUP($X32,HomeBroker!$A$2:$F$88,4,0),0)</f>
        <v>0</v>
      </c>
      <c r="AC32" s="242">
        <f>IFERROR(VLOOKUP($X32,HomeBroker!$A$2:$F$88,5,0),0)</f>
        <v>0</v>
      </c>
      <c r="AD32" s="311">
        <f>IFERROR(VLOOKUP($X32,HomeBroker!$A$2:$N$88,14,0),0)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IFERROR(VLOOKUP($AJ32,HomeBroker!$A$2:$F$88,2,0),0)</f>
        <v>0</v>
      </c>
      <c r="AL32" s="242">
        <f>IFERROR(VLOOKUP($AJ32,HomeBroker!$A$2:$F$88,3,0),0)</f>
        <v>0</v>
      </c>
      <c r="AM32" s="243">
        <f>IFERROR(VLOOKUP($AJ32,HomeBroker!$A$2:$F$88,6,0),0)</f>
        <v>0</v>
      </c>
      <c r="AN32" s="242">
        <f>IFERROR(VLOOKUP($AJ32,HomeBroker!$A$2:$F$88,4,0),0)</f>
        <v>0</v>
      </c>
      <c r="AO32" s="114">
        <f>IFERROR(VLOOKUP($AJ32,HomeBroker!$A$2:$F$88,5,0),0)</f>
        <v>0</v>
      </c>
      <c r="AP32" s="115">
        <f>IFERROR(VLOOKUP($AJ32,HomeBroker!$A$2:$N$88,14,0),0)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309">
        <f t="shared" si="10"/>
        <v>0</v>
      </c>
      <c r="BB32" s="310">
        <f t="shared" si="11"/>
        <v>0</v>
      </c>
      <c r="BC32" s="120" t="s">
        <v>408</v>
      </c>
      <c r="BD32" s="118"/>
      <c r="BE32" s="143"/>
      <c r="BF32" s="121"/>
      <c r="BG32" s="312">
        <f t="shared" si="12"/>
        <v>0</v>
      </c>
      <c r="BH32" s="314">
        <f t="shared" si="13"/>
        <v>0</v>
      </c>
      <c r="BI32" s="122" t="s">
        <v>409</v>
      </c>
      <c r="BJ32" s="118"/>
      <c r="BK32" s="121"/>
      <c r="BL32" s="315">
        <f t="shared" si="14"/>
        <v>0</v>
      </c>
      <c r="BM32" s="316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1136.9000000000001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1136.9000000000001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305">
        <f t="shared" si="80"/>
        <v>0</v>
      </c>
      <c r="P33" s="142">
        <f t="shared" si="4"/>
        <v>1136.9000000000001</v>
      </c>
      <c r="Q33" s="142">
        <f t="shared" ca="1" si="5"/>
        <v>1136.9000000000001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1"/>
        <v/>
      </c>
      <c r="X33" s="113" t="str">
        <f t="shared" si="75"/>
        <v/>
      </c>
      <c r="Y33" s="242">
        <f>IFERROR(VLOOKUP($X33,HomeBroker!$A$2:$F$88,2,0),0)</f>
        <v>0</v>
      </c>
      <c r="Z33" s="242">
        <f>IFERROR(VLOOKUP($X33,HomeBroker!$A$2:$F$88,3,0),0)</f>
        <v>0</v>
      </c>
      <c r="AA33" s="243">
        <f>IFERROR(VLOOKUP($X33,HomeBroker!$A$2:$F$88,6,0),0)</f>
        <v>0</v>
      </c>
      <c r="AB33" s="242">
        <f>IFERROR(VLOOKUP($X33,HomeBroker!$A$2:$F$88,4,0),0)</f>
        <v>0</v>
      </c>
      <c r="AC33" s="242">
        <f>IFERROR(VLOOKUP($X33,HomeBroker!$A$2:$F$88,5,0),0)</f>
        <v>0</v>
      </c>
      <c r="AD33" s="311">
        <f>IFERROR(VLOOKUP($X33,HomeBroker!$A$2:$N$88,14,0),0)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IFERROR(VLOOKUP($AJ33,HomeBroker!$A$2:$F$88,2,0),0)</f>
        <v>0</v>
      </c>
      <c r="AL33" s="242">
        <f>IFERROR(VLOOKUP($AJ33,HomeBroker!$A$2:$F$88,3,0),0)</f>
        <v>0</v>
      </c>
      <c r="AM33" s="243">
        <f>IFERROR(VLOOKUP($AJ33,HomeBroker!$A$2:$F$88,6,0),0)</f>
        <v>0</v>
      </c>
      <c r="AN33" s="242">
        <f>IFERROR(VLOOKUP($AJ33,HomeBroker!$A$2:$F$88,4,0),0)</f>
        <v>0</v>
      </c>
      <c r="AO33" s="114">
        <f>IFERROR(VLOOKUP($AJ33,HomeBroker!$A$2:$F$88,5,0),0)</f>
        <v>0</v>
      </c>
      <c r="AP33" s="115">
        <f>IFERROR(VLOOKUP($AJ33,HomeBroker!$A$2:$N$88,14,0),0)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309">
        <f t="shared" si="10"/>
        <v>0</v>
      </c>
      <c r="BB33" s="310">
        <f t="shared" si="11"/>
        <v>0</v>
      </c>
      <c r="BC33" s="120" t="s">
        <v>408</v>
      </c>
      <c r="BD33" s="118"/>
      <c r="BE33" s="143"/>
      <c r="BF33" s="121"/>
      <c r="BG33" s="312">
        <f t="shared" si="12"/>
        <v>0</v>
      </c>
      <c r="BH33" s="314">
        <f t="shared" si="13"/>
        <v>0</v>
      </c>
      <c r="BI33" s="122" t="s">
        <v>409</v>
      </c>
      <c r="BJ33" s="118"/>
      <c r="BK33" s="121"/>
      <c r="BL33" s="315">
        <f t="shared" si="14"/>
        <v>0</v>
      </c>
      <c r="BM33" s="316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1136.9000000000001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1136.9000000000001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306">
        <f t="shared" si="80"/>
        <v>0</v>
      </c>
      <c r="P34" s="154">
        <f t="shared" si="4"/>
        <v>1136.9000000000001</v>
      </c>
      <c r="Q34" s="154">
        <f t="shared" ca="1" si="5"/>
        <v>1136.9000000000001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1"/>
        <v/>
      </c>
      <c r="X34" s="113" t="str">
        <f t="shared" si="75"/>
        <v/>
      </c>
      <c r="Y34" s="242">
        <f>IFERROR(VLOOKUP($X34,HomeBroker!$A$2:$F$88,2,0),0)</f>
        <v>0</v>
      </c>
      <c r="Z34" s="242">
        <f>IFERROR(VLOOKUP($X34,HomeBroker!$A$2:$F$88,3,0),0)</f>
        <v>0</v>
      </c>
      <c r="AA34" s="243">
        <f>IFERROR(VLOOKUP($X34,HomeBroker!$A$2:$F$88,6,0),0)</f>
        <v>0</v>
      </c>
      <c r="AB34" s="242">
        <f>IFERROR(VLOOKUP($X34,HomeBroker!$A$2:$F$88,4,0),0)</f>
        <v>0</v>
      </c>
      <c r="AC34" s="242">
        <f>IFERROR(VLOOKUP($X34,HomeBroker!$A$2:$F$88,5,0),0)</f>
        <v>0</v>
      </c>
      <c r="AD34" s="311">
        <f>IFERROR(VLOOKUP($X34,HomeBroker!$A$2:$N$88,14,0),0)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IFERROR(VLOOKUP($AJ34,HomeBroker!$A$2:$F$88,2,0),0)</f>
        <v>0</v>
      </c>
      <c r="AL34" s="242">
        <f>IFERROR(VLOOKUP($AJ34,HomeBroker!$A$2:$F$88,3,0),0)</f>
        <v>0</v>
      </c>
      <c r="AM34" s="243">
        <f>IFERROR(VLOOKUP($AJ34,HomeBroker!$A$2:$F$88,6,0),0)</f>
        <v>0</v>
      </c>
      <c r="AN34" s="242">
        <f>IFERROR(VLOOKUP($AJ34,HomeBroker!$A$2:$F$88,4,0),0)</f>
        <v>0</v>
      </c>
      <c r="AO34" s="114">
        <f>IFERROR(VLOOKUP($AJ34,HomeBroker!$A$2:$F$88,5,0),0)</f>
        <v>0</v>
      </c>
      <c r="AP34" s="115">
        <f>IFERROR(VLOOKUP($AJ34,HomeBroker!$A$2:$N$88,14,0),0)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309">
        <f t="shared" si="10"/>
        <v>0</v>
      </c>
      <c r="BB34" s="310">
        <f t="shared" si="11"/>
        <v>0</v>
      </c>
      <c r="BC34" s="120" t="s">
        <v>408</v>
      </c>
      <c r="BD34" s="118"/>
      <c r="BE34" s="143"/>
      <c r="BF34" s="121"/>
      <c r="BG34" s="312">
        <f t="shared" si="12"/>
        <v>0</v>
      </c>
      <c r="BH34" s="314">
        <f t="shared" si="13"/>
        <v>0</v>
      </c>
      <c r="BI34" s="122" t="s">
        <v>409</v>
      </c>
      <c r="BJ34" s="118"/>
      <c r="BK34" s="121"/>
      <c r="BL34" s="315">
        <f t="shared" si="14"/>
        <v>0</v>
      </c>
      <c r="BM34" s="316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1136.9000000000001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1136.9000000000001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1"/>
        <v/>
      </c>
      <c r="X35" s="113" t="str">
        <f t="shared" si="75"/>
        <v/>
      </c>
      <c r="Y35" s="242">
        <f>IFERROR(VLOOKUP($X35,HomeBroker!$A$2:$F$88,2,0),0)</f>
        <v>0</v>
      </c>
      <c r="Z35" s="242">
        <f>IFERROR(VLOOKUP($X35,HomeBroker!$A$2:$F$88,3,0),0)</f>
        <v>0</v>
      </c>
      <c r="AA35" s="243">
        <f>IFERROR(VLOOKUP($X35,HomeBroker!$A$2:$F$88,6,0),0)</f>
        <v>0</v>
      </c>
      <c r="AB35" s="242">
        <f>IFERROR(VLOOKUP($X35,HomeBroker!$A$2:$F$88,4,0),0)</f>
        <v>0</v>
      </c>
      <c r="AC35" s="242">
        <f>IFERROR(VLOOKUP($X35,HomeBroker!$A$2:$F$88,5,0),0)</f>
        <v>0</v>
      </c>
      <c r="AD35" s="311">
        <f>IFERROR(VLOOKUP($X35,HomeBroker!$A$2:$N$88,14,0),0)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IFERROR(VLOOKUP($AJ35,HomeBroker!$A$2:$F$88,2,0),0)</f>
        <v>0</v>
      </c>
      <c r="AL35" s="242">
        <f>IFERROR(VLOOKUP($AJ35,HomeBroker!$A$2:$F$88,3,0),0)</f>
        <v>0</v>
      </c>
      <c r="AM35" s="243">
        <f>IFERROR(VLOOKUP($AJ35,HomeBroker!$A$2:$F$88,6,0),0)</f>
        <v>0</v>
      </c>
      <c r="AN35" s="242">
        <f>IFERROR(VLOOKUP($AJ35,HomeBroker!$A$2:$F$88,4,0),0)</f>
        <v>0</v>
      </c>
      <c r="AO35" s="114">
        <f>IFERROR(VLOOKUP($AJ35,HomeBroker!$A$2:$F$88,5,0),0)</f>
        <v>0</v>
      </c>
      <c r="AP35" s="115">
        <f>IFERROR(VLOOKUP($AJ35,HomeBroker!$A$2:$N$88,14,0),0)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309">
        <f t="shared" si="10"/>
        <v>0</v>
      </c>
      <c r="BB35" s="310">
        <f t="shared" si="11"/>
        <v>0</v>
      </c>
      <c r="BC35" s="120" t="s">
        <v>408</v>
      </c>
      <c r="BD35" s="118"/>
      <c r="BE35" s="143"/>
      <c r="BF35" s="121"/>
      <c r="BG35" s="312">
        <f t="shared" si="12"/>
        <v>0</v>
      </c>
      <c r="BH35" s="314">
        <f t="shared" si="13"/>
        <v>0</v>
      </c>
      <c r="BI35" s="122" t="s">
        <v>409</v>
      </c>
      <c r="BJ35" s="118"/>
      <c r="BK35" s="121"/>
      <c r="BL35" s="315">
        <f t="shared" si="14"/>
        <v>0</v>
      </c>
      <c r="BM35" s="316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678" t="s">
        <v>450</v>
      </c>
      <c r="O36" s="673"/>
      <c r="P36" s="674"/>
      <c r="Q36" s="165">
        <f>SUM(BB:BB)+SUM(BH:BH)+SUM(BM:BM)+$F$76</f>
        <v>1136.8976000000002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1"/>
        <v/>
      </c>
      <c r="X36" s="113" t="str">
        <f t="shared" si="75"/>
        <v/>
      </c>
      <c r="Y36" s="242">
        <f>IFERROR(VLOOKUP($X36,HomeBroker!$A$2:$F$88,2,0),0)</f>
        <v>0</v>
      </c>
      <c r="Z36" s="242">
        <f>IFERROR(VLOOKUP($X36,HomeBroker!$A$2:$F$88,3,0),0)</f>
        <v>0</v>
      </c>
      <c r="AA36" s="243">
        <f>IFERROR(VLOOKUP($X36,HomeBroker!$A$2:$F$88,6,0),0)</f>
        <v>0</v>
      </c>
      <c r="AB36" s="242">
        <f>IFERROR(VLOOKUP($X36,HomeBroker!$A$2:$F$88,4,0),0)</f>
        <v>0</v>
      </c>
      <c r="AC36" s="242">
        <f>IFERROR(VLOOKUP($X36,HomeBroker!$A$2:$F$88,5,0),0)</f>
        <v>0</v>
      </c>
      <c r="AD36" s="311">
        <f>IFERROR(VLOOKUP($X36,HomeBroker!$A$2:$N$88,14,0),0)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IFERROR(VLOOKUP($AJ36,HomeBroker!$A$2:$F$88,2,0),0)</f>
        <v>0</v>
      </c>
      <c r="AL36" s="242">
        <f>IFERROR(VLOOKUP($AJ36,HomeBroker!$A$2:$F$88,3,0),0)</f>
        <v>0</v>
      </c>
      <c r="AM36" s="243">
        <f>IFERROR(VLOOKUP($AJ36,HomeBroker!$A$2:$F$88,6,0),0)</f>
        <v>0</v>
      </c>
      <c r="AN36" s="242">
        <f>IFERROR(VLOOKUP($AJ36,HomeBroker!$A$2:$F$88,4,0),0)</f>
        <v>0</v>
      </c>
      <c r="AO36" s="114">
        <f>IFERROR(VLOOKUP($AJ36,HomeBroker!$A$2:$F$88,5,0),0)</f>
        <v>0</v>
      </c>
      <c r="AP36" s="115">
        <f>IFERROR(VLOOKUP($AJ36,HomeBroker!$A$2:$N$88,14,0),0)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309">
        <f t="shared" si="10"/>
        <v>0</v>
      </c>
      <c r="BB36" s="310">
        <f t="shared" si="11"/>
        <v>0</v>
      </c>
      <c r="BC36" s="120" t="s">
        <v>408</v>
      </c>
      <c r="BD36" s="118"/>
      <c r="BE36" s="143"/>
      <c r="BF36" s="121"/>
      <c r="BG36" s="312">
        <f t="shared" si="12"/>
        <v>0</v>
      </c>
      <c r="BH36" s="314">
        <f t="shared" si="13"/>
        <v>0</v>
      </c>
      <c r="BI36" s="122" t="s">
        <v>409</v>
      </c>
      <c r="BJ36" s="118"/>
      <c r="BK36" s="121"/>
      <c r="BL36" s="315">
        <f t="shared" si="14"/>
        <v>0</v>
      </c>
      <c r="BM36" s="316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678" t="s">
        <v>451</v>
      </c>
      <c r="O37" s="673"/>
      <c r="P37" s="674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1136.8976000000002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1"/>
        <v/>
      </c>
      <c r="X37" s="113" t="str">
        <f t="shared" si="75"/>
        <v/>
      </c>
      <c r="Y37" s="242">
        <f>IFERROR(VLOOKUP($X37,HomeBroker!$A$2:$F$88,2,0),0)</f>
        <v>0</v>
      </c>
      <c r="Z37" s="242">
        <f>IFERROR(VLOOKUP($X37,HomeBroker!$A$2:$F$88,3,0),0)</f>
        <v>0</v>
      </c>
      <c r="AA37" s="243">
        <f>IFERROR(VLOOKUP($X37,HomeBroker!$A$2:$F$88,6,0),0)</f>
        <v>0</v>
      </c>
      <c r="AB37" s="242">
        <f>IFERROR(VLOOKUP($X37,HomeBroker!$A$2:$F$88,4,0),0)</f>
        <v>0</v>
      </c>
      <c r="AC37" s="242">
        <f>IFERROR(VLOOKUP($X37,HomeBroker!$A$2:$F$88,5,0),0)</f>
        <v>0</v>
      </c>
      <c r="AD37" s="311">
        <f>IFERROR(VLOOKUP($X37,HomeBroker!$A$2:$N$88,14,0),0)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IFERROR(VLOOKUP($AJ37,HomeBroker!$A$2:$F$88,2,0),0)</f>
        <v>0</v>
      </c>
      <c r="AL37" s="242">
        <f>IFERROR(VLOOKUP($AJ37,HomeBroker!$A$2:$F$88,3,0),0)</f>
        <v>0</v>
      </c>
      <c r="AM37" s="243">
        <f>IFERROR(VLOOKUP($AJ37,HomeBroker!$A$2:$F$88,6,0),0)</f>
        <v>0</v>
      </c>
      <c r="AN37" s="242">
        <f>IFERROR(VLOOKUP($AJ37,HomeBroker!$A$2:$F$88,4,0),0)</f>
        <v>0</v>
      </c>
      <c r="AO37" s="114">
        <f>IFERROR(VLOOKUP($AJ37,HomeBroker!$A$2:$F$88,5,0),0)</f>
        <v>0</v>
      </c>
      <c r="AP37" s="115">
        <f>IFERROR(VLOOKUP($AJ37,HomeBroker!$A$2:$N$88,14,0),0)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309">
        <f t="shared" si="10"/>
        <v>0</v>
      </c>
      <c r="BB37" s="310">
        <f t="shared" si="11"/>
        <v>0</v>
      </c>
      <c r="BC37" s="120" t="s">
        <v>408</v>
      </c>
      <c r="BD37" s="118"/>
      <c r="BE37" s="143"/>
      <c r="BF37" s="121"/>
      <c r="BG37" s="312">
        <f t="shared" si="12"/>
        <v>0</v>
      </c>
      <c r="BH37" s="314">
        <f t="shared" si="13"/>
        <v>0</v>
      </c>
      <c r="BI37" s="122" t="s">
        <v>409</v>
      </c>
      <c r="BJ37" s="118"/>
      <c r="BK37" s="121"/>
      <c r="BL37" s="315">
        <f t="shared" si="14"/>
        <v>0</v>
      </c>
      <c r="BM37" s="316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679" t="s">
        <v>452</v>
      </c>
      <c r="O38" s="673"/>
      <c r="P38" s="674"/>
      <c r="Q38" s="174">
        <f>SUM(T3:T42)</f>
        <v>-1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1"/>
        <v/>
      </c>
      <c r="X38" s="113" t="str">
        <f t="shared" si="75"/>
        <v/>
      </c>
      <c r="Y38" s="242">
        <f>IFERROR(VLOOKUP($X38,HomeBroker!$A$2:$F$88,2,0),0)</f>
        <v>0</v>
      </c>
      <c r="Z38" s="242">
        <f>IFERROR(VLOOKUP($X38,HomeBroker!$A$2:$F$88,3,0),0)</f>
        <v>0</v>
      </c>
      <c r="AA38" s="243">
        <f>IFERROR(VLOOKUP($X38,HomeBroker!$A$2:$F$88,6,0),0)</f>
        <v>0</v>
      </c>
      <c r="AB38" s="242">
        <f>IFERROR(VLOOKUP($X38,HomeBroker!$A$2:$F$88,4,0),0)</f>
        <v>0</v>
      </c>
      <c r="AC38" s="242">
        <f>IFERROR(VLOOKUP($X38,HomeBroker!$A$2:$F$88,5,0),0)</f>
        <v>0</v>
      </c>
      <c r="AD38" s="311">
        <f>IFERROR(VLOOKUP($X38,HomeBroker!$A$2:$N$88,14,0),0)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IFERROR(VLOOKUP($AJ38,HomeBroker!$A$2:$F$88,2,0),0)</f>
        <v>0</v>
      </c>
      <c r="AL38" s="242">
        <f>IFERROR(VLOOKUP($AJ38,HomeBroker!$A$2:$F$88,3,0),0)</f>
        <v>0</v>
      </c>
      <c r="AM38" s="243">
        <f>IFERROR(VLOOKUP($AJ38,HomeBroker!$A$2:$F$88,6,0),0)</f>
        <v>0</v>
      </c>
      <c r="AN38" s="242">
        <f>IFERROR(VLOOKUP($AJ38,HomeBroker!$A$2:$F$88,4,0),0)</f>
        <v>0</v>
      </c>
      <c r="AO38" s="114">
        <f>IFERROR(VLOOKUP($AJ38,HomeBroker!$A$2:$F$88,5,0),0)</f>
        <v>0</v>
      </c>
      <c r="AP38" s="115">
        <f>IFERROR(VLOOKUP($AJ38,HomeBroker!$A$2:$N$88,14,0),0)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309">
        <f t="shared" si="10"/>
        <v>0</v>
      </c>
      <c r="BB38" s="310">
        <f t="shared" si="11"/>
        <v>0</v>
      </c>
      <c r="BC38" s="177" t="s">
        <v>408</v>
      </c>
      <c r="BD38" s="118"/>
      <c r="BE38" s="143"/>
      <c r="BF38" s="121"/>
      <c r="BG38" s="312">
        <f t="shared" si="12"/>
        <v>0</v>
      </c>
      <c r="BH38" s="314">
        <f t="shared" si="13"/>
        <v>0</v>
      </c>
      <c r="BI38" s="178" t="s">
        <v>409</v>
      </c>
      <c r="BJ38" s="118"/>
      <c r="BK38" s="121"/>
      <c r="BL38" s="315">
        <f t="shared" si="14"/>
        <v>0</v>
      </c>
      <c r="BM38" s="316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680" t="s">
        <v>453</v>
      </c>
      <c r="O39" s="673"/>
      <c r="P39" s="674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1"/>
        <v/>
      </c>
      <c r="X39" s="113" t="str">
        <f t="shared" si="75"/>
        <v/>
      </c>
      <c r="Y39" s="242">
        <f>IFERROR(VLOOKUP($X39,HomeBroker!$A$2:$F$88,2,0),0)</f>
        <v>0</v>
      </c>
      <c r="Z39" s="242">
        <f>IFERROR(VLOOKUP($X39,HomeBroker!$A$2:$F$88,3,0),0)</f>
        <v>0</v>
      </c>
      <c r="AA39" s="243">
        <f>IFERROR(VLOOKUP($X39,HomeBroker!$A$2:$F$88,6,0),0)</f>
        <v>0</v>
      </c>
      <c r="AB39" s="242">
        <f>IFERROR(VLOOKUP($X39,HomeBroker!$A$2:$F$88,4,0),0)</f>
        <v>0</v>
      </c>
      <c r="AC39" s="242">
        <f>IFERROR(VLOOKUP($X39,HomeBroker!$A$2:$F$88,5,0),0)</f>
        <v>0</v>
      </c>
      <c r="AD39" s="311">
        <f>IFERROR(VLOOKUP($X39,HomeBroker!$A$2:$N$88,14,0),0)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IFERROR(VLOOKUP($AJ39,HomeBroker!$A$2:$F$88,2,0),0)</f>
        <v>0</v>
      </c>
      <c r="AL39" s="242">
        <f>IFERROR(VLOOKUP($AJ39,HomeBroker!$A$2:$F$88,3,0),0)</f>
        <v>0</v>
      </c>
      <c r="AM39" s="243">
        <f>IFERROR(VLOOKUP($AJ39,HomeBroker!$A$2:$F$88,6,0),0)</f>
        <v>0</v>
      </c>
      <c r="AN39" s="242">
        <f>IFERROR(VLOOKUP($AJ39,HomeBroker!$A$2:$F$88,4,0),0)</f>
        <v>0</v>
      </c>
      <c r="AO39" s="114">
        <f>IFERROR(VLOOKUP($AJ39,HomeBroker!$A$2:$F$88,5,0),0)</f>
        <v>0</v>
      </c>
      <c r="AP39" s="115">
        <f>IFERROR(VLOOKUP($AJ39,HomeBroker!$A$2:$N$88,14,0),0)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309">
        <f t="shared" si="10"/>
        <v>0</v>
      </c>
      <c r="BB39" s="310">
        <f t="shared" si="11"/>
        <v>0</v>
      </c>
      <c r="BC39" s="177" t="s">
        <v>408</v>
      </c>
      <c r="BD39" s="118"/>
      <c r="BE39" s="143"/>
      <c r="BF39" s="121"/>
      <c r="BG39" s="312">
        <f t="shared" si="12"/>
        <v>0</v>
      </c>
      <c r="BH39" s="314">
        <f t="shared" si="13"/>
        <v>0</v>
      </c>
      <c r="BI39" s="178" t="s">
        <v>409</v>
      </c>
      <c r="BJ39" s="118"/>
      <c r="BK39" s="121"/>
      <c r="BL39" s="315">
        <f t="shared" si="14"/>
        <v>0</v>
      </c>
      <c r="BM39" s="316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672" t="s">
        <v>0</v>
      </c>
      <c r="O40" s="673"/>
      <c r="P40" s="674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1"/>
        <v/>
      </c>
      <c r="X40" s="113" t="str">
        <f t="shared" si="75"/>
        <v/>
      </c>
      <c r="Y40" s="242">
        <f>IFERROR(VLOOKUP($X40,HomeBroker!$A$2:$F$88,2,0),0)</f>
        <v>0</v>
      </c>
      <c r="Z40" s="242">
        <f>IFERROR(VLOOKUP($X40,HomeBroker!$A$2:$F$88,3,0),0)</f>
        <v>0</v>
      </c>
      <c r="AA40" s="243">
        <f>IFERROR(VLOOKUP($X40,HomeBroker!$A$2:$F$88,6,0),0)</f>
        <v>0</v>
      </c>
      <c r="AB40" s="242">
        <f>IFERROR(VLOOKUP($X40,HomeBroker!$A$2:$F$88,4,0),0)</f>
        <v>0</v>
      </c>
      <c r="AC40" s="242">
        <f>IFERROR(VLOOKUP($X40,HomeBroker!$A$2:$F$88,5,0),0)</f>
        <v>0</v>
      </c>
      <c r="AD40" s="311">
        <f>IFERROR(VLOOKUP($X40,HomeBroker!$A$2:$N$88,14,0),0)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IFERROR(VLOOKUP($AJ40,HomeBroker!$A$2:$F$88,2,0),0)</f>
        <v>0</v>
      </c>
      <c r="AL40" s="242">
        <f>IFERROR(VLOOKUP($AJ40,HomeBroker!$A$2:$F$88,3,0),0)</f>
        <v>0</v>
      </c>
      <c r="AM40" s="243">
        <f>IFERROR(VLOOKUP($AJ40,HomeBroker!$A$2:$F$88,6,0),0)</f>
        <v>0</v>
      </c>
      <c r="AN40" s="242">
        <f>IFERROR(VLOOKUP($AJ40,HomeBroker!$A$2:$F$88,4,0),0)</f>
        <v>0</v>
      </c>
      <c r="AO40" s="114">
        <f>IFERROR(VLOOKUP($AJ40,HomeBroker!$A$2:$F$88,5,0),0)</f>
        <v>0</v>
      </c>
      <c r="AP40" s="115">
        <f>IFERROR(VLOOKUP($AJ40,HomeBroker!$A$2:$N$88,14,0),0)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309">
        <f t="shared" si="10"/>
        <v>0</v>
      </c>
      <c r="BB40" s="310">
        <f t="shared" si="11"/>
        <v>0</v>
      </c>
      <c r="BC40" s="177" t="s">
        <v>408</v>
      </c>
      <c r="BD40" s="118"/>
      <c r="BE40" s="143"/>
      <c r="BF40" s="121"/>
      <c r="BG40" s="312">
        <f t="shared" si="12"/>
        <v>0</v>
      </c>
      <c r="BH40" s="314">
        <f t="shared" si="13"/>
        <v>0</v>
      </c>
      <c r="BI40" s="178" t="s">
        <v>409</v>
      </c>
      <c r="BJ40" s="118"/>
      <c r="BK40" s="121"/>
      <c r="BL40" s="315">
        <f t="shared" si="14"/>
        <v>0</v>
      </c>
      <c r="BM40" s="316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1"/>
        <v/>
      </c>
      <c r="X41" s="113" t="str">
        <f t="shared" si="75"/>
        <v/>
      </c>
      <c r="Y41" s="242">
        <f>IFERROR(VLOOKUP($X41,HomeBroker!$A$2:$F$88,2,0),0)</f>
        <v>0</v>
      </c>
      <c r="Z41" s="242">
        <f>IFERROR(VLOOKUP($X41,HomeBroker!$A$2:$F$88,3,0),0)</f>
        <v>0</v>
      </c>
      <c r="AA41" s="243">
        <f>IFERROR(VLOOKUP($X41,HomeBroker!$A$2:$F$88,6,0),0)</f>
        <v>0</v>
      </c>
      <c r="AB41" s="242">
        <f>IFERROR(VLOOKUP($X41,HomeBroker!$A$2:$F$88,4,0),0)</f>
        <v>0</v>
      </c>
      <c r="AC41" s="242">
        <f>IFERROR(VLOOKUP($X41,HomeBroker!$A$2:$F$88,5,0),0)</f>
        <v>0</v>
      </c>
      <c r="AD41" s="311">
        <f>IFERROR(VLOOKUP($X41,HomeBroker!$A$2:$N$88,14,0),0)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IFERROR(VLOOKUP($AJ41,HomeBroker!$A$2:$F$88,2,0),0)</f>
        <v>0</v>
      </c>
      <c r="AL41" s="242">
        <f>IFERROR(VLOOKUP($AJ41,HomeBroker!$A$2:$F$88,3,0),0)</f>
        <v>0</v>
      </c>
      <c r="AM41" s="243">
        <f>IFERROR(VLOOKUP($AJ41,HomeBroker!$A$2:$F$88,6,0),0)</f>
        <v>0</v>
      </c>
      <c r="AN41" s="242">
        <f>IFERROR(VLOOKUP($AJ41,HomeBroker!$A$2:$F$88,4,0),0)</f>
        <v>0</v>
      </c>
      <c r="AO41" s="114">
        <f>IFERROR(VLOOKUP($AJ41,HomeBroker!$A$2:$F$88,5,0),0)</f>
        <v>0</v>
      </c>
      <c r="AP41" s="115">
        <f>IFERROR(VLOOKUP($AJ41,HomeBroker!$A$2:$N$88,14,0),0)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309">
        <f t="shared" si="10"/>
        <v>0</v>
      </c>
      <c r="BB41" s="310">
        <f t="shared" si="11"/>
        <v>0</v>
      </c>
      <c r="BC41" s="177" t="s">
        <v>408</v>
      </c>
      <c r="BD41" s="118"/>
      <c r="BE41" s="143"/>
      <c r="BF41" s="121"/>
      <c r="BG41" s="312">
        <f t="shared" si="12"/>
        <v>0</v>
      </c>
      <c r="BH41" s="314">
        <f t="shared" si="13"/>
        <v>0</v>
      </c>
      <c r="BI41" s="178" t="s">
        <v>409</v>
      </c>
      <c r="BJ41" s="118"/>
      <c r="BK41" s="121"/>
      <c r="BL41" s="315">
        <f t="shared" si="14"/>
        <v>0</v>
      </c>
      <c r="BM41" s="316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675" t="s">
        <v>454</v>
      </c>
      <c r="O42" s="673"/>
      <c r="P42" s="674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1"/>
        <v/>
      </c>
      <c r="X42" s="113" t="str">
        <f t="shared" si="75"/>
        <v/>
      </c>
      <c r="Y42" s="242">
        <f>IFERROR(VLOOKUP($X42,HomeBroker!$A$2:$F$88,2,0),0)</f>
        <v>0</v>
      </c>
      <c r="Z42" s="242">
        <f>IFERROR(VLOOKUP($X42,HomeBroker!$A$2:$F$88,3,0),0)</f>
        <v>0</v>
      </c>
      <c r="AA42" s="243">
        <f>IFERROR(VLOOKUP($X42,HomeBroker!$A$2:$F$88,6,0),0)</f>
        <v>0</v>
      </c>
      <c r="AB42" s="242">
        <f>IFERROR(VLOOKUP($X42,HomeBroker!$A$2:$F$88,4,0),0)</f>
        <v>0</v>
      </c>
      <c r="AC42" s="242">
        <f>IFERROR(VLOOKUP($X42,HomeBroker!$A$2:$F$88,5,0),0)</f>
        <v>0</v>
      </c>
      <c r="AD42" s="311">
        <f>IFERROR(VLOOKUP($X42,HomeBroker!$A$2:$N$88,14,0),0)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IFERROR(VLOOKUP($AJ42,HomeBroker!$A$2:$F$88,2,0),0)</f>
        <v>0</v>
      </c>
      <c r="AL42" s="242">
        <f>IFERROR(VLOOKUP($AJ42,HomeBroker!$A$2:$F$88,3,0),0)</f>
        <v>0</v>
      </c>
      <c r="AM42" s="243">
        <f>IFERROR(VLOOKUP($AJ42,HomeBroker!$A$2:$F$88,6,0),0)</f>
        <v>0</v>
      </c>
      <c r="AN42" s="242">
        <f>IFERROR(VLOOKUP($AJ42,HomeBroker!$A$2:$F$88,4,0),0)</f>
        <v>0</v>
      </c>
      <c r="AO42" s="114">
        <f>IFERROR(VLOOKUP($AJ42,HomeBroker!$A$2:$F$88,5,0),0)</f>
        <v>0</v>
      </c>
      <c r="AP42" s="115">
        <f>IFERROR(VLOOKUP($AJ42,HomeBroker!$A$2:$N$88,14,0),0)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309">
        <f t="shared" si="10"/>
        <v>0</v>
      </c>
      <c r="BB42" s="310">
        <f t="shared" si="11"/>
        <v>0</v>
      </c>
      <c r="BC42" s="177" t="s">
        <v>408</v>
      </c>
      <c r="BD42" s="118"/>
      <c r="BE42" s="143"/>
      <c r="BF42" s="121"/>
      <c r="BG42" s="312">
        <f t="shared" si="12"/>
        <v>0</v>
      </c>
      <c r="BH42" s="314">
        <f t="shared" si="13"/>
        <v>0</v>
      </c>
      <c r="BI42" s="178" t="s">
        <v>409</v>
      </c>
      <c r="BJ42" s="118"/>
      <c r="BK42" s="121"/>
      <c r="BL42" s="315">
        <f t="shared" si="14"/>
        <v>0</v>
      </c>
      <c r="BM42" s="316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569</v>
      </c>
      <c r="R43" s="62"/>
      <c r="S43" s="681" t="s">
        <v>409</v>
      </c>
      <c r="T43" s="682"/>
      <c r="U43" s="682"/>
      <c r="V43" s="682"/>
      <c r="W43" s="682"/>
      <c r="X43" s="682"/>
      <c r="Y43" s="682"/>
      <c r="Z43" s="682"/>
      <c r="AA43" s="682"/>
      <c r="AB43" s="682"/>
      <c r="AC43" s="682"/>
      <c r="AD43" s="683"/>
      <c r="AE43" s="687">
        <f>SUMIFS(BJ:BJ,BI:BI,S43)</f>
        <v>0</v>
      </c>
      <c r="AF43" s="687"/>
      <c r="AG43" s="687"/>
      <c r="AH43" s="687"/>
      <c r="AI43" s="687"/>
      <c r="AJ43" s="687"/>
      <c r="AK43" s="687"/>
      <c r="AL43" s="687"/>
      <c r="AM43" s="687"/>
      <c r="AN43" s="687"/>
      <c r="AO43" s="687"/>
      <c r="AP43" s="688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309">
        <f t="shared" si="10"/>
        <v>0</v>
      </c>
      <c r="BB43" s="310">
        <f t="shared" si="11"/>
        <v>0</v>
      </c>
      <c r="BC43" s="177" t="s">
        <v>408</v>
      </c>
      <c r="BD43" s="118"/>
      <c r="BE43" s="143"/>
      <c r="BF43" s="121"/>
      <c r="BG43" s="312">
        <f t="shared" si="12"/>
        <v>0</v>
      </c>
      <c r="BH43" s="314">
        <f t="shared" si="13"/>
        <v>0</v>
      </c>
      <c r="BI43" s="178" t="s">
        <v>409</v>
      </c>
      <c r="BJ43" s="118"/>
      <c r="BK43" s="121"/>
      <c r="BL43" s="315">
        <f t="shared" si="14"/>
        <v>0</v>
      </c>
      <c r="BM43" s="316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691" t="s">
        <v>458</v>
      </c>
      <c r="O44" s="673"/>
      <c r="P44" s="674"/>
      <c r="Q44" s="188"/>
      <c r="R44" s="62"/>
      <c r="S44" s="684"/>
      <c r="T44" s="685"/>
      <c r="U44" s="685"/>
      <c r="V44" s="685"/>
      <c r="W44" s="685"/>
      <c r="X44" s="685"/>
      <c r="Y44" s="685"/>
      <c r="Z44" s="685"/>
      <c r="AA44" s="685"/>
      <c r="AB44" s="685"/>
      <c r="AC44" s="685"/>
      <c r="AD44" s="686"/>
      <c r="AE44" s="689"/>
      <c r="AF44" s="689"/>
      <c r="AG44" s="689"/>
      <c r="AH44" s="689"/>
      <c r="AI44" s="689"/>
      <c r="AJ44" s="689"/>
      <c r="AK44" s="689"/>
      <c r="AL44" s="689"/>
      <c r="AM44" s="689"/>
      <c r="AN44" s="689"/>
      <c r="AO44" s="689"/>
      <c r="AP44" s="690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309">
        <f t="shared" si="10"/>
        <v>0</v>
      </c>
      <c r="BB44" s="310">
        <f t="shared" si="11"/>
        <v>0</v>
      </c>
      <c r="BC44" s="177" t="s">
        <v>408</v>
      </c>
      <c r="BD44" s="118"/>
      <c r="BE44" s="143"/>
      <c r="BF44" s="121"/>
      <c r="BG44" s="312">
        <f t="shared" si="12"/>
        <v>0</v>
      </c>
      <c r="BH44" s="314">
        <f t="shared" si="13"/>
        <v>0</v>
      </c>
      <c r="BI44" s="178" t="s">
        <v>409</v>
      </c>
      <c r="BJ44" s="118"/>
      <c r="BK44" s="121"/>
      <c r="BL44" s="315">
        <f t="shared" si="14"/>
        <v>0</v>
      </c>
      <c r="BM44" s="316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692" t="s">
        <v>459</v>
      </c>
      <c r="O45" s="673"/>
      <c r="P45" s="674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309">
        <f t="shared" si="10"/>
        <v>0</v>
      </c>
      <c r="BB45" s="310">
        <f t="shared" si="11"/>
        <v>0</v>
      </c>
      <c r="BC45" s="177" t="s">
        <v>408</v>
      </c>
      <c r="BD45" s="118"/>
      <c r="BE45" s="143"/>
      <c r="BF45" s="121"/>
      <c r="BG45" s="312">
        <f t="shared" si="12"/>
        <v>0</v>
      </c>
      <c r="BH45" s="314">
        <f t="shared" si="13"/>
        <v>0</v>
      </c>
      <c r="BI45" s="178" t="s">
        <v>409</v>
      </c>
      <c r="BJ45" s="118"/>
      <c r="BK45" s="121"/>
      <c r="BL45" s="315">
        <f t="shared" si="14"/>
        <v>0</v>
      </c>
      <c r="BM45" s="316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696" t="s">
        <v>460</v>
      </c>
      <c r="O46" s="673"/>
      <c r="P46" s="674"/>
      <c r="Q46" s="193">
        <f>Q48</f>
        <v>0.48000000000000004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309">
        <f t="shared" si="10"/>
        <v>0</v>
      </c>
      <c r="BB46" s="310">
        <f t="shared" si="11"/>
        <v>0</v>
      </c>
      <c r="BC46" s="177" t="s">
        <v>408</v>
      </c>
      <c r="BD46" s="118"/>
      <c r="BE46" s="143"/>
      <c r="BF46" s="121"/>
      <c r="BG46" s="312">
        <f t="shared" si="12"/>
        <v>0</v>
      </c>
      <c r="BH46" s="314">
        <f t="shared" si="13"/>
        <v>0</v>
      </c>
      <c r="BI46" s="178" t="s">
        <v>409</v>
      </c>
      <c r="BJ46" s="118"/>
      <c r="BK46" s="121"/>
      <c r="BL46" s="315">
        <f t="shared" si="14"/>
        <v>0</v>
      </c>
      <c r="BM46" s="316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700" t="s">
        <v>461</v>
      </c>
      <c r="O47" s="673"/>
      <c r="P47" s="674"/>
      <c r="Q47" s="193">
        <f>Q46</f>
        <v>0.48000000000000004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309">
        <f t="shared" si="10"/>
        <v>0</v>
      </c>
      <c r="BB47" s="310">
        <f t="shared" si="11"/>
        <v>0</v>
      </c>
      <c r="BC47" s="177" t="s">
        <v>408</v>
      </c>
      <c r="BD47" s="118"/>
      <c r="BE47" s="143"/>
      <c r="BF47" s="121"/>
      <c r="BG47" s="312">
        <f t="shared" si="12"/>
        <v>0</v>
      </c>
      <c r="BH47" s="314">
        <f t="shared" si="13"/>
        <v>0</v>
      </c>
      <c r="BI47" s="178" t="s">
        <v>409</v>
      </c>
      <c r="BJ47" s="118"/>
      <c r="BK47" s="121"/>
      <c r="BL47" s="315">
        <f t="shared" si="14"/>
        <v>0</v>
      </c>
      <c r="BM47" s="316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691" t="s">
        <v>462</v>
      </c>
      <c r="O48" s="673"/>
      <c r="P48" s="674"/>
      <c r="Q48" s="193">
        <f>HomeBroker!AE1*365</f>
        <v>0.48000000000000004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309">
        <f t="shared" si="10"/>
        <v>0</v>
      </c>
      <c r="BB48" s="310">
        <f t="shared" si="11"/>
        <v>0</v>
      </c>
      <c r="BC48" s="177" t="s">
        <v>408</v>
      </c>
      <c r="BD48" s="118"/>
      <c r="BE48" s="143"/>
      <c r="BF48" s="121"/>
      <c r="BG48" s="312">
        <f t="shared" si="12"/>
        <v>0</v>
      </c>
      <c r="BH48" s="314">
        <f t="shared" si="13"/>
        <v>0</v>
      </c>
      <c r="BI48" s="178" t="s">
        <v>409</v>
      </c>
      <c r="BJ48" s="118"/>
      <c r="BK48" s="121"/>
      <c r="BL48" s="315">
        <f t="shared" si="14"/>
        <v>0</v>
      </c>
      <c r="BM48" s="316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701" t="s">
        <v>463</v>
      </c>
      <c r="O49" s="673"/>
      <c r="P49" s="674"/>
      <c r="Q49" s="194">
        <v>45280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309">
        <f t="shared" si="10"/>
        <v>0</v>
      </c>
      <c r="BB49" s="310">
        <f t="shared" si="11"/>
        <v>0</v>
      </c>
      <c r="BC49" s="177" t="s">
        <v>408</v>
      </c>
      <c r="BD49" s="118"/>
      <c r="BE49" s="143"/>
      <c r="BF49" s="121"/>
      <c r="BG49" s="312">
        <f t="shared" si="12"/>
        <v>0</v>
      </c>
      <c r="BH49" s="314">
        <f t="shared" si="13"/>
        <v>0</v>
      </c>
      <c r="BI49" s="178" t="s">
        <v>409</v>
      </c>
      <c r="BJ49" s="118"/>
      <c r="BK49" s="121"/>
      <c r="BL49" s="315">
        <f t="shared" si="14"/>
        <v>0</v>
      </c>
      <c r="BM49" s="316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701" t="s">
        <v>464</v>
      </c>
      <c r="O50" s="673"/>
      <c r="P50" s="674"/>
      <c r="Q50" s="195">
        <f ca="1">Q49-TODAY()-Q44</f>
        <v>11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309">
        <f t="shared" si="10"/>
        <v>0</v>
      </c>
      <c r="BB50" s="310">
        <f t="shared" si="11"/>
        <v>0</v>
      </c>
      <c r="BC50" s="177" t="s">
        <v>408</v>
      </c>
      <c r="BD50" s="118"/>
      <c r="BE50" s="143"/>
      <c r="BF50" s="121"/>
      <c r="BG50" s="312">
        <f t="shared" si="12"/>
        <v>0</v>
      </c>
      <c r="BH50" s="314">
        <f t="shared" si="13"/>
        <v>0</v>
      </c>
      <c r="BI50" s="178" t="s">
        <v>409</v>
      </c>
      <c r="BJ50" s="118"/>
      <c r="BK50" s="121"/>
      <c r="BL50" s="315">
        <f t="shared" si="14"/>
        <v>0</v>
      </c>
      <c r="BM50" s="316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701" t="s">
        <v>465</v>
      </c>
      <c r="O51" s="673"/>
      <c r="P51" s="674"/>
      <c r="Q51" s="196">
        <f ca="1">Q50/365</f>
        <v>3.0136986301369864E-2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309">
        <f t="shared" si="10"/>
        <v>0</v>
      </c>
      <c r="BB51" s="310">
        <f t="shared" si="11"/>
        <v>0</v>
      </c>
      <c r="BC51" s="177" t="s">
        <v>408</v>
      </c>
      <c r="BD51" s="118"/>
      <c r="BE51" s="143"/>
      <c r="BF51" s="121"/>
      <c r="BG51" s="312">
        <f t="shared" si="12"/>
        <v>0</v>
      </c>
      <c r="BH51" s="314">
        <f t="shared" si="13"/>
        <v>0</v>
      </c>
      <c r="BI51" s="178" t="s">
        <v>409</v>
      </c>
      <c r="BJ51" s="118"/>
      <c r="BK51" s="121"/>
      <c r="BL51" s="315">
        <f t="shared" si="14"/>
        <v>0</v>
      </c>
      <c r="BM51" s="316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675" t="s">
        <v>0</v>
      </c>
      <c r="O52" s="673"/>
      <c r="P52" s="674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309">
        <f t="shared" si="10"/>
        <v>0</v>
      </c>
      <c r="BB52" s="310">
        <f t="shared" si="11"/>
        <v>0</v>
      </c>
      <c r="BC52" s="177" t="s">
        <v>408</v>
      </c>
      <c r="BD52" s="118"/>
      <c r="BE52" s="143"/>
      <c r="BF52" s="121"/>
      <c r="BG52" s="312">
        <f t="shared" si="12"/>
        <v>0</v>
      </c>
      <c r="BH52" s="314">
        <f t="shared" si="13"/>
        <v>0</v>
      </c>
      <c r="BI52" s="178" t="s">
        <v>409</v>
      </c>
      <c r="BJ52" s="118"/>
      <c r="BK52" s="121"/>
      <c r="BL52" s="315">
        <f t="shared" si="14"/>
        <v>0</v>
      </c>
      <c r="BM52" s="316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693" t="s">
        <v>1</v>
      </c>
      <c r="O53" s="694"/>
      <c r="P53" s="695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309">
        <f t="shared" si="10"/>
        <v>0</v>
      </c>
      <c r="BB53" s="310">
        <f t="shared" si="11"/>
        <v>0</v>
      </c>
      <c r="BC53" s="177" t="s">
        <v>408</v>
      </c>
      <c r="BD53" s="118"/>
      <c r="BE53" s="143"/>
      <c r="BF53" s="121"/>
      <c r="BG53" s="312">
        <f t="shared" si="12"/>
        <v>0</v>
      </c>
      <c r="BH53" s="314">
        <f t="shared" si="13"/>
        <v>0</v>
      </c>
      <c r="BI53" s="178" t="s">
        <v>409</v>
      </c>
      <c r="BJ53" s="118"/>
      <c r="BK53" s="121"/>
      <c r="BL53" s="315">
        <f t="shared" si="14"/>
        <v>0</v>
      </c>
      <c r="BM53" s="316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309">
        <f t="shared" si="10"/>
        <v>0</v>
      </c>
      <c r="BB54" s="310">
        <f t="shared" si="11"/>
        <v>0</v>
      </c>
      <c r="BC54" s="177" t="s">
        <v>408</v>
      </c>
      <c r="BD54" s="118"/>
      <c r="BE54" s="143"/>
      <c r="BF54" s="121"/>
      <c r="BG54" s="312">
        <f t="shared" si="12"/>
        <v>0</v>
      </c>
      <c r="BH54" s="314">
        <f t="shared" si="13"/>
        <v>0</v>
      </c>
      <c r="BI54" s="178" t="s">
        <v>409</v>
      </c>
      <c r="BJ54" s="118"/>
      <c r="BK54" s="121"/>
      <c r="BL54" s="315">
        <f t="shared" si="14"/>
        <v>0</v>
      </c>
      <c r="BM54" s="316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309">
        <f t="shared" si="10"/>
        <v>0</v>
      </c>
      <c r="BB55" s="310">
        <f t="shared" si="11"/>
        <v>0</v>
      </c>
      <c r="BC55" s="177" t="s">
        <v>408</v>
      </c>
      <c r="BD55" s="118"/>
      <c r="BE55" s="143"/>
      <c r="BF55" s="121"/>
      <c r="BG55" s="312">
        <f t="shared" si="12"/>
        <v>0</v>
      </c>
      <c r="BH55" s="314">
        <f t="shared" si="13"/>
        <v>0</v>
      </c>
      <c r="BI55" s="178" t="s">
        <v>409</v>
      </c>
      <c r="BJ55" s="118"/>
      <c r="BK55" s="121"/>
      <c r="BL55" s="315">
        <f t="shared" si="14"/>
        <v>0</v>
      </c>
      <c r="BM55" s="316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309">
        <f t="shared" si="10"/>
        <v>0</v>
      </c>
      <c r="BB56" s="310">
        <f t="shared" si="11"/>
        <v>0</v>
      </c>
      <c r="BC56" s="177" t="s">
        <v>408</v>
      </c>
      <c r="BD56" s="118"/>
      <c r="BE56" s="143"/>
      <c r="BF56" s="121"/>
      <c r="BG56" s="312">
        <f t="shared" si="12"/>
        <v>0</v>
      </c>
      <c r="BH56" s="314">
        <f t="shared" si="13"/>
        <v>0</v>
      </c>
      <c r="BI56" s="178" t="s">
        <v>409</v>
      </c>
      <c r="BJ56" s="118"/>
      <c r="BK56" s="121"/>
      <c r="BL56" s="315">
        <f t="shared" si="14"/>
        <v>0</v>
      </c>
      <c r="BM56" s="316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309">
        <f t="shared" si="10"/>
        <v>0</v>
      </c>
      <c r="BB57" s="310">
        <f t="shared" si="11"/>
        <v>0</v>
      </c>
      <c r="BC57" s="177" t="s">
        <v>408</v>
      </c>
      <c r="BD57" s="118"/>
      <c r="BE57" s="143"/>
      <c r="BF57" s="121"/>
      <c r="BG57" s="312">
        <f t="shared" si="12"/>
        <v>0</v>
      </c>
      <c r="BH57" s="314">
        <f t="shared" si="13"/>
        <v>0</v>
      </c>
      <c r="BI57" s="178" t="s">
        <v>409</v>
      </c>
      <c r="BJ57" s="118"/>
      <c r="BK57" s="121"/>
      <c r="BL57" s="315">
        <f t="shared" si="14"/>
        <v>0</v>
      </c>
      <c r="BM57" s="316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309">
        <f t="shared" si="10"/>
        <v>0</v>
      </c>
      <c r="BB58" s="310">
        <f t="shared" si="11"/>
        <v>0</v>
      </c>
      <c r="BC58" s="177" t="s">
        <v>408</v>
      </c>
      <c r="BD58" s="118"/>
      <c r="BE58" s="143"/>
      <c r="BF58" s="121"/>
      <c r="BG58" s="312">
        <f t="shared" si="12"/>
        <v>0</v>
      </c>
      <c r="BH58" s="314">
        <f t="shared" si="13"/>
        <v>0</v>
      </c>
      <c r="BI58" s="178" t="s">
        <v>409</v>
      </c>
      <c r="BJ58" s="118"/>
      <c r="BK58" s="121"/>
      <c r="BL58" s="315">
        <f t="shared" si="14"/>
        <v>0</v>
      </c>
      <c r="BM58" s="316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309">
        <f t="shared" si="10"/>
        <v>0</v>
      </c>
      <c r="BB59" s="310">
        <f t="shared" si="11"/>
        <v>0</v>
      </c>
      <c r="BC59" s="177" t="s">
        <v>408</v>
      </c>
      <c r="BD59" s="118"/>
      <c r="BE59" s="143"/>
      <c r="BF59" s="121"/>
      <c r="BG59" s="312">
        <f t="shared" si="12"/>
        <v>0</v>
      </c>
      <c r="BH59" s="314">
        <f t="shared" si="13"/>
        <v>0</v>
      </c>
      <c r="BI59" s="178" t="s">
        <v>409</v>
      </c>
      <c r="BJ59" s="118"/>
      <c r="BK59" s="121"/>
      <c r="BL59" s="315">
        <f t="shared" si="14"/>
        <v>0</v>
      </c>
      <c r="BM59" s="316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309">
        <f t="shared" si="10"/>
        <v>0</v>
      </c>
      <c r="BB60" s="310">
        <f t="shared" si="11"/>
        <v>0</v>
      </c>
      <c r="BC60" s="177" t="s">
        <v>408</v>
      </c>
      <c r="BD60" s="118"/>
      <c r="BE60" s="143"/>
      <c r="BF60" s="121"/>
      <c r="BG60" s="312">
        <f t="shared" si="12"/>
        <v>0</v>
      </c>
      <c r="BH60" s="314">
        <f t="shared" si="13"/>
        <v>0</v>
      </c>
      <c r="BI60" s="178" t="s">
        <v>409</v>
      </c>
      <c r="BJ60" s="118"/>
      <c r="BK60" s="121"/>
      <c r="BL60" s="315">
        <f t="shared" si="14"/>
        <v>0</v>
      </c>
      <c r="BM60" s="316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309">
        <f t="shared" si="10"/>
        <v>0</v>
      </c>
      <c r="BB61" s="310">
        <f t="shared" si="11"/>
        <v>0</v>
      </c>
      <c r="BC61" s="177" t="s">
        <v>408</v>
      </c>
      <c r="BD61" s="118"/>
      <c r="BE61" s="143"/>
      <c r="BF61" s="121"/>
      <c r="BG61" s="312">
        <f t="shared" si="12"/>
        <v>0</v>
      </c>
      <c r="BH61" s="314">
        <f t="shared" si="13"/>
        <v>0</v>
      </c>
      <c r="BI61" s="178" t="s">
        <v>409</v>
      </c>
      <c r="BJ61" s="118"/>
      <c r="BK61" s="121"/>
      <c r="BL61" s="315">
        <f t="shared" si="14"/>
        <v>0</v>
      </c>
      <c r="BM61" s="316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309">
        <f t="shared" si="10"/>
        <v>0</v>
      </c>
      <c r="BB62" s="310">
        <f t="shared" si="11"/>
        <v>0</v>
      </c>
      <c r="BC62" s="177" t="s">
        <v>408</v>
      </c>
      <c r="BD62" s="118"/>
      <c r="BE62" s="143"/>
      <c r="BF62" s="121"/>
      <c r="BG62" s="312">
        <f t="shared" si="12"/>
        <v>0</v>
      </c>
      <c r="BH62" s="314">
        <f t="shared" si="13"/>
        <v>0</v>
      </c>
      <c r="BI62" s="178" t="s">
        <v>409</v>
      </c>
      <c r="BJ62" s="118"/>
      <c r="BK62" s="121"/>
      <c r="BL62" s="315">
        <f t="shared" si="14"/>
        <v>0</v>
      </c>
      <c r="BM62" s="316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309">
        <f t="shared" si="10"/>
        <v>0</v>
      </c>
      <c r="BB63" s="310">
        <f t="shared" si="11"/>
        <v>0</v>
      </c>
      <c r="BC63" s="177" t="s">
        <v>408</v>
      </c>
      <c r="BD63" s="118"/>
      <c r="BE63" s="143"/>
      <c r="BF63" s="121"/>
      <c r="BG63" s="312">
        <f t="shared" si="12"/>
        <v>0</v>
      </c>
      <c r="BH63" s="314">
        <f t="shared" si="13"/>
        <v>0</v>
      </c>
      <c r="BI63" s="178" t="s">
        <v>409</v>
      </c>
      <c r="BJ63" s="118"/>
      <c r="BK63" s="121"/>
      <c r="BL63" s="315">
        <f t="shared" si="14"/>
        <v>0</v>
      </c>
      <c r="BM63" s="316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309">
        <f t="shared" si="10"/>
        <v>0</v>
      </c>
      <c r="BB64" s="310">
        <f t="shared" si="11"/>
        <v>0</v>
      </c>
      <c r="BC64" s="177" t="s">
        <v>408</v>
      </c>
      <c r="BD64" s="118"/>
      <c r="BE64" s="143"/>
      <c r="BF64" s="121"/>
      <c r="BG64" s="312">
        <f t="shared" si="12"/>
        <v>0</v>
      </c>
      <c r="BH64" s="314">
        <f t="shared" si="13"/>
        <v>0</v>
      </c>
      <c r="BI64" s="178" t="s">
        <v>409</v>
      </c>
      <c r="BJ64" s="118"/>
      <c r="BK64" s="121"/>
      <c r="BL64" s="315">
        <f t="shared" si="14"/>
        <v>0</v>
      </c>
      <c r="BM64" s="316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309">
        <f t="shared" si="10"/>
        <v>0</v>
      </c>
      <c r="BB65" s="310">
        <f t="shared" si="11"/>
        <v>0</v>
      </c>
      <c r="BC65" s="177" t="s">
        <v>408</v>
      </c>
      <c r="BD65" s="118"/>
      <c r="BE65" s="143"/>
      <c r="BF65" s="121"/>
      <c r="BG65" s="312">
        <f t="shared" si="12"/>
        <v>0</v>
      </c>
      <c r="BH65" s="314">
        <f t="shared" si="13"/>
        <v>0</v>
      </c>
      <c r="BI65" s="178" t="s">
        <v>409</v>
      </c>
      <c r="BJ65" s="118"/>
      <c r="BK65" s="121"/>
      <c r="BL65" s="315">
        <f t="shared" si="14"/>
        <v>0</v>
      </c>
      <c r="BM65" s="316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309">
        <f t="shared" si="10"/>
        <v>0</v>
      </c>
      <c r="BB66" s="310">
        <f t="shared" si="11"/>
        <v>0</v>
      </c>
      <c r="BC66" s="177" t="s">
        <v>408</v>
      </c>
      <c r="BD66" s="118"/>
      <c r="BE66" s="143"/>
      <c r="BF66" s="121"/>
      <c r="BG66" s="312">
        <f t="shared" si="12"/>
        <v>0</v>
      </c>
      <c r="BH66" s="314">
        <f t="shared" si="13"/>
        <v>0</v>
      </c>
      <c r="BI66" s="178" t="s">
        <v>409</v>
      </c>
      <c r="BJ66" s="118"/>
      <c r="BK66" s="121"/>
      <c r="BL66" s="315">
        <f t="shared" si="14"/>
        <v>0</v>
      </c>
      <c r="BM66" s="316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309">
        <f t="shared" si="10"/>
        <v>0</v>
      </c>
      <c r="BB67" s="310">
        <f t="shared" si="11"/>
        <v>0</v>
      </c>
      <c r="BC67" s="177" t="s">
        <v>408</v>
      </c>
      <c r="BD67" s="118"/>
      <c r="BE67" s="143"/>
      <c r="BF67" s="121"/>
      <c r="BG67" s="312">
        <f t="shared" si="12"/>
        <v>0</v>
      </c>
      <c r="BH67" s="314">
        <f t="shared" si="13"/>
        <v>0</v>
      </c>
      <c r="BI67" s="178" t="s">
        <v>409</v>
      </c>
      <c r="BJ67" s="118"/>
      <c r="BK67" s="121"/>
      <c r="BL67" s="315">
        <f t="shared" si="14"/>
        <v>0</v>
      </c>
      <c r="BM67" s="316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309">
        <f t="shared" si="10"/>
        <v>0</v>
      </c>
      <c r="BB68" s="310">
        <f t="shared" si="11"/>
        <v>0</v>
      </c>
      <c r="BC68" s="177" t="s">
        <v>408</v>
      </c>
      <c r="BD68" s="118"/>
      <c r="BE68" s="143"/>
      <c r="BF68" s="121"/>
      <c r="BG68" s="312">
        <f t="shared" si="12"/>
        <v>0</v>
      </c>
      <c r="BH68" s="314">
        <f t="shared" si="13"/>
        <v>0</v>
      </c>
      <c r="BI68" s="178" t="s">
        <v>409</v>
      </c>
      <c r="BJ68" s="118"/>
      <c r="BK68" s="121"/>
      <c r="BL68" s="315">
        <f t="shared" si="14"/>
        <v>0</v>
      </c>
      <c r="BM68" s="316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309">
        <f t="shared" si="10"/>
        <v>0</v>
      </c>
      <c r="BB69" s="310">
        <f t="shared" si="11"/>
        <v>0</v>
      </c>
      <c r="BC69" s="177" t="s">
        <v>408</v>
      </c>
      <c r="BD69" s="118"/>
      <c r="BE69" s="143"/>
      <c r="BF69" s="121"/>
      <c r="BG69" s="312">
        <f t="shared" si="12"/>
        <v>0</v>
      </c>
      <c r="BH69" s="314">
        <f t="shared" si="13"/>
        <v>0</v>
      </c>
      <c r="BI69" s="178" t="s">
        <v>409</v>
      </c>
      <c r="BJ69" s="118"/>
      <c r="BK69" s="121"/>
      <c r="BL69" s="315">
        <f t="shared" si="14"/>
        <v>0</v>
      </c>
      <c r="BM69" s="316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309">
        <f t="shared" si="10"/>
        <v>0</v>
      </c>
      <c r="BB70" s="310">
        <f t="shared" si="11"/>
        <v>0</v>
      </c>
      <c r="BC70" s="177" t="s">
        <v>408</v>
      </c>
      <c r="BD70" s="118"/>
      <c r="BE70" s="143"/>
      <c r="BF70" s="121"/>
      <c r="BG70" s="312">
        <f t="shared" si="12"/>
        <v>0</v>
      </c>
      <c r="BH70" s="314">
        <f t="shared" si="13"/>
        <v>0</v>
      </c>
      <c r="BI70" s="178" t="s">
        <v>409</v>
      </c>
      <c r="BJ70" s="118"/>
      <c r="BK70" s="121"/>
      <c r="BL70" s="315">
        <f t="shared" si="14"/>
        <v>0</v>
      </c>
      <c r="BM70" s="316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309">
        <f t="shared" si="10"/>
        <v>0</v>
      </c>
      <c r="BB71" s="310">
        <f t="shared" si="11"/>
        <v>0</v>
      </c>
      <c r="BC71" s="177" t="s">
        <v>408</v>
      </c>
      <c r="BD71" s="118"/>
      <c r="BE71" s="143"/>
      <c r="BF71" s="121"/>
      <c r="BG71" s="312">
        <f t="shared" si="12"/>
        <v>0</v>
      </c>
      <c r="BH71" s="314">
        <f t="shared" si="13"/>
        <v>0</v>
      </c>
      <c r="BI71" s="178" t="s">
        <v>409</v>
      </c>
      <c r="BJ71" s="118"/>
      <c r="BK71" s="121"/>
      <c r="BL71" s="315">
        <f t="shared" si="14"/>
        <v>0</v>
      </c>
      <c r="BM71" s="316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309">
        <f t="shared" si="10"/>
        <v>0</v>
      </c>
      <c r="BB72" s="310">
        <f t="shared" si="11"/>
        <v>0</v>
      </c>
      <c r="BC72" s="177" t="s">
        <v>408</v>
      </c>
      <c r="BD72" s="118"/>
      <c r="BE72" s="143"/>
      <c r="BF72" s="121"/>
      <c r="BG72" s="312">
        <f t="shared" si="12"/>
        <v>0</v>
      </c>
      <c r="BH72" s="314">
        <f t="shared" si="13"/>
        <v>0</v>
      </c>
      <c r="BI72" s="178" t="s">
        <v>409</v>
      </c>
      <c r="BJ72" s="118"/>
      <c r="BK72" s="121"/>
      <c r="BL72" s="315">
        <f t="shared" si="14"/>
        <v>0</v>
      </c>
      <c r="BM72" s="316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697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97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309">
        <f t="shared" si="10"/>
        <v>0</v>
      </c>
      <c r="BB73" s="310">
        <f t="shared" si="11"/>
        <v>0</v>
      </c>
      <c r="BC73" s="177" t="s">
        <v>408</v>
      </c>
      <c r="BD73" s="118"/>
      <c r="BE73" s="143"/>
      <c r="BF73" s="121"/>
      <c r="BG73" s="312">
        <f t="shared" si="12"/>
        <v>0</v>
      </c>
      <c r="BH73" s="314">
        <f t="shared" si="13"/>
        <v>0</v>
      </c>
      <c r="BI73" s="178" t="s">
        <v>409</v>
      </c>
      <c r="BJ73" s="118"/>
      <c r="BK73" s="121"/>
      <c r="BL73" s="315">
        <f t="shared" si="14"/>
        <v>0</v>
      </c>
      <c r="BM73" s="316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698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97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309">
        <f t="shared" si="10"/>
        <v>0</v>
      </c>
      <c r="BB74" s="310">
        <f t="shared" si="11"/>
        <v>0</v>
      </c>
      <c r="BC74" s="177" t="s">
        <v>408</v>
      </c>
      <c r="BD74" s="118"/>
      <c r="BE74" s="143"/>
      <c r="BF74" s="121"/>
      <c r="BG74" s="312">
        <f t="shared" si="12"/>
        <v>0</v>
      </c>
      <c r="BH74" s="314">
        <f t="shared" si="13"/>
        <v>0</v>
      </c>
      <c r="BI74" s="178" t="s">
        <v>409</v>
      </c>
      <c r="BJ74" s="118"/>
      <c r="BK74" s="121"/>
      <c r="BL74" s="315">
        <f t="shared" si="14"/>
        <v>0</v>
      </c>
      <c r="BM74" s="316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699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98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309">
        <f t="shared" si="10"/>
        <v>0</v>
      </c>
      <c r="BB75" s="310">
        <f t="shared" si="11"/>
        <v>0</v>
      </c>
      <c r="BC75" s="177" t="s">
        <v>408</v>
      </c>
      <c r="BD75" s="118"/>
      <c r="BE75" s="143"/>
      <c r="BF75" s="121"/>
      <c r="BG75" s="312">
        <f t="shared" si="12"/>
        <v>0</v>
      </c>
      <c r="BH75" s="314">
        <f t="shared" si="13"/>
        <v>0</v>
      </c>
      <c r="BI75" s="178" t="s">
        <v>409</v>
      </c>
      <c r="BJ75" s="118"/>
      <c r="BK75" s="121"/>
      <c r="BL75" s="315">
        <f t="shared" si="14"/>
        <v>0</v>
      </c>
      <c r="BM75" s="316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99">
        <f>IFERROR(VLOOKUP("GGAL - 48hs",HomeBroker!$A$2:$F$88,6,0),0)</f>
        <v>0</v>
      </c>
      <c r="C76" s="228"/>
      <c r="D76" s="229" t="s">
        <v>467</v>
      </c>
      <c r="E76" s="230">
        <f>SUM(E3:E75)</f>
        <v>1400</v>
      </c>
      <c r="F76" s="231">
        <f>SUM(F3:F75)</f>
        <v>1136.8976000000002</v>
      </c>
      <c r="G76" s="232"/>
      <c r="H76" s="233"/>
      <c r="I76" s="234">
        <f>SUM(I3:I75)</f>
        <v>1136.8976000000002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309">
        <f t="shared" si="10"/>
        <v>0</v>
      </c>
      <c r="BB76" s="310">
        <f t="shared" si="11"/>
        <v>0</v>
      </c>
      <c r="BC76" s="177" t="s">
        <v>408</v>
      </c>
      <c r="BD76" s="118"/>
      <c r="BE76" s="143"/>
      <c r="BF76" s="121"/>
      <c r="BG76" s="312">
        <f t="shared" si="12"/>
        <v>0</v>
      </c>
      <c r="BH76" s="314">
        <f t="shared" si="13"/>
        <v>0</v>
      </c>
      <c r="BI76" s="178" t="s">
        <v>409</v>
      </c>
      <c r="BJ76" s="118"/>
      <c r="BK76" s="121"/>
      <c r="BL76" s="315">
        <f t="shared" si="14"/>
        <v>0</v>
      </c>
      <c r="BM76" s="316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42 U3:U42">
    <cfRule type="expression" dxfId="471" priority="355">
      <formula>T3&gt;0</formula>
    </cfRule>
  </conditionalFormatting>
  <conditionalFormatting sqref="AG3:AG42 U3:U42">
    <cfRule type="expression" dxfId="470" priority="356">
      <formula>T3&lt;0</formula>
    </cfRule>
  </conditionalFormatting>
  <conditionalFormatting sqref="P3:Q34">
    <cfRule type="cellIs" dxfId="469" priority="357" operator="greaterThan">
      <formula>0</formula>
    </cfRule>
  </conditionalFormatting>
  <conditionalFormatting sqref="P3:Q34">
    <cfRule type="cellIs" dxfId="468" priority="358" operator="lessThan">
      <formula>0</formula>
    </cfRule>
  </conditionalFormatting>
  <conditionalFormatting sqref="B73:B74 B17:B18 B20:B30 AF3:AF17">
    <cfRule type="cellIs" dxfId="467" priority="359" operator="greaterThan">
      <formula>0</formula>
    </cfRule>
  </conditionalFormatting>
  <conditionalFormatting sqref="B73:B74 B17:B18 B20:B30 AF3:AF17">
    <cfRule type="cellIs" dxfId="466" priority="360" operator="lessThan">
      <formula>0</formula>
    </cfRule>
  </conditionalFormatting>
  <conditionalFormatting sqref="BD61:BD76">
    <cfRule type="cellIs" dxfId="465" priority="361" operator="greaterThan">
      <formula>0</formula>
    </cfRule>
  </conditionalFormatting>
  <conditionalFormatting sqref="BD61:BD76">
    <cfRule type="cellIs" dxfId="464" priority="362" operator="lessThan">
      <formula>0</formula>
    </cfRule>
  </conditionalFormatting>
  <conditionalFormatting sqref="BD6:BD8">
    <cfRule type="cellIs" dxfId="463" priority="363" operator="greaterThan">
      <formula>0</formula>
    </cfRule>
  </conditionalFormatting>
  <conditionalFormatting sqref="BD6:BD8">
    <cfRule type="cellIs" dxfId="462" priority="364" operator="lessThan">
      <formula>0</formula>
    </cfRule>
  </conditionalFormatting>
  <conditionalFormatting sqref="B43 B17:B18 B41 B20:B30 T3:T42 AF3:AF42">
    <cfRule type="cellIs" dxfId="461" priority="365" operator="greaterThan">
      <formula>0</formula>
    </cfRule>
  </conditionalFormatting>
  <conditionalFormatting sqref="B43 B17:B18 B41 B20:B30 T3:T42 AF3:AF42">
    <cfRule type="cellIs" dxfId="460" priority="366" operator="lessThan">
      <formula>0</formula>
    </cfRule>
  </conditionalFormatting>
  <conditionalFormatting sqref="B30">
    <cfRule type="cellIs" dxfId="459" priority="367" operator="greaterThan">
      <formula>0</formula>
    </cfRule>
  </conditionalFormatting>
  <conditionalFormatting sqref="B30">
    <cfRule type="cellIs" dxfId="458" priority="368" operator="lessThan">
      <formula>0</formula>
    </cfRule>
  </conditionalFormatting>
  <conditionalFormatting sqref="B75">
    <cfRule type="cellIs" dxfId="457" priority="369" operator="greaterThan">
      <formula>0</formula>
    </cfRule>
  </conditionalFormatting>
  <conditionalFormatting sqref="B75">
    <cfRule type="cellIs" dxfId="456" priority="370" operator="lessThan">
      <formula>0</formula>
    </cfRule>
  </conditionalFormatting>
  <conditionalFormatting sqref="BD9">
    <cfRule type="cellIs" dxfId="455" priority="371" operator="greaterThan">
      <formula>0</formula>
    </cfRule>
  </conditionalFormatting>
  <conditionalFormatting sqref="BD9">
    <cfRule type="cellIs" dxfId="454" priority="372" operator="lessThan">
      <formula>0</formula>
    </cfRule>
  </conditionalFormatting>
  <conditionalFormatting sqref="AX14:AX16">
    <cfRule type="cellIs" dxfId="453" priority="373" operator="greaterThan">
      <formula>0</formula>
    </cfRule>
  </conditionalFormatting>
  <conditionalFormatting sqref="AX14:AX16">
    <cfRule type="cellIs" dxfId="452" priority="374" operator="lessThan">
      <formula>0</formula>
    </cfRule>
  </conditionalFormatting>
  <conditionalFormatting sqref="AX28">
    <cfRule type="cellIs" dxfId="451" priority="375" operator="greaterThan">
      <formula>0</formula>
    </cfRule>
  </conditionalFormatting>
  <conditionalFormatting sqref="AX28">
    <cfRule type="cellIs" dxfId="450" priority="376" operator="lessThan">
      <formula>0</formula>
    </cfRule>
  </conditionalFormatting>
  <conditionalFormatting sqref="BD27">
    <cfRule type="cellIs" dxfId="449" priority="377" operator="greaterThan">
      <formula>0</formula>
    </cfRule>
  </conditionalFormatting>
  <conditionalFormatting sqref="BD27">
    <cfRule type="cellIs" dxfId="448" priority="378" operator="lessThan">
      <formula>0</formula>
    </cfRule>
  </conditionalFormatting>
  <conditionalFormatting sqref="BD22">
    <cfRule type="cellIs" dxfId="447" priority="379" operator="greaterThan">
      <formula>0</formula>
    </cfRule>
  </conditionalFormatting>
  <conditionalFormatting sqref="BD22">
    <cfRule type="cellIs" dxfId="446" priority="380" operator="lessThan">
      <formula>0</formula>
    </cfRule>
  </conditionalFormatting>
  <conditionalFormatting sqref="AX16:AX42">
    <cfRule type="cellIs" dxfId="445" priority="381" operator="greaterThan">
      <formula>0</formula>
    </cfRule>
  </conditionalFormatting>
  <conditionalFormatting sqref="AX16:AX42">
    <cfRule type="cellIs" dxfId="444" priority="382" operator="lessThan">
      <formula>0</formula>
    </cfRule>
  </conditionalFormatting>
  <conditionalFormatting sqref="AX24:AX27">
    <cfRule type="cellIs" dxfId="443" priority="383" operator="greaterThan">
      <formula>0</formula>
    </cfRule>
  </conditionalFormatting>
  <conditionalFormatting sqref="AX24:AX27">
    <cfRule type="cellIs" dxfId="442" priority="384" operator="lessThan">
      <formula>0</formula>
    </cfRule>
  </conditionalFormatting>
  <conditionalFormatting sqref="BD10:BD11 BD16:BD18 BD20:BD42">
    <cfRule type="cellIs" dxfId="441" priority="385" operator="greaterThan">
      <formula>0</formula>
    </cfRule>
  </conditionalFormatting>
  <conditionalFormatting sqref="BD10:BD11 BD16:BD18 BD20:BD42">
    <cfRule type="cellIs" dxfId="440" priority="386" operator="lessThan">
      <formula>0</formula>
    </cfRule>
  </conditionalFormatting>
  <conditionalFormatting sqref="BD12:BD15">
    <cfRule type="cellIs" dxfId="439" priority="387" operator="greaterThan">
      <formula>0</formula>
    </cfRule>
  </conditionalFormatting>
  <conditionalFormatting sqref="BD12:BD15">
    <cfRule type="cellIs" dxfId="438" priority="388" operator="lessThan">
      <formula>0</formula>
    </cfRule>
  </conditionalFormatting>
  <conditionalFormatting sqref="BD19">
    <cfRule type="cellIs" dxfId="437" priority="389" operator="greaterThan">
      <formula>0</formula>
    </cfRule>
  </conditionalFormatting>
  <conditionalFormatting sqref="BD19">
    <cfRule type="cellIs" dxfId="436" priority="390" operator="lessThan">
      <formula>0</formula>
    </cfRule>
  </conditionalFormatting>
  <conditionalFormatting sqref="AX29:AX36">
    <cfRule type="cellIs" dxfId="435" priority="391" operator="greaterThan">
      <formula>0</formula>
    </cfRule>
  </conditionalFormatting>
  <conditionalFormatting sqref="AX29:AX36">
    <cfRule type="cellIs" dxfId="434" priority="392" operator="lessThan">
      <formula>0</formula>
    </cfRule>
  </conditionalFormatting>
  <conditionalFormatting sqref="BD23:BD24">
    <cfRule type="cellIs" dxfId="433" priority="393" operator="greaterThan">
      <formula>0</formula>
    </cfRule>
  </conditionalFormatting>
  <conditionalFormatting sqref="BD23:BD24">
    <cfRule type="cellIs" dxfId="432" priority="394" operator="lessThan">
      <formula>0</formula>
    </cfRule>
  </conditionalFormatting>
  <conditionalFormatting sqref="BD25:BD26">
    <cfRule type="cellIs" dxfId="431" priority="395" operator="greaterThan">
      <formula>0</formula>
    </cfRule>
  </conditionalFormatting>
  <conditionalFormatting sqref="BD25:BD26">
    <cfRule type="cellIs" dxfId="430" priority="396" operator="lessThan">
      <formula>0</formula>
    </cfRule>
  </conditionalFormatting>
  <conditionalFormatting sqref="AX61:AX76">
    <cfRule type="cellIs" dxfId="429" priority="397" operator="greaterThan">
      <formula>0</formula>
    </cfRule>
  </conditionalFormatting>
  <conditionalFormatting sqref="AX61:AX76">
    <cfRule type="cellIs" dxfId="428" priority="398" operator="lessThan">
      <formula>0</formula>
    </cfRule>
  </conditionalFormatting>
  <conditionalFormatting sqref="AX50:AX53 AX55:AX68">
    <cfRule type="cellIs" dxfId="427" priority="399" operator="greaterThan">
      <formula>0</formula>
    </cfRule>
  </conditionalFormatting>
  <conditionalFormatting sqref="AX50:AX53 AX55:AX68">
    <cfRule type="cellIs" dxfId="426" priority="400" operator="lessThan">
      <formula>0</formula>
    </cfRule>
  </conditionalFormatting>
  <conditionalFormatting sqref="AX50">
    <cfRule type="cellIs" dxfId="425" priority="401" operator="greaterThan">
      <formula>0</formula>
    </cfRule>
  </conditionalFormatting>
  <conditionalFormatting sqref="AX50">
    <cfRule type="cellIs" dxfId="424" priority="402" operator="lessThan">
      <formula>0</formula>
    </cfRule>
  </conditionalFormatting>
  <conditionalFormatting sqref="AX70">
    <cfRule type="cellIs" dxfId="423" priority="403" operator="greaterThan">
      <formula>0</formula>
    </cfRule>
  </conditionalFormatting>
  <conditionalFormatting sqref="AX70">
    <cfRule type="cellIs" dxfId="422" priority="404" operator="lessThan">
      <formula>0</formula>
    </cfRule>
  </conditionalFormatting>
  <conditionalFormatting sqref="AX35:AX47 AX50">
    <cfRule type="cellIs" dxfId="421" priority="405" operator="greaterThan">
      <formula>0</formula>
    </cfRule>
  </conditionalFormatting>
  <conditionalFormatting sqref="AX35:AX47 AX50">
    <cfRule type="cellIs" dxfId="420" priority="406" operator="lessThan">
      <formula>0</formula>
    </cfRule>
  </conditionalFormatting>
  <conditionalFormatting sqref="AX43:AX47 AX50">
    <cfRule type="cellIs" dxfId="419" priority="407" operator="greaterThan">
      <formula>0</formula>
    </cfRule>
  </conditionalFormatting>
  <conditionalFormatting sqref="AX43:AX47 AX50">
    <cfRule type="cellIs" dxfId="418" priority="408" operator="lessThan">
      <formula>0</formula>
    </cfRule>
  </conditionalFormatting>
  <conditionalFormatting sqref="AX69">
    <cfRule type="cellIs" dxfId="417" priority="409" operator="greaterThan">
      <formula>0</formula>
    </cfRule>
  </conditionalFormatting>
  <conditionalFormatting sqref="AX69">
    <cfRule type="cellIs" dxfId="416" priority="410" operator="lessThan">
      <formula>0</formula>
    </cfRule>
  </conditionalFormatting>
  <conditionalFormatting sqref="AX59">
    <cfRule type="cellIs" dxfId="415" priority="411" operator="greaterThan">
      <formula>0</formula>
    </cfRule>
  </conditionalFormatting>
  <conditionalFormatting sqref="AX59">
    <cfRule type="cellIs" dxfId="414" priority="412" operator="lessThan">
      <formula>0</formula>
    </cfRule>
  </conditionalFormatting>
  <conditionalFormatting sqref="AX47:AX50">
    <cfRule type="cellIs" dxfId="413" priority="413" operator="greaterThan">
      <formula>0</formula>
    </cfRule>
  </conditionalFormatting>
  <conditionalFormatting sqref="AX47:AX50">
    <cfRule type="cellIs" dxfId="412" priority="414" operator="lessThan">
      <formula>0</formula>
    </cfRule>
  </conditionalFormatting>
  <conditionalFormatting sqref="AX59">
    <cfRule type="cellIs" dxfId="411" priority="415" operator="greaterThan">
      <formula>0</formula>
    </cfRule>
  </conditionalFormatting>
  <conditionalFormatting sqref="AX59">
    <cfRule type="cellIs" dxfId="410" priority="416" operator="lessThan">
      <formula>0</formula>
    </cfRule>
  </conditionalFormatting>
  <conditionalFormatting sqref="AX60">
    <cfRule type="cellIs" dxfId="409" priority="417" operator="greaterThan">
      <formula>0</formula>
    </cfRule>
  </conditionalFormatting>
  <conditionalFormatting sqref="AX60">
    <cfRule type="cellIs" dxfId="408" priority="418" operator="lessThan">
      <formula>0</formula>
    </cfRule>
  </conditionalFormatting>
  <conditionalFormatting sqref="AX61:AX63">
    <cfRule type="cellIs" dxfId="407" priority="419" operator="greaterThan">
      <formula>0</formula>
    </cfRule>
  </conditionalFormatting>
  <conditionalFormatting sqref="AX61:AX63">
    <cfRule type="cellIs" dxfId="406" priority="420" operator="lessThan">
      <formula>0</formula>
    </cfRule>
  </conditionalFormatting>
  <conditionalFormatting sqref="AX63">
    <cfRule type="cellIs" dxfId="405" priority="421" operator="greaterThan">
      <formula>0</formula>
    </cfRule>
  </conditionalFormatting>
  <conditionalFormatting sqref="AX63">
    <cfRule type="cellIs" dxfId="404" priority="422" operator="lessThan">
      <formula>0</formula>
    </cfRule>
  </conditionalFormatting>
  <conditionalFormatting sqref="AX64:AX65">
    <cfRule type="cellIs" dxfId="403" priority="423" operator="greaterThan">
      <formula>0</formula>
    </cfRule>
  </conditionalFormatting>
  <conditionalFormatting sqref="AX64:AX65">
    <cfRule type="cellIs" dxfId="402" priority="424" operator="lessThan">
      <formula>0</formula>
    </cfRule>
  </conditionalFormatting>
  <conditionalFormatting sqref="AX52:AX54">
    <cfRule type="cellIs" dxfId="401" priority="425" operator="greaterThan">
      <formula>0</formula>
    </cfRule>
  </conditionalFormatting>
  <conditionalFormatting sqref="AX52:AX54">
    <cfRule type="cellIs" dxfId="400" priority="426" operator="lessThan">
      <formula>0</formula>
    </cfRule>
  </conditionalFormatting>
  <conditionalFormatting sqref="AX65">
    <cfRule type="cellIs" dxfId="399" priority="427" operator="greaterThan">
      <formula>0</formula>
    </cfRule>
  </conditionalFormatting>
  <conditionalFormatting sqref="AX65">
    <cfRule type="cellIs" dxfId="398" priority="428" operator="lessThan">
      <formula>0</formula>
    </cfRule>
  </conditionalFormatting>
  <conditionalFormatting sqref="AX64">
    <cfRule type="cellIs" dxfId="397" priority="429" operator="greaterThan">
      <formula>0</formula>
    </cfRule>
  </conditionalFormatting>
  <conditionalFormatting sqref="AX64">
    <cfRule type="cellIs" dxfId="396" priority="430" operator="lessThan">
      <formula>0</formula>
    </cfRule>
  </conditionalFormatting>
  <conditionalFormatting sqref="AX54">
    <cfRule type="cellIs" dxfId="395" priority="431" operator="greaterThan">
      <formula>0</formula>
    </cfRule>
  </conditionalFormatting>
  <conditionalFormatting sqref="AX54">
    <cfRule type="cellIs" dxfId="394" priority="432" operator="lessThan">
      <formula>0</formula>
    </cfRule>
  </conditionalFormatting>
  <conditionalFormatting sqref="AX54">
    <cfRule type="cellIs" dxfId="393" priority="433" operator="greaterThan">
      <formula>0</formula>
    </cfRule>
  </conditionalFormatting>
  <conditionalFormatting sqref="AX54">
    <cfRule type="cellIs" dxfId="392" priority="434" operator="lessThan">
      <formula>0</formula>
    </cfRule>
  </conditionalFormatting>
  <conditionalFormatting sqref="AX55:AX68">
    <cfRule type="cellIs" dxfId="391" priority="435" operator="greaterThan">
      <formula>0</formula>
    </cfRule>
  </conditionalFormatting>
  <conditionalFormatting sqref="AX55:AX68">
    <cfRule type="cellIs" dxfId="390" priority="436" operator="lessThan">
      <formula>0</formula>
    </cfRule>
  </conditionalFormatting>
  <conditionalFormatting sqref="AX56:AX58">
    <cfRule type="cellIs" dxfId="389" priority="437" operator="greaterThan">
      <formula>0</formula>
    </cfRule>
  </conditionalFormatting>
  <conditionalFormatting sqref="AX56:AX58">
    <cfRule type="cellIs" dxfId="388" priority="438" operator="lessThan">
      <formula>0</formula>
    </cfRule>
  </conditionalFormatting>
  <conditionalFormatting sqref="AX58">
    <cfRule type="cellIs" dxfId="387" priority="439" operator="greaterThan">
      <formula>0</formula>
    </cfRule>
  </conditionalFormatting>
  <conditionalFormatting sqref="AX58">
    <cfRule type="cellIs" dxfId="386" priority="440" operator="lessThan">
      <formula>0</formula>
    </cfRule>
  </conditionalFormatting>
  <conditionalFormatting sqref="AX59:AX60">
    <cfRule type="cellIs" dxfId="385" priority="441" operator="greaterThan">
      <formula>0</formula>
    </cfRule>
  </conditionalFormatting>
  <conditionalFormatting sqref="AX59:AX60">
    <cfRule type="cellIs" dxfId="384" priority="442" operator="lessThan">
      <formula>0</formula>
    </cfRule>
  </conditionalFormatting>
  <conditionalFormatting sqref="BD28:BD29 BD34:BD36 BD38:BD68">
    <cfRule type="cellIs" dxfId="383" priority="443" operator="greaterThan">
      <formula>0</formula>
    </cfRule>
  </conditionalFormatting>
  <conditionalFormatting sqref="BD28:BD29 BD34:BD36 BD38:BD68">
    <cfRule type="cellIs" dxfId="382" priority="444" operator="lessThan">
      <formula>0</formula>
    </cfRule>
  </conditionalFormatting>
  <conditionalFormatting sqref="BD30:BD33">
    <cfRule type="cellIs" dxfId="381" priority="445" operator="greaterThan">
      <formula>0</formula>
    </cfRule>
  </conditionalFormatting>
  <conditionalFormatting sqref="BD30:BD33">
    <cfRule type="cellIs" dxfId="380" priority="446" operator="lessThan">
      <formula>0</formula>
    </cfRule>
  </conditionalFormatting>
  <conditionalFormatting sqref="BD57">
    <cfRule type="cellIs" dxfId="379" priority="447" operator="greaterThan">
      <formula>0</formula>
    </cfRule>
  </conditionalFormatting>
  <conditionalFormatting sqref="BD57">
    <cfRule type="cellIs" dxfId="378" priority="448" operator="lessThan">
      <formula>0</formula>
    </cfRule>
  </conditionalFormatting>
  <conditionalFormatting sqref="BD37">
    <cfRule type="cellIs" dxfId="377" priority="449" operator="greaterThan">
      <formula>0</formula>
    </cfRule>
  </conditionalFormatting>
  <conditionalFormatting sqref="BD37">
    <cfRule type="cellIs" dxfId="376" priority="450" operator="lessThan">
      <formula>0</formula>
    </cfRule>
  </conditionalFormatting>
  <conditionalFormatting sqref="AX5:AX14">
    <cfRule type="cellIs" dxfId="375" priority="451" operator="greaterThan">
      <formula>0</formula>
    </cfRule>
  </conditionalFormatting>
  <conditionalFormatting sqref="AX5:AX14">
    <cfRule type="cellIs" dxfId="374" priority="452" operator="lessThan">
      <formula>0</formula>
    </cfRule>
  </conditionalFormatting>
  <conditionalFormatting sqref="AX13">
    <cfRule type="cellIs" dxfId="373" priority="453" operator="greaterThan">
      <formula>0</formula>
    </cfRule>
  </conditionalFormatting>
  <conditionalFormatting sqref="AX13">
    <cfRule type="cellIs" dxfId="372" priority="454" operator="lessThan">
      <formula>0</formula>
    </cfRule>
  </conditionalFormatting>
  <conditionalFormatting sqref="B65:B72">
    <cfRule type="cellIs" dxfId="371" priority="455" operator="greaterThan">
      <formula>0</formula>
    </cfRule>
  </conditionalFormatting>
  <conditionalFormatting sqref="B65:B72">
    <cfRule type="cellIs" dxfId="370" priority="456" operator="lessThan">
      <formula>0</formula>
    </cfRule>
  </conditionalFormatting>
  <conditionalFormatting sqref="BJ3:BJ76">
    <cfRule type="cellIs" dxfId="369" priority="457" operator="greaterThan">
      <formula>0</formula>
    </cfRule>
  </conditionalFormatting>
  <conditionalFormatting sqref="BJ3:BJ76">
    <cfRule type="cellIs" dxfId="368" priority="458" operator="lessThan">
      <formula>0</formula>
    </cfRule>
  </conditionalFormatting>
  <conditionalFormatting sqref="AX21">
    <cfRule type="cellIs" dxfId="367" priority="459" operator="greaterThan">
      <formula>0</formula>
    </cfRule>
  </conditionalFormatting>
  <conditionalFormatting sqref="AX21">
    <cfRule type="cellIs" dxfId="366" priority="460" operator="lessThan">
      <formula>0</formula>
    </cfRule>
  </conditionalFormatting>
  <conditionalFormatting sqref="AX21">
    <cfRule type="cellIs" dxfId="365" priority="461" operator="greaterThan">
      <formula>0</formula>
    </cfRule>
  </conditionalFormatting>
  <conditionalFormatting sqref="AX21">
    <cfRule type="cellIs" dxfId="364" priority="462" operator="lessThan">
      <formula>0</formula>
    </cfRule>
  </conditionalFormatting>
  <conditionalFormatting sqref="AX14">
    <cfRule type="cellIs" dxfId="363" priority="463" operator="greaterThan">
      <formula>0</formula>
    </cfRule>
  </conditionalFormatting>
  <conditionalFormatting sqref="AX14">
    <cfRule type="cellIs" dxfId="362" priority="464" operator="lessThan">
      <formula>0</formula>
    </cfRule>
  </conditionalFormatting>
  <conditionalFormatting sqref="AX22">
    <cfRule type="cellIs" dxfId="361" priority="465" operator="greaterThan">
      <formula>0</formula>
    </cfRule>
  </conditionalFormatting>
  <conditionalFormatting sqref="AX22">
    <cfRule type="cellIs" dxfId="360" priority="466" operator="lessThan">
      <formula>0</formula>
    </cfRule>
  </conditionalFormatting>
  <conditionalFormatting sqref="AX22">
    <cfRule type="cellIs" dxfId="359" priority="467" operator="greaterThan">
      <formula>0</formula>
    </cfRule>
  </conditionalFormatting>
  <conditionalFormatting sqref="AX22">
    <cfRule type="cellIs" dxfId="358" priority="468" operator="lessThan">
      <formula>0</formula>
    </cfRule>
  </conditionalFormatting>
  <conditionalFormatting sqref="B64">
    <cfRule type="cellIs" dxfId="357" priority="469" operator="greaterThan">
      <formula>0</formula>
    </cfRule>
  </conditionalFormatting>
  <conditionalFormatting sqref="B64">
    <cfRule type="cellIs" dxfId="356" priority="470" operator="lessThan">
      <formula>0</formula>
    </cfRule>
  </conditionalFormatting>
  <conditionalFormatting sqref="B41 B43:B72 AF3:AF42">
    <cfRule type="cellIs" dxfId="355" priority="471" operator="greaterThan">
      <formula>0</formula>
    </cfRule>
  </conditionalFormatting>
  <conditionalFormatting sqref="B41 B43:B72 AF3:AF42">
    <cfRule type="cellIs" dxfId="354" priority="472" operator="lessThan">
      <formula>0</formula>
    </cfRule>
  </conditionalFormatting>
  <conditionalFormatting sqref="B41 B43:B72">
    <cfRule type="cellIs" dxfId="353" priority="473" operator="greaterThan">
      <formula>0</formula>
    </cfRule>
  </conditionalFormatting>
  <conditionalFormatting sqref="B41 B43:B72">
    <cfRule type="cellIs" dxfId="352" priority="474" operator="lessThan">
      <formula>0</formula>
    </cfRule>
  </conditionalFormatting>
  <conditionalFormatting sqref="B29">
    <cfRule type="cellIs" dxfId="351" priority="475" operator="greaterThan">
      <formula>0</formula>
    </cfRule>
  </conditionalFormatting>
  <conditionalFormatting sqref="B29">
    <cfRule type="cellIs" dxfId="350" priority="476" operator="lessThan">
      <formula>0</formula>
    </cfRule>
  </conditionalFormatting>
  <conditionalFormatting sqref="AX3">
    <cfRule type="cellIs" dxfId="349" priority="477" operator="greaterThan">
      <formula>0</formula>
    </cfRule>
  </conditionalFormatting>
  <conditionalFormatting sqref="AX3">
    <cfRule type="cellIs" dxfId="348" priority="478" operator="lessThan">
      <formula>0</formula>
    </cfRule>
  </conditionalFormatting>
  <conditionalFormatting sqref="AX4">
    <cfRule type="cellIs" dxfId="347" priority="479" operator="greaterThan">
      <formula>0</formula>
    </cfRule>
  </conditionalFormatting>
  <conditionalFormatting sqref="AX4">
    <cfRule type="cellIs" dxfId="346" priority="480" operator="lessThan">
      <formula>0</formula>
    </cfRule>
  </conditionalFormatting>
  <conditionalFormatting sqref="BD3">
    <cfRule type="cellIs" dxfId="345" priority="481" operator="greaterThan">
      <formula>0</formula>
    </cfRule>
  </conditionalFormatting>
  <conditionalFormatting sqref="BD3">
    <cfRule type="cellIs" dxfId="344" priority="482" operator="lessThan">
      <formula>0</formula>
    </cfRule>
  </conditionalFormatting>
  <conditionalFormatting sqref="T3:T42 AF3:AF42">
    <cfRule type="cellIs" dxfId="343" priority="483" operator="greaterThan">
      <formula>0</formula>
    </cfRule>
  </conditionalFormatting>
  <conditionalFormatting sqref="T3:T42 AF3:AF42">
    <cfRule type="cellIs" dxfId="342" priority="484" operator="lessThan">
      <formula>0</formula>
    </cfRule>
  </conditionalFormatting>
  <conditionalFormatting sqref="Q37">
    <cfRule type="cellIs" dxfId="341" priority="485" operator="lessThan">
      <formula>0</formula>
    </cfRule>
  </conditionalFormatting>
  <conditionalFormatting sqref="Q37">
    <cfRule type="cellIs" dxfId="340" priority="486" operator="greaterThan">
      <formula>0</formula>
    </cfRule>
  </conditionalFormatting>
  <conditionalFormatting sqref="I3:I37">
    <cfRule type="cellIs" dxfId="339" priority="353" operator="lessThan">
      <formula>0</formula>
    </cfRule>
    <cfRule type="cellIs" dxfId="338" priority="354" operator="greaterThan">
      <formula>0</formula>
    </cfRule>
  </conditionalFormatting>
  <conditionalFormatting sqref="I41:I72">
    <cfRule type="cellIs" dxfId="337" priority="351" operator="lessThan">
      <formula>0</formula>
    </cfRule>
    <cfRule type="cellIs" dxfId="336" priority="352" operator="greaterThan">
      <formula>0</formula>
    </cfRule>
  </conditionalFormatting>
  <conditionalFormatting sqref="I76">
    <cfRule type="cellIs" dxfId="335" priority="349" operator="lessThan">
      <formula>0</formula>
    </cfRule>
    <cfRule type="cellIs" dxfId="334" priority="350" operator="greaterThan">
      <formula>0</formula>
    </cfRule>
  </conditionalFormatting>
  <conditionalFormatting sqref="B5:B6">
    <cfRule type="cellIs" dxfId="333" priority="345" operator="greaterThan">
      <formula>0</formula>
    </cfRule>
  </conditionalFormatting>
  <conditionalFormatting sqref="B5:B6">
    <cfRule type="cellIs" dxfId="332" priority="346" operator="lessThan">
      <formula>0</formula>
    </cfRule>
  </conditionalFormatting>
  <conditionalFormatting sqref="B5:B6">
    <cfRule type="cellIs" dxfId="331" priority="347" operator="greaterThan">
      <formula>0</formula>
    </cfRule>
  </conditionalFormatting>
  <conditionalFormatting sqref="B5:B6">
    <cfRule type="cellIs" dxfId="330" priority="348" operator="lessThan">
      <formula>0</formula>
    </cfRule>
  </conditionalFormatting>
  <conditionalFormatting sqref="K4:L4 K7:L7 K10:L10 K13:L13 K16:L16 K19:L19 K22:L22 K25:L25 K28:L28 K31:L31 K34:L34">
    <cfRule type="cellIs" dxfId="329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28" priority="343" operator="greaterThan">
      <formula>0</formula>
    </cfRule>
  </conditionalFormatting>
  <conditionalFormatting sqref="AE43">
    <cfRule type="cellIs" dxfId="327" priority="340" operator="greaterThan">
      <formula>0</formula>
    </cfRule>
  </conditionalFormatting>
  <conditionalFormatting sqref="AE43">
    <cfRule type="cellIs" dxfId="326" priority="341" operator="lessThan">
      <formula>0</formula>
    </cfRule>
  </conditionalFormatting>
  <conditionalFormatting sqref="Q38">
    <cfRule type="cellIs" dxfId="325" priority="339" operator="lessThan">
      <formula>0</formula>
    </cfRule>
  </conditionalFormatting>
  <conditionalFormatting sqref="Q39">
    <cfRule type="cellIs" dxfId="324" priority="338" operator="lessThan">
      <formula>0</formula>
    </cfRule>
  </conditionalFormatting>
  <conditionalFormatting sqref="J4 J7 J10 J13 J16 J19 J22 J25 J28 J31 J34">
    <cfRule type="cellIs" dxfId="323" priority="337" operator="greaterThan">
      <formula>1.49</formula>
    </cfRule>
  </conditionalFormatting>
  <conditionalFormatting sqref="AD3:AD42">
    <cfRule type="cellIs" dxfId="322" priority="336" operator="equal">
      <formula>0</formula>
    </cfRule>
  </conditionalFormatting>
  <conditionalFormatting sqref="AP3:AP42">
    <cfRule type="cellIs" dxfId="321" priority="335" operator="equal">
      <formula>0</formula>
    </cfRule>
  </conditionalFormatting>
  <conditionalFormatting sqref="AP15:AP42">
    <cfRule type="cellIs" dxfId="320" priority="334" operator="equal">
      <formula>0</formula>
    </cfRule>
  </conditionalFormatting>
  <conditionalFormatting sqref="B42">
    <cfRule type="cellIs" dxfId="319" priority="328" operator="greaterThan">
      <formula>0</formula>
    </cfRule>
  </conditionalFormatting>
  <conditionalFormatting sqref="B42">
    <cfRule type="cellIs" dxfId="318" priority="329" operator="lessThan">
      <formula>0</formula>
    </cfRule>
  </conditionalFormatting>
  <conditionalFormatting sqref="B42">
    <cfRule type="cellIs" dxfId="317" priority="330" operator="greaterThan">
      <formula>0</formula>
    </cfRule>
  </conditionalFormatting>
  <conditionalFormatting sqref="B42">
    <cfRule type="cellIs" dxfId="316" priority="331" operator="lessThan">
      <formula>0</formula>
    </cfRule>
  </conditionalFormatting>
  <conditionalFormatting sqref="B42">
    <cfRule type="cellIs" dxfId="315" priority="332" operator="greaterThan">
      <formula>0</formula>
    </cfRule>
  </conditionalFormatting>
  <conditionalFormatting sqref="B42">
    <cfRule type="cellIs" dxfId="314" priority="333" operator="lessThan">
      <formula>0</formula>
    </cfRule>
  </conditionalFormatting>
  <conditionalFormatting sqref="S3:S42">
    <cfRule type="expression" dxfId="313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12" priority="488" operator="greaterThan">
      <formula>0</formula>
    </cfRule>
  </conditionalFormatting>
  <conditionalFormatting sqref="S3:S42">
    <cfRule type="expression" dxfId="311" priority="325">
      <formula>$O$18-$U3&gt;0</formula>
    </cfRule>
  </conditionalFormatting>
  <conditionalFormatting sqref="AA3:AA42">
    <cfRule type="cellIs" dxfId="310" priority="323" operator="lessThan">
      <formula>V3</formula>
    </cfRule>
    <cfRule type="cellIs" dxfId="309" priority="324" operator="equal">
      <formula>0</formula>
    </cfRule>
  </conditionalFormatting>
  <conditionalFormatting sqref="BD5">
    <cfRule type="cellIs" dxfId="308" priority="319" operator="greaterThan">
      <formula>0</formula>
    </cfRule>
  </conditionalFormatting>
  <conditionalFormatting sqref="BD5">
    <cfRule type="cellIs" dxfId="307" priority="320" operator="lessThan">
      <formula>0</formula>
    </cfRule>
  </conditionalFormatting>
  <conditionalFormatting sqref="BD4">
    <cfRule type="cellIs" dxfId="306" priority="317" operator="greaterThan">
      <formula>0</formula>
    </cfRule>
  </conditionalFormatting>
  <conditionalFormatting sqref="BD4">
    <cfRule type="cellIs" dxfId="305" priority="318" operator="lessThan">
      <formula>0</formula>
    </cfRule>
  </conditionalFormatting>
  <conditionalFormatting sqref="AE3:AE42">
    <cfRule type="expression" dxfId="304" priority="316">
      <formula>$O$18-$AG3&gt;0</formula>
    </cfRule>
  </conditionalFormatting>
  <conditionalFormatting sqref="AE3:AE42">
    <cfRule type="expression" dxfId="303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302" priority="313" operator="equal">
      <formula>0</formula>
    </cfRule>
  </conditionalFormatting>
  <conditionalFormatting sqref="B14">
    <cfRule type="cellIs" dxfId="301" priority="306" operator="greaterThan">
      <formula>0</formula>
    </cfRule>
  </conditionalFormatting>
  <conditionalFormatting sqref="B14">
    <cfRule type="cellIs" dxfId="300" priority="307" operator="lessThan">
      <formula>0</formula>
    </cfRule>
  </conditionalFormatting>
  <conditionalFormatting sqref="B14">
    <cfRule type="cellIs" dxfId="299" priority="308" operator="greaterThan">
      <formula>0</formula>
    </cfRule>
  </conditionalFormatting>
  <conditionalFormatting sqref="B14">
    <cfRule type="cellIs" dxfId="298" priority="309" operator="lessThan">
      <formula>0</formula>
    </cfRule>
  </conditionalFormatting>
  <conditionalFormatting sqref="B13">
    <cfRule type="cellIs" dxfId="297" priority="302" operator="greaterThan">
      <formula>0</formula>
    </cfRule>
  </conditionalFormatting>
  <conditionalFormatting sqref="B13">
    <cfRule type="cellIs" dxfId="296" priority="303" operator="lessThan">
      <formula>0</formula>
    </cfRule>
  </conditionalFormatting>
  <conditionalFormatting sqref="B13">
    <cfRule type="cellIs" dxfId="295" priority="304" operator="greaterThan">
      <formula>0</formula>
    </cfRule>
  </conditionalFormatting>
  <conditionalFormatting sqref="B13">
    <cfRule type="cellIs" dxfId="294" priority="305" operator="lessThan">
      <formula>0</formula>
    </cfRule>
  </conditionalFormatting>
  <conditionalFormatting sqref="B17:B18">
    <cfRule type="cellIs" dxfId="293" priority="298" operator="greaterThan">
      <formula>0</formula>
    </cfRule>
  </conditionalFormatting>
  <conditionalFormatting sqref="B17:B18">
    <cfRule type="cellIs" dxfId="292" priority="299" operator="lessThan">
      <formula>0</formula>
    </cfRule>
  </conditionalFormatting>
  <conditionalFormatting sqref="B17:B18">
    <cfRule type="cellIs" dxfId="291" priority="300" operator="greaterThan">
      <formula>0</formula>
    </cfRule>
  </conditionalFormatting>
  <conditionalFormatting sqref="B17:B18">
    <cfRule type="cellIs" dxfId="290" priority="301" operator="lessThan">
      <formula>0</formula>
    </cfRule>
  </conditionalFormatting>
  <conditionalFormatting sqref="B13:B14">
    <cfRule type="cellIs" dxfId="289" priority="294" operator="greaterThan">
      <formula>0</formula>
    </cfRule>
  </conditionalFormatting>
  <conditionalFormatting sqref="B13:B14">
    <cfRule type="cellIs" dxfId="288" priority="295" operator="lessThan">
      <formula>0</formula>
    </cfRule>
  </conditionalFormatting>
  <conditionalFormatting sqref="B13:B14">
    <cfRule type="cellIs" dxfId="287" priority="296" operator="greaterThan">
      <formula>0</formula>
    </cfRule>
  </conditionalFormatting>
  <conditionalFormatting sqref="B13:B14">
    <cfRule type="cellIs" dxfId="286" priority="297" operator="lessThan">
      <formula>0</formula>
    </cfRule>
  </conditionalFormatting>
  <conditionalFormatting sqref="B5:B6">
    <cfRule type="cellIs" dxfId="285" priority="290" operator="greaterThan">
      <formula>0</formula>
    </cfRule>
  </conditionalFormatting>
  <conditionalFormatting sqref="B5:B6">
    <cfRule type="cellIs" dxfId="284" priority="291" operator="lessThan">
      <formula>0</formula>
    </cfRule>
  </conditionalFormatting>
  <conditionalFormatting sqref="B5:B6">
    <cfRule type="cellIs" dxfId="283" priority="292" operator="greaterThan">
      <formula>0</formula>
    </cfRule>
  </conditionalFormatting>
  <conditionalFormatting sqref="B5:B6">
    <cfRule type="cellIs" dxfId="282" priority="293" operator="lessThan">
      <formula>0</formula>
    </cfRule>
  </conditionalFormatting>
  <conditionalFormatting sqref="B12">
    <cfRule type="cellIs" dxfId="281" priority="230" operator="greaterThan">
      <formula>0</formula>
    </cfRule>
  </conditionalFormatting>
  <conditionalFormatting sqref="B12">
    <cfRule type="cellIs" dxfId="280" priority="231" operator="lessThan">
      <formula>0</formula>
    </cfRule>
  </conditionalFormatting>
  <conditionalFormatting sqref="B12">
    <cfRule type="cellIs" dxfId="279" priority="232" operator="greaterThan">
      <formula>0</formula>
    </cfRule>
  </conditionalFormatting>
  <conditionalFormatting sqref="B12">
    <cfRule type="cellIs" dxfId="278" priority="233" operator="lessThan">
      <formula>0</formula>
    </cfRule>
  </conditionalFormatting>
  <conditionalFormatting sqref="B15:B16">
    <cfRule type="cellIs" dxfId="277" priority="286" operator="greaterThan">
      <formula>0</formula>
    </cfRule>
  </conditionalFormatting>
  <conditionalFormatting sqref="B15:B16">
    <cfRule type="cellIs" dxfId="276" priority="287" operator="lessThan">
      <formula>0</formula>
    </cfRule>
  </conditionalFormatting>
  <conditionalFormatting sqref="B15:B16">
    <cfRule type="cellIs" dxfId="275" priority="288" operator="greaterThan">
      <formula>0</formula>
    </cfRule>
  </conditionalFormatting>
  <conditionalFormatting sqref="B15:B16">
    <cfRule type="cellIs" dxfId="274" priority="289" operator="lessThan">
      <formula>0</formula>
    </cfRule>
  </conditionalFormatting>
  <conditionalFormatting sqref="B16">
    <cfRule type="cellIs" dxfId="273" priority="282" operator="greaterThan">
      <formula>0</formula>
    </cfRule>
  </conditionalFormatting>
  <conditionalFormatting sqref="B16">
    <cfRule type="cellIs" dxfId="272" priority="283" operator="lessThan">
      <formula>0</formula>
    </cfRule>
  </conditionalFormatting>
  <conditionalFormatting sqref="B16">
    <cfRule type="cellIs" dxfId="271" priority="284" operator="greaterThan">
      <formula>0</formula>
    </cfRule>
  </conditionalFormatting>
  <conditionalFormatting sqref="B16">
    <cfRule type="cellIs" dxfId="270" priority="285" operator="lessThan">
      <formula>0</formula>
    </cfRule>
  </conditionalFormatting>
  <conditionalFormatting sqref="B16">
    <cfRule type="cellIs" dxfId="269" priority="278" operator="greaterThan">
      <formula>0</formula>
    </cfRule>
  </conditionalFormatting>
  <conditionalFormatting sqref="B16">
    <cfRule type="cellIs" dxfId="268" priority="279" operator="lessThan">
      <formula>0</formula>
    </cfRule>
  </conditionalFormatting>
  <conditionalFormatting sqref="B16">
    <cfRule type="cellIs" dxfId="267" priority="280" operator="greaterThan">
      <formula>0</formula>
    </cfRule>
  </conditionalFormatting>
  <conditionalFormatting sqref="B16">
    <cfRule type="cellIs" dxfId="266" priority="281" operator="lessThan">
      <formula>0</formula>
    </cfRule>
  </conditionalFormatting>
  <conditionalFormatting sqref="B15">
    <cfRule type="cellIs" dxfId="265" priority="274" operator="greaterThan">
      <formula>0</formula>
    </cfRule>
  </conditionalFormatting>
  <conditionalFormatting sqref="B15">
    <cfRule type="cellIs" dxfId="264" priority="275" operator="lessThan">
      <formula>0</formula>
    </cfRule>
  </conditionalFormatting>
  <conditionalFormatting sqref="B15">
    <cfRule type="cellIs" dxfId="263" priority="276" operator="greaterThan">
      <formula>0</formula>
    </cfRule>
  </conditionalFormatting>
  <conditionalFormatting sqref="B15">
    <cfRule type="cellIs" dxfId="262" priority="277" operator="lessThan">
      <formula>0</formula>
    </cfRule>
  </conditionalFormatting>
  <conditionalFormatting sqref="B15:B16">
    <cfRule type="cellIs" dxfId="261" priority="270" operator="greaterThan">
      <formula>0</formula>
    </cfRule>
  </conditionalFormatting>
  <conditionalFormatting sqref="B15:B16">
    <cfRule type="cellIs" dxfId="260" priority="271" operator="lessThan">
      <formula>0</formula>
    </cfRule>
  </conditionalFormatting>
  <conditionalFormatting sqref="B15:B16">
    <cfRule type="cellIs" dxfId="259" priority="272" operator="greaterThan">
      <formula>0</formula>
    </cfRule>
  </conditionalFormatting>
  <conditionalFormatting sqref="B15:B16">
    <cfRule type="cellIs" dxfId="258" priority="273" operator="lessThan">
      <formula>0</formula>
    </cfRule>
  </conditionalFormatting>
  <conditionalFormatting sqref="B15:B16">
    <cfRule type="cellIs" dxfId="257" priority="266" operator="greaterThan">
      <formula>0</formula>
    </cfRule>
  </conditionalFormatting>
  <conditionalFormatting sqref="B15:B16">
    <cfRule type="cellIs" dxfId="256" priority="267" operator="lessThan">
      <formula>0</formula>
    </cfRule>
  </conditionalFormatting>
  <conditionalFormatting sqref="B15:B16">
    <cfRule type="cellIs" dxfId="255" priority="268" operator="greaterThan">
      <formula>0</formula>
    </cfRule>
  </conditionalFormatting>
  <conditionalFormatting sqref="B15:B16">
    <cfRule type="cellIs" dxfId="254" priority="269" operator="lessThan">
      <formula>0</formula>
    </cfRule>
  </conditionalFormatting>
  <conditionalFormatting sqref="B11:B12">
    <cfRule type="cellIs" dxfId="253" priority="262" operator="greaterThan">
      <formula>0</formula>
    </cfRule>
  </conditionalFormatting>
  <conditionalFormatting sqref="B11:B12">
    <cfRule type="cellIs" dxfId="252" priority="263" operator="lessThan">
      <formula>0</formula>
    </cfRule>
  </conditionalFormatting>
  <conditionalFormatting sqref="B11:B12">
    <cfRule type="cellIs" dxfId="251" priority="264" operator="greaterThan">
      <formula>0</formula>
    </cfRule>
  </conditionalFormatting>
  <conditionalFormatting sqref="B11:B12">
    <cfRule type="cellIs" dxfId="250" priority="265" operator="lessThan">
      <formula>0</formula>
    </cfRule>
  </conditionalFormatting>
  <conditionalFormatting sqref="B11">
    <cfRule type="cellIs" dxfId="249" priority="258" operator="greaterThan">
      <formula>0</formula>
    </cfRule>
  </conditionalFormatting>
  <conditionalFormatting sqref="B11">
    <cfRule type="cellIs" dxfId="248" priority="259" operator="lessThan">
      <formula>0</formula>
    </cfRule>
  </conditionalFormatting>
  <conditionalFormatting sqref="B11">
    <cfRule type="cellIs" dxfId="247" priority="260" operator="greaterThan">
      <formula>0</formula>
    </cfRule>
  </conditionalFormatting>
  <conditionalFormatting sqref="B11">
    <cfRule type="cellIs" dxfId="246" priority="261" operator="lessThan">
      <formula>0</formula>
    </cfRule>
  </conditionalFormatting>
  <conditionalFormatting sqref="B12">
    <cfRule type="cellIs" dxfId="245" priority="254" operator="greaterThan">
      <formula>0</formula>
    </cfRule>
  </conditionalFormatting>
  <conditionalFormatting sqref="B12">
    <cfRule type="cellIs" dxfId="244" priority="255" operator="lessThan">
      <formula>0</formula>
    </cfRule>
  </conditionalFormatting>
  <conditionalFormatting sqref="B12">
    <cfRule type="cellIs" dxfId="243" priority="256" operator="greaterThan">
      <formula>0</formula>
    </cfRule>
  </conditionalFormatting>
  <conditionalFormatting sqref="B12">
    <cfRule type="cellIs" dxfId="242" priority="257" operator="lessThan">
      <formula>0</formula>
    </cfRule>
  </conditionalFormatting>
  <conditionalFormatting sqref="B5:B6">
    <cfRule type="cellIs" dxfId="241" priority="250" operator="greaterThan">
      <formula>0</formula>
    </cfRule>
  </conditionalFormatting>
  <conditionalFormatting sqref="B5:B6">
    <cfRule type="cellIs" dxfId="240" priority="251" operator="lessThan">
      <formula>0</formula>
    </cfRule>
  </conditionalFormatting>
  <conditionalFormatting sqref="B5:B6">
    <cfRule type="cellIs" dxfId="239" priority="252" operator="greaterThan">
      <formula>0</formula>
    </cfRule>
  </conditionalFormatting>
  <conditionalFormatting sqref="B5:B6">
    <cfRule type="cellIs" dxfId="238" priority="253" operator="lessThan">
      <formula>0</formula>
    </cfRule>
  </conditionalFormatting>
  <conditionalFormatting sqref="B5:B6">
    <cfRule type="cellIs" dxfId="237" priority="246" operator="greaterThan">
      <formula>0</formula>
    </cfRule>
  </conditionalFormatting>
  <conditionalFormatting sqref="B5:B6">
    <cfRule type="cellIs" dxfId="236" priority="247" operator="lessThan">
      <formula>0</formula>
    </cfRule>
  </conditionalFormatting>
  <conditionalFormatting sqref="B5:B6">
    <cfRule type="cellIs" dxfId="235" priority="248" operator="greaterThan">
      <formula>0</formula>
    </cfRule>
  </conditionalFormatting>
  <conditionalFormatting sqref="B5:B6">
    <cfRule type="cellIs" dxfId="234" priority="249" operator="lessThan">
      <formula>0</formula>
    </cfRule>
  </conditionalFormatting>
  <conditionalFormatting sqref="B5:B6">
    <cfRule type="cellIs" dxfId="233" priority="242" operator="greaterThan">
      <formula>0</formula>
    </cfRule>
  </conditionalFormatting>
  <conditionalFormatting sqref="B5:B6">
    <cfRule type="cellIs" dxfId="232" priority="243" operator="lessThan">
      <formula>0</formula>
    </cfRule>
  </conditionalFormatting>
  <conditionalFormatting sqref="B5:B6">
    <cfRule type="cellIs" dxfId="231" priority="244" operator="greaterThan">
      <formula>0</formula>
    </cfRule>
  </conditionalFormatting>
  <conditionalFormatting sqref="B5:B6">
    <cfRule type="cellIs" dxfId="230" priority="245" operator="lessThan">
      <formula>0</formula>
    </cfRule>
  </conditionalFormatting>
  <conditionalFormatting sqref="B11:B12">
    <cfRule type="cellIs" dxfId="229" priority="238" operator="greaterThan">
      <formula>0</formula>
    </cfRule>
  </conditionalFormatting>
  <conditionalFormatting sqref="B11:B12">
    <cfRule type="cellIs" dxfId="228" priority="239" operator="lessThan">
      <formula>0</formula>
    </cfRule>
  </conditionalFormatting>
  <conditionalFormatting sqref="B11:B12">
    <cfRule type="cellIs" dxfId="227" priority="240" operator="greaterThan">
      <formula>0</formula>
    </cfRule>
  </conditionalFormatting>
  <conditionalFormatting sqref="B11:B12">
    <cfRule type="cellIs" dxfId="226" priority="241" operator="lessThan">
      <formula>0</formula>
    </cfRule>
  </conditionalFormatting>
  <conditionalFormatting sqref="B12">
    <cfRule type="cellIs" dxfId="225" priority="234" operator="greaterThan">
      <formula>0</formula>
    </cfRule>
  </conditionalFormatting>
  <conditionalFormatting sqref="B12">
    <cfRule type="cellIs" dxfId="224" priority="235" operator="lessThan">
      <formula>0</formula>
    </cfRule>
  </conditionalFormatting>
  <conditionalFormatting sqref="B12">
    <cfRule type="cellIs" dxfId="223" priority="236" operator="greaterThan">
      <formula>0</formula>
    </cfRule>
  </conditionalFormatting>
  <conditionalFormatting sqref="B12">
    <cfRule type="cellIs" dxfId="222" priority="237" operator="lessThan">
      <formula>0</formula>
    </cfRule>
  </conditionalFormatting>
  <conditionalFormatting sqref="B11">
    <cfRule type="cellIs" dxfId="221" priority="226" operator="greaterThan">
      <formula>0</formula>
    </cfRule>
  </conditionalFormatting>
  <conditionalFormatting sqref="B11">
    <cfRule type="cellIs" dxfId="220" priority="227" operator="lessThan">
      <formula>0</formula>
    </cfRule>
  </conditionalFormatting>
  <conditionalFormatting sqref="B11">
    <cfRule type="cellIs" dxfId="219" priority="228" operator="greaterThan">
      <formula>0</formula>
    </cfRule>
  </conditionalFormatting>
  <conditionalFormatting sqref="B11">
    <cfRule type="cellIs" dxfId="218" priority="229" operator="lessThan">
      <formula>0</formula>
    </cfRule>
  </conditionalFormatting>
  <conditionalFormatting sqref="B11:B12">
    <cfRule type="cellIs" dxfId="217" priority="222" operator="greaterThan">
      <formula>0</formula>
    </cfRule>
  </conditionalFormatting>
  <conditionalFormatting sqref="B11:B12">
    <cfRule type="cellIs" dxfId="216" priority="223" operator="lessThan">
      <formula>0</formula>
    </cfRule>
  </conditionalFormatting>
  <conditionalFormatting sqref="B11:B12">
    <cfRule type="cellIs" dxfId="215" priority="224" operator="greaterThan">
      <formula>0</formula>
    </cfRule>
  </conditionalFormatting>
  <conditionalFormatting sqref="B11:B12">
    <cfRule type="cellIs" dxfId="214" priority="225" operator="lessThan">
      <formula>0</formula>
    </cfRule>
  </conditionalFormatting>
  <conditionalFormatting sqref="B11:B12">
    <cfRule type="cellIs" dxfId="213" priority="218" operator="greaterThan">
      <formula>0</formula>
    </cfRule>
  </conditionalFormatting>
  <conditionalFormatting sqref="B11:B12">
    <cfRule type="cellIs" dxfId="212" priority="219" operator="lessThan">
      <formula>0</formula>
    </cfRule>
  </conditionalFormatting>
  <conditionalFormatting sqref="B11:B12">
    <cfRule type="cellIs" dxfId="211" priority="220" operator="greaterThan">
      <formula>0</formula>
    </cfRule>
  </conditionalFormatting>
  <conditionalFormatting sqref="B11:B12">
    <cfRule type="cellIs" dxfId="210" priority="221" operator="lessThan">
      <formula>0</formula>
    </cfRule>
  </conditionalFormatting>
  <conditionalFormatting sqref="B40">
    <cfRule type="cellIs" dxfId="209" priority="212" operator="greaterThan">
      <formula>0</formula>
    </cfRule>
  </conditionalFormatting>
  <conditionalFormatting sqref="B40">
    <cfRule type="cellIs" dxfId="208" priority="213" operator="lessThan">
      <formula>0</formula>
    </cfRule>
  </conditionalFormatting>
  <conditionalFormatting sqref="B40">
    <cfRule type="cellIs" dxfId="207" priority="214" operator="greaterThan">
      <formula>0</formula>
    </cfRule>
  </conditionalFormatting>
  <conditionalFormatting sqref="B40">
    <cfRule type="cellIs" dxfId="206" priority="215" operator="lessThan">
      <formula>0</formula>
    </cfRule>
  </conditionalFormatting>
  <conditionalFormatting sqref="B40">
    <cfRule type="cellIs" dxfId="205" priority="216" operator="greaterThan">
      <formula>0</formula>
    </cfRule>
  </conditionalFormatting>
  <conditionalFormatting sqref="B40">
    <cfRule type="cellIs" dxfId="204" priority="217" operator="lessThan">
      <formula>0</formula>
    </cfRule>
  </conditionalFormatting>
  <conditionalFormatting sqref="I38:I40">
    <cfRule type="cellIs" dxfId="203" priority="210" operator="lessThan">
      <formula>0</formula>
    </cfRule>
    <cfRule type="cellIs" dxfId="202" priority="211" operator="greaterThan">
      <formula>0</formula>
    </cfRule>
  </conditionalFormatting>
  <conditionalFormatting sqref="B38">
    <cfRule type="cellIs" dxfId="201" priority="204" operator="greaterThan">
      <formula>0</formula>
    </cfRule>
  </conditionalFormatting>
  <conditionalFormatting sqref="B38">
    <cfRule type="cellIs" dxfId="200" priority="205" operator="lessThan">
      <formula>0</formula>
    </cfRule>
  </conditionalFormatting>
  <conditionalFormatting sqref="B38">
    <cfRule type="cellIs" dxfId="199" priority="206" operator="greaterThan">
      <formula>0</formula>
    </cfRule>
  </conditionalFormatting>
  <conditionalFormatting sqref="B38">
    <cfRule type="cellIs" dxfId="198" priority="207" operator="lessThan">
      <formula>0</formula>
    </cfRule>
  </conditionalFormatting>
  <conditionalFormatting sqref="B38">
    <cfRule type="cellIs" dxfId="197" priority="208" operator="greaterThan">
      <formula>0</formula>
    </cfRule>
  </conditionalFormatting>
  <conditionalFormatting sqref="B38">
    <cfRule type="cellIs" dxfId="196" priority="209" operator="lessThan">
      <formula>0</formula>
    </cfRule>
  </conditionalFormatting>
  <conditionalFormatting sqref="B39">
    <cfRule type="cellIs" dxfId="195" priority="198" operator="greaterThan">
      <formula>0</formula>
    </cfRule>
  </conditionalFormatting>
  <conditionalFormatting sqref="B39">
    <cfRule type="cellIs" dxfId="194" priority="199" operator="lessThan">
      <formula>0</formula>
    </cfRule>
  </conditionalFormatting>
  <conditionalFormatting sqref="B39">
    <cfRule type="cellIs" dxfId="193" priority="200" operator="greaterThan">
      <formula>0</formula>
    </cfRule>
  </conditionalFormatting>
  <conditionalFormatting sqref="B39">
    <cfRule type="cellIs" dxfId="192" priority="201" operator="lessThan">
      <formula>0</formula>
    </cfRule>
  </conditionalFormatting>
  <conditionalFormatting sqref="B39">
    <cfRule type="cellIs" dxfId="191" priority="202" operator="greaterThan">
      <formula>0</formula>
    </cfRule>
  </conditionalFormatting>
  <conditionalFormatting sqref="B39">
    <cfRule type="cellIs" dxfId="190" priority="203" operator="lessThan">
      <formula>0</formula>
    </cfRule>
  </conditionalFormatting>
  <conditionalFormatting sqref="B31:B34 B37">
    <cfRule type="cellIs" dxfId="189" priority="194" operator="greaterThan">
      <formula>0</formula>
    </cfRule>
  </conditionalFormatting>
  <conditionalFormatting sqref="B31:B34 B37">
    <cfRule type="cellIs" dxfId="188" priority="195" operator="lessThan">
      <formula>0</formula>
    </cfRule>
  </conditionalFormatting>
  <conditionalFormatting sqref="B31:B34 B37">
    <cfRule type="cellIs" dxfId="187" priority="196" operator="greaterThan">
      <formula>0</formula>
    </cfRule>
  </conditionalFormatting>
  <conditionalFormatting sqref="B31:B34 B37">
    <cfRule type="cellIs" dxfId="186" priority="197" operator="lessThan">
      <formula>0</formula>
    </cfRule>
  </conditionalFormatting>
  <conditionalFormatting sqref="B35:B36">
    <cfRule type="cellIs" dxfId="185" priority="186" operator="greaterThan">
      <formula>0</formula>
    </cfRule>
  </conditionalFormatting>
  <conditionalFormatting sqref="B35:B36">
    <cfRule type="cellIs" dxfId="184" priority="187" operator="lessThan">
      <formula>0</formula>
    </cfRule>
  </conditionalFormatting>
  <conditionalFormatting sqref="B35:B36">
    <cfRule type="cellIs" dxfId="183" priority="188" operator="greaterThan">
      <formula>0</formula>
    </cfRule>
  </conditionalFormatting>
  <conditionalFormatting sqref="B35:B36">
    <cfRule type="cellIs" dxfId="182" priority="189" operator="lessThan">
      <formula>0</formula>
    </cfRule>
  </conditionalFormatting>
  <conditionalFormatting sqref="B36">
    <cfRule type="cellIs" dxfId="181" priority="190" operator="greaterThan">
      <formula>0</formula>
    </cfRule>
  </conditionalFormatting>
  <conditionalFormatting sqref="B36">
    <cfRule type="cellIs" dxfId="180" priority="191" operator="lessThan">
      <formula>0</formula>
    </cfRule>
  </conditionalFormatting>
  <conditionalFormatting sqref="B35">
    <cfRule type="cellIs" dxfId="179" priority="192" operator="greaterThan">
      <formula>0</formula>
    </cfRule>
  </conditionalFormatting>
  <conditionalFormatting sqref="B35">
    <cfRule type="cellIs" dxfId="178" priority="193" operator="lessThan">
      <formula>0</formula>
    </cfRule>
  </conditionalFormatting>
  <conditionalFormatting sqref="K39 K41 K43 K45 K47 K49 K51 K53 K55 K57 K59 K61 K63 K65 K67 K69 K71">
    <cfRule type="cellIs" dxfId="177" priority="185" operator="greaterThan">
      <formula>J39</formula>
    </cfRule>
  </conditionalFormatting>
  <conditionalFormatting sqref="J39 J41 J43 J45 J47 J49 J51 J53 J55 J57 J59 J61 J63 J65 J67 J69 J71">
    <cfRule type="cellIs" dxfId="176" priority="184" operator="greaterThan">
      <formula>1.49</formula>
    </cfRule>
  </conditionalFormatting>
  <conditionalFormatting sqref="L39 L41 L43 L45 L47 L49 L51 L53 L55 L57 L59 L61 L63 L65 L67 L69 L71">
    <cfRule type="cellIs" dxfId="175" priority="183" operator="greaterThan">
      <formula>K39</formula>
    </cfRule>
  </conditionalFormatting>
  <conditionalFormatting sqref="B4">
    <cfRule type="cellIs" dxfId="174" priority="176" operator="greaterThan">
      <formula>0</formula>
    </cfRule>
  </conditionalFormatting>
  <conditionalFormatting sqref="B4">
    <cfRule type="cellIs" dxfId="173" priority="177" operator="lessThan">
      <formula>0</formula>
    </cfRule>
  </conditionalFormatting>
  <conditionalFormatting sqref="B4">
    <cfRule type="cellIs" dxfId="172" priority="178" operator="greaterThan">
      <formula>0</formula>
    </cfRule>
  </conditionalFormatting>
  <conditionalFormatting sqref="B4">
    <cfRule type="cellIs" dxfId="171" priority="179" operator="lessThan">
      <formula>0</formula>
    </cfRule>
  </conditionalFormatting>
  <conditionalFormatting sqref="B4">
    <cfRule type="cellIs" dxfId="170" priority="172" operator="greaterThan">
      <formula>0</formula>
    </cfRule>
  </conditionalFormatting>
  <conditionalFormatting sqref="B4">
    <cfRule type="cellIs" dxfId="169" priority="173" operator="lessThan">
      <formula>0</formula>
    </cfRule>
  </conditionalFormatting>
  <conditionalFormatting sqref="B4">
    <cfRule type="cellIs" dxfId="168" priority="174" operator="greaterThan">
      <formula>0</formula>
    </cfRule>
  </conditionalFormatting>
  <conditionalFormatting sqref="B4">
    <cfRule type="cellIs" dxfId="167" priority="175" operator="lessThan">
      <formula>0</formula>
    </cfRule>
  </conditionalFormatting>
  <conditionalFormatting sqref="B4">
    <cfRule type="cellIs" dxfId="166" priority="168" operator="greaterThan">
      <formula>0</formula>
    </cfRule>
  </conditionalFormatting>
  <conditionalFormatting sqref="B4">
    <cfRule type="cellIs" dxfId="165" priority="169" operator="lessThan">
      <formula>0</formula>
    </cfRule>
  </conditionalFormatting>
  <conditionalFormatting sqref="B4">
    <cfRule type="cellIs" dxfId="164" priority="170" operator="greaterThan">
      <formula>0</formula>
    </cfRule>
  </conditionalFormatting>
  <conditionalFormatting sqref="B4">
    <cfRule type="cellIs" dxfId="163" priority="171" operator="lessThan">
      <formula>0</formula>
    </cfRule>
  </conditionalFormatting>
  <conditionalFormatting sqref="B4">
    <cfRule type="cellIs" dxfId="162" priority="164" operator="greaterThan">
      <formula>0</formula>
    </cfRule>
  </conditionalFormatting>
  <conditionalFormatting sqref="B4">
    <cfRule type="cellIs" dxfId="161" priority="165" operator="lessThan">
      <formula>0</formula>
    </cfRule>
  </conditionalFormatting>
  <conditionalFormatting sqref="B4">
    <cfRule type="cellIs" dxfId="160" priority="166" operator="greaterThan">
      <formula>0</formula>
    </cfRule>
  </conditionalFormatting>
  <conditionalFormatting sqref="B4">
    <cfRule type="cellIs" dxfId="159" priority="167" operator="lessThan">
      <formula>0</formula>
    </cfRule>
  </conditionalFormatting>
  <conditionalFormatting sqref="B4">
    <cfRule type="cellIs" dxfId="158" priority="160" operator="greaterThan">
      <formula>0</formula>
    </cfRule>
  </conditionalFormatting>
  <conditionalFormatting sqref="B4">
    <cfRule type="cellIs" dxfId="157" priority="161" operator="lessThan">
      <formula>0</formula>
    </cfRule>
  </conditionalFormatting>
  <conditionalFormatting sqref="B4">
    <cfRule type="cellIs" dxfId="156" priority="162" operator="greaterThan">
      <formula>0</formula>
    </cfRule>
  </conditionalFormatting>
  <conditionalFormatting sqref="B4">
    <cfRule type="cellIs" dxfId="155" priority="163" operator="lessThan">
      <formula>0</formula>
    </cfRule>
  </conditionalFormatting>
  <conditionalFormatting sqref="B4">
    <cfRule type="cellIs" dxfId="154" priority="156" operator="greaterThan">
      <formula>0</formula>
    </cfRule>
  </conditionalFormatting>
  <conditionalFormatting sqref="B4">
    <cfRule type="cellIs" dxfId="153" priority="157" operator="lessThan">
      <formula>0</formula>
    </cfRule>
  </conditionalFormatting>
  <conditionalFormatting sqref="B4">
    <cfRule type="cellIs" dxfId="152" priority="158" operator="greaterThan">
      <formula>0</formula>
    </cfRule>
  </conditionalFormatting>
  <conditionalFormatting sqref="B4">
    <cfRule type="cellIs" dxfId="151" priority="159" operator="lessThan">
      <formula>0</formula>
    </cfRule>
  </conditionalFormatting>
  <conditionalFormatting sqref="B4">
    <cfRule type="cellIs" dxfId="150" priority="152" operator="greaterThan">
      <formula>0</formula>
    </cfRule>
  </conditionalFormatting>
  <conditionalFormatting sqref="B4">
    <cfRule type="cellIs" dxfId="149" priority="153" operator="lessThan">
      <formula>0</formula>
    </cfRule>
  </conditionalFormatting>
  <conditionalFormatting sqref="B4">
    <cfRule type="cellIs" dxfId="148" priority="154" operator="greaterThan">
      <formula>0</formula>
    </cfRule>
  </conditionalFormatting>
  <conditionalFormatting sqref="B4">
    <cfRule type="cellIs" dxfId="147" priority="155" operator="lessThan">
      <formula>0</formula>
    </cfRule>
  </conditionalFormatting>
  <conditionalFormatting sqref="B4">
    <cfRule type="cellIs" dxfId="146" priority="148" operator="greaterThan">
      <formula>0</formula>
    </cfRule>
  </conditionalFormatting>
  <conditionalFormatting sqref="B4">
    <cfRule type="cellIs" dxfId="145" priority="149" operator="lessThan">
      <formula>0</formula>
    </cfRule>
  </conditionalFormatting>
  <conditionalFormatting sqref="B4">
    <cfRule type="cellIs" dxfId="144" priority="150" operator="greaterThan">
      <formula>0</formula>
    </cfRule>
  </conditionalFormatting>
  <conditionalFormatting sqref="B4">
    <cfRule type="cellIs" dxfId="143" priority="151" operator="lessThan">
      <formula>0</formula>
    </cfRule>
  </conditionalFormatting>
  <conditionalFormatting sqref="B4">
    <cfRule type="cellIs" dxfId="142" priority="144" operator="greaterThan">
      <formula>0</formula>
    </cfRule>
  </conditionalFormatting>
  <conditionalFormatting sqref="B4">
    <cfRule type="cellIs" dxfId="141" priority="145" operator="lessThan">
      <formula>0</formula>
    </cfRule>
  </conditionalFormatting>
  <conditionalFormatting sqref="B4">
    <cfRule type="cellIs" dxfId="140" priority="146" operator="greaterThan">
      <formula>0</formula>
    </cfRule>
  </conditionalFormatting>
  <conditionalFormatting sqref="B4">
    <cfRule type="cellIs" dxfId="139" priority="147" operator="lessThan">
      <formula>0</formula>
    </cfRule>
  </conditionalFormatting>
  <conditionalFormatting sqref="B8">
    <cfRule type="cellIs" dxfId="138" priority="140" operator="greaterThan">
      <formula>0</formula>
    </cfRule>
  </conditionalFormatting>
  <conditionalFormatting sqref="B8">
    <cfRule type="cellIs" dxfId="137" priority="141" operator="lessThan">
      <formula>0</formula>
    </cfRule>
  </conditionalFormatting>
  <conditionalFormatting sqref="B8">
    <cfRule type="cellIs" dxfId="136" priority="142" operator="greaterThan">
      <formula>0</formula>
    </cfRule>
  </conditionalFormatting>
  <conditionalFormatting sqref="B8">
    <cfRule type="cellIs" dxfId="135" priority="143" operator="lessThan">
      <formula>0</formula>
    </cfRule>
  </conditionalFormatting>
  <conditionalFormatting sqref="B8">
    <cfRule type="cellIs" dxfId="134" priority="136" operator="greaterThan">
      <formula>0</formula>
    </cfRule>
  </conditionalFormatting>
  <conditionalFormatting sqref="B8">
    <cfRule type="cellIs" dxfId="133" priority="137" operator="lessThan">
      <formula>0</formula>
    </cfRule>
  </conditionalFormatting>
  <conditionalFormatting sqref="B8">
    <cfRule type="cellIs" dxfId="132" priority="138" operator="greaterThan">
      <formula>0</formula>
    </cfRule>
  </conditionalFormatting>
  <conditionalFormatting sqref="B8">
    <cfRule type="cellIs" dxfId="131" priority="139" operator="lessThan">
      <formula>0</formula>
    </cfRule>
  </conditionalFormatting>
  <conditionalFormatting sqref="B6:B7">
    <cfRule type="cellIs" dxfId="130" priority="92" operator="greaterThan">
      <formula>0</formula>
    </cfRule>
  </conditionalFormatting>
  <conditionalFormatting sqref="B6:B7">
    <cfRule type="cellIs" dxfId="129" priority="93" operator="lessThan">
      <formula>0</formula>
    </cfRule>
  </conditionalFormatting>
  <conditionalFormatting sqref="B6:B7">
    <cfRule type="cellIs" dxfId="128" priority="94" operator="greaterThan">
      <formula>0</formula>
    </cfRule>
  </conditionalFormatting>
  <conditionalFormatting sqref="B6:B7">
    <cfRule type="cellIs" dxfId="127" priority="95" operator="lessThan">
      <formula>0</formula>
    </cfRule>
  </conditionalFormatting>
  <conditionalFormatting sqref="B9:B10">
    <cfRule type="cellIs" dxfId="126" priority="132" operator="greaterThan">
      <formula>0</formula>
    </cfRule>
  </conditionalFormatting>
  <conditionalFormatting sqref="B9:B10">
    <cfRule type="cellIs" dxfId="125" priority="133" operator="lessThan">
      <formula>0</formula>
    </cfRule>
  </conditionalFormatting>
  <conditionalFormatting sqref="B9:B10">
    <cfRule type="cellIs" dxfId="124" priority="134" operator="greaterThan">
      <formula>0</formula>
    </cfRule>
  </conditionalFormatting>
  <conditionalFormatting sqref="B9:B10">
    <cfRule type="cellIs" dxfId="123" priority="135" operator="lessThan">
      <formula>0</formula>
    </cfRule>
  </conditionalFormatting>
  <conditionalFormatting sqref="B10">
    <cfRule type="cellIs" dxfId="122" priority="128" operator="greaterThan">
      <formula>0</formula>
    </cfRule>
  </conditionalFormatting>
  <conditionalFormatting sqref="B10">
    <cfRule type="cellIs" dxfId="121" priority="129" operator="lessThan">
      <formula>0</formula>
    </cfRule>
  </conditionalFormatting>
  <conditionalFormatting sqref="B10">
    <cfRule type="cellIs" dxfId="120" priority="130" operator="greaterThan">
      <formula>0</formula>
    </cfRule>
  </conditionalFormatting>
  <conditionalFormatting sqref="B10">
    <cfRule type="cellIs" dxfId="119" priority="131" operator="lessThan">
      <formula>0</formula>
    </cfRule>
  </conditionalFormatting>
  <conditionalFormatting sqref="B10">
    <cfRule type="cellIs" dxfId="118" priority="124" operator="greaterThan">
      <formula>0</formula>
    </cfRule>
  </conditionalFormatting>
  <conditionalFormatting sqref="B10">
    <cfRule type="cellIs" dxfId="117" priority="125" operator="lessThan">
      <formula>0</formula>
    </cfRule>
  </conditionalFormatting>
  <conditionalFormatting sqref="B10">
    <cfRule type="cellIs" dxfId="116" priority="126" operator="greaterThan">
      <formula>0</formula>
    </cfRule>
  </conditionalFormatting>
  <conditionalFormatting sqref="B10">
    <cfRule type="cellIs" dxfId="115" priority="127" operator="lessThan">
      <formula>0</formula>
    </cfRule>
  </conditionalFormatting>
  <conditionalFormatting sqref="B9">
    <cfRule type="cellIs" dxfId="114" priority="120" operator="greaterThan">
      <formula>0</formula>
    </cfRule>
  </conditionalFormatting>
  <conditionalFormatting sqref="B9">
    <cfRule type="cellIs" dxfId="113" priority="121" operator="lessThan">
      <formula>0</formula>
    </cfRule>
  </conditionalFormatting>
  <conditionalFormatting sqref="B9">
    <cfRule type="cellIs" dxfId="112" priority="122" operator="greaterThan">
      <formula>0</formula>
    </cfRule>
  </conditionalFormatting>
  <conditionalFormatting sqref="B9">
    <cfRule type="cellIs" dxfId="111" priority="123" operator="lessThan">
      <formula>0</formula>
    </cfRule>
  </conditionalFormatting>
  <conditionalFormatting sqref="B9:B10">
    <cfRule type="cellIs" dxfId="110" priority="116" operator="greaterThan">
      <formula>0</formula>
    </cfRule>
  </conditionalFormatting>
  <conditionalFormatting sqref="B9:B10">
    <cfRule type="cellIs" dxfId="109" priority="117" operator="lessThan">
      <formula>0</formula>
    </cfRule>
  </conditionalFormatting>
  <conditionalFormatting sqref="B9:B10">
    <cfRule type="cellIs" dxfId="108" priority="118" operator="greaterThan">
      <formula>0</formula>
    </cfRule>
  </conditionalFormatting>
  <conditionalFormatting sqref="B9:B10">
    <cfRule type="cellIs" dxfId="107" priority="119" operator="lessThan">
      <formula>0</formula>
    </cfRule>
  </conditionalFormatting>
  <conditionalFormatting sqref="B9:B10">
    <cfRule type="cellIs" dxfId="106" priority="112" operator="greaterThan">
      <formula>0</formula>
    </cfRule>
  </conditionalFormatting>
  <conditionalFormatting sqref="B9:B10">
    <cfRule type="cellIs" dxfId="105" priority="113" operator="lessThan">
      <formula>0</formula>
    </cfRule>
  </conditionalFormatting>
  <conditionalFormatting sqref="B9:B10">
    <cfRule type="cellIs" dxfId="104" priority="114" operator="greaterThan">
      <formula>0</formula>
    </cfRule>
  </conditionalFormatting>
  <conditionalFormatting sqref="B9:B10">
    <cfRule type="cellIs" dxfId="103" priority="115" operator="lessThan">
      <formula>0</formula>
    </cfRule>
  </conditionalFormatting>
  <conditionalFormatting sqref="B6:B7">
    <cfRule type="cellIs" dxfId="102" priority="108" operator="greaterThan">
      <formula>0</formula>
    </cfRule>
  </conditionalFormatting>
  <conditionalFormatting sqref="B6:B7">
    <cfRule type="cellIs" dxfId="101" priority="109" operator="lessThan">
      <formula>0</formula>
    </cfRule>
  </conditionalFormatting>
  <conditionalFormatting sqref="B6:B7">
    <cfRule type="cellIs" dxfId="100" priority="110" operator="greaterThan">
      <formula>0</formula>
    </cfRule>
  </conditionalFormatting>
  <conditionalFormatting sqref="B6:B7">
    <cfRule type="cellIs" dxfId="99" priority="111" operator="lessThan">
      <formula>0</formula>
    </cfRule>
  </conditionalFormatting>
  <conditionalFormatting sqref="B6:B7">
    <cfRule type="cellIs" dxfId="98" priority="104" operator="greaterThan">
      <formula>0</formula>
    </cfRule>
  </conditionalFormatting>
  <conditionalFormatting sqref="B6:B7">
    <cfRule type="cellIs" dxfId="97" priority="105" operator="lessThan">
      <formula>0</formula>
    </cfRule>
  </conditionalFormatting>
  <conditionalFormatting sqref="B6:B7">
    <cfRule type="cellIs" dxfId="96" priority="106" operator="greaterThan">
      <formula>0</formula>
    </cfRule>
  </conditionalFormatting>
  <conditionalFormatting sqref="B6:B7">
    <cfRule type="cellIs" dxfId="95" priority="107" operator="lessThan">
      <formula>0</formula>
    </cfRule>
  </conditionalFormatting>
  <conditionalFormatting sqref="B6:B7">
    <cfRule type="cellIs" dxfId="94" priority="100" operator="greaterThan">
      <formula>0</formula>
    </cfRule>
  </conditionalFormatting>
  <conditionalFormatting sqref="B6:B7">
    <cfRule type="cellIs" dxfId="93" priority="101" operator="lessThan">
      <formula>0</formula>
    </cfRule>
  </conditionalFormatting>
  <conditionalFormatting sqref="B6:B7">
    <cfRule type="cellIs" dxfId="92" priority="102" operator="greaterThan">
      <formula>0</formula>
    </cfRule>
  </conditionalFormatting>
  <conditionalFormatting sqref="B6:B7">
    <cfRule type="cellIs" dxfId="91" priority="103" operator="lessThan">
      <formula>0</formula>
    </cfRule>
  </conditionalFormatting>
  <conditionalFormatting sqref="B6:B7">
    <cfRule type="cellIs" dxfId="90" priority="96" operator="greaterThan">
      <formula>0</formula>
    </cfRule>
  </conditionalFormatting>
  <conditionalFormatting sqref="B6:B7">
    <cfRule type="cellIs" dxfId="89" priority="97" operator="lessThan">
      <formula>0</formula>
    </cfRule>
  </conditionalFormatting>
  <conditionalFormatting sqref="B6:B7">
    <cfRule type="cellIs" dxfId="88" priority="98" operator="greaterThan">
      <formula>0</formula>
    </cfRule>
  </conditionalFormatting>
  <conditionalFormatting sqref="B6:B7">
    <cfRule type="cellIs" dxfId="87" priority="99" operator="lessThan">
      <formula>0</formula>
    </cfRule>
  </conditionalFormatting>
  <conditionalFormatting sqref="B6:B7">
    <cfRule type="cellIs" dxfId="86" priority="88" operator="greaterThan">
      <formula>0</formula>
    </cfRule>
  </conditionalFormatting>
  <conditionalFormatting sqref="B6:B7">
    <cfRule type="cellIs" dxfId="85" priority="89" operator="lessThan">
      <formula>0</formula>
    </cfRule>
  </conditionalFormatting>
  <conditionalFormatting sqref="B6:B7">
    <cfRule type="cellIs" dxfId="84" priority="90" operator="greaterThan">
      <formula>0</formula>
    </cfRule>
  </conditionalFormatting>
  <conditionalFormatting sqref="B6:B7">
    <cfRule type="cellIs" dxfId="83" priority="91" operator="lessThan">
      <formula>0</formula>
    </cfRule>
  </conditionalFormatting>
  <conditionalFormatting sqref="B6:B7">
    <cfRule type="cellIs" dxfId="82" priority="84" operator="greaterThan">
      <formula>0</formula>
    </cfRule>
  </conditionalFormatting>
  <conditionalFormatting sqref="B6:B7">
    <cfRule type="cellIs" dxfId="81" priority="85" operator="lessThan">
      <formula>0</formula>
    </cfRule>
  </conditionalFormatting>
  <conditionalFormatting sqref="B6:B7">
    <cfRule type="cellIs" dxfId="80" priority="86" operator="greaterThan">
      <formula>0</formula>
    </cfRule>
  </conditionalFormatting>
  <conditionalFormatting sqref="B6:B7">
    <cfRule type="cellIs" dxfId="79" priority="87" operator="lessThan">
      <formula>0</formula>
    </cfRule>
  </conditionalFormatting>
  <conditionalFormatting sqref="L2:M2">
    <cfRule type="cellIs" dxfId="78" priority="82" operator="lessThan">
      <formula>0</formula>
    </cfRule>
    <cfRule type="cellIs" dxfId="77" priority="83" operator="greaterThan">
      <formula>0</formula>
    </cfRule>
  </conditionalFormatting>
  <conditionalFormatting sqref="B19">
    <cfRule type="cellIs" dxfId="76" priority="78" operator="greaterThan">
      <formula>0</formula>
    </cfRule>
  </conditionalFormatting>
  <conditionalFormatting sqref="B19">
    <cfRule type="cellIs" dxfId="75" priority="79" operator="lessThan">
      <formula>0</formula>
    </cfRule>
  </conditionalFormatting>
  <conditionalFormatting sqref="B19">
    <cfRule type="cellIs" dxfId="74" priority="80" operator="greaterThan">
      <formula>0</formula>
    </cfRule>
  </conditionalFormatting>
  <conditionalFormatting sqref="B19">
    <cfRule type="cellIs" dxfId="73" priority="81" operator="lessThan">
      <formula>0</formula>
    </cfRule>
  </conditionalFormatting>
  <conditionalFormatting sqref="B19">
    <cfRule type="cellIs" dxfId="72" priority="74" operator="greaterThan">
      <formula>0</formula>
    </cfRule>
  </conditionalFormatting>
  <conditionalFormatting sqref="B19">
    <cfRule type="cellIs" dxfId="71" priority="75" operator="lessThan">
      <formula>0</formula>
    </cfRule>
  </conditionalFormatting>
  <conditionalFormatting sqref="B19">
    <cfRule type="cellIs" dxfId="70" priority="76" operator="greaterThan">
      <formula>0</formula>
    </cfRule>
  </conditionalFormatting>
  <conditionalFormatting sqref="B19">
    <cfRule type="cellIs" dxfId="69" priority="77" operator="lessThan">
      <formula>0</formula>
    </cfRule>
  </conditionalFormatting>
  <conditionalFormatting sqref="B3">
    <cfRule type="cellIs" dxfId="68" priority="70" operator="greaterThan">
      <formula>0</formula>
    </cfRule>
  </conditionalFormatting>
  <conditionalFormatting sqref="B3">
    <cfRule type="cellIs" dxfId="67" priority="71" operator="lessThan">
      <formula>0</formula>
    </cfRule>
  </conditionalFormatting>
  <conditionalFormatting sqref="B3">
    <cfRule type="cellIs" dxfId="66" priority="72" operator="greaterThan">
      <formula>0</formula>
    </cfRule>
  </conditionalFormatting>
  <conditionalFormatting sqref="B3">
    <cfRule type="cellIs" dxfId="65" priority="73" operator="lessThan">
      <formula>0</formula>
    </cfRule>
  </conditionalFormatting>
  <conditionalFormatting sqref="B3">
    <cfRule type="cellIs" dxfId="64" priority="66" operator="greaterThan">
      <formula>0</formula>
    </cfRule>
  </conditionalFormatting>
  <conditionalFormatting sqref="B3">
    <cfRule type="cellIs" dxfId="63" priority="67" operator="lessThan">
      <formula>0</formula>
    </cfRule>
  </conditionalFormatting>
  <conditionalFormatting sqref="B3">
    <cfRule type="cellIs" dxfId="62" priority="68" operator="greaterThan">
      <formula>0</formula>
    </cfRule>
  </conditionalFormatting>
  <conditionalFormatting sqref="B3">
    <cfRule type="cellIs" dxfId="61" priority="69" operator="lessThan">
      <formula>0</formula>
    </cfRule>
  </conditionalFormatting>
  <conditionalFormatting sqref="B3">
    <cfRule type="cellIs" dxfId="60" priority="62" operator="greaterThan">
      <formula>0</formula>
    </cfRule>
  </conditionalFormatting>
  <conditionalFormatting sqref="B3">
    <cfRule type="cellIs" dxfId="59" priority="63" operator="lessThan">
      <formula>0</formula>
    </cfRule>
  </conditionalFormatting>
  <conditionalFormatting sqref="B3">
    <cfRule type="cellIs" dxfId="58" priority="64" operator="greaterThan">
      <formula>0</formula>
    </cfRule>
  </conditionalFormatting>
  <conditionalFormatting sqref="B3">
    <cfRule type="cellIs" dxfId="57" priority="65" operator="lessThan">
      <formula>0</formula>
    </cfRule>
  </conditionalFormatting>
  <conditionalFormatting sqref="B3">
    <cfRule type="cellIs" dxfId="56" priority="58" operator="greaterThan">
      <formula>0</formula>
    </cfRule>
  </conditionalFormatting>
  <conditionalFormatting sqref="B3">
    <cfRule type="cellIs" dxfId="55" priority="59" operator="lessThan">
      <formula>0</formula>
    </cfRule>
  </conditionalFormatting>
  <conditionalFormatting sqref="B3">
    <cfRule type="cellIs" dxfId="54" priority="60" operator="greaterThan">
      <formula>0</formula>
    </cfRule>
  </conditionalFormatting>
  <conditionalFormatting sqref="B3">
    <cfRule type="cellIs" dxfId="53" priority="61" operator="lessThan">
      <formula>0</formula>
    </cfRule>
  </conditionalFormatting>
  <conditionalFormatting sqref="B7">
    <cfRule type="cellIs" dxfId="52" priority="54" operator="greaterThan">
      <formula>0</formula>
    </cfRule>
  </conditionalFormatting>
  <conditionalFormatting sqref="B7">
    <cfRule type="cellIs" dxfId="51" priority="55" operator="lessThan">
      <formula>0</formula>
    </cfRule>
  </conditionalFormatting>
  <conditionalFormatting sqref="B7">
    <cfRule type="cellIs" dxfId="50" priority="56" operator="greaterThan">
      <formula>0</formula>
    </cfRule>
  </conditionalFormatting>
  <conditionalFormatting sqref="B7">
    <cfRule type="cellIs" dxfId="49" priority="57" operator="lessThan">
      <formula>0</formula>
    </cfRule>
  </conditionalFormatting>
  <conditionalFormatting sqref="B7">
    <cfRule type="cellIs" dxfId="48" priority="50" operator="greaterThan">
      <formula>0</formula>
    </cfRule>
  </conditionalFormatting>
  <conditionalFormatting sqref="B7">
    <cfRule type="cellIs" dxfId="47" priority="51" operator="lessThan">
      <formula>0</formula>
    </cfRule>
  </conditionalFormatting>
  <conditionalFormatting sqref="B7">
    <cfRule type="cellIs" dxfId="46" priority="52" operator="greaterThan">
      <formula>0</formula>
    </cfRule>
  </conditionalFormatting>
  <conditionalFormatting sqref="B7">
    <cfRule type="cellIs" dxfId="45" priority="53" operator="lessThan">
      <formula>0</formula>
    </cfRule>
  </conditionalFormatting>
  <conditionalFormatting sqref="B7">
    <cfRule type="cellIs" dxfId="44" priority="46" operator="greaterThan">
      <formula>0</formula>
    </cfRule>
  </conditionalFormatting>
  <conditionalFormatting sqref="B7">
    <cfRule type="cellIs" dxfId="43" priority="47" operator="lessThan">
      <formula>0</formula>
    </cfRule>
  </conditionalFormatting>
  <conditionalFormatting sqref="B7">
    <cfRule type="cellIs" dxfId="42" priority="48" operator="greaterThan">
      <formula>0</formula>
    </cfRule>
  </conditionalFormatting>
  <conditionalFormatting sqref="B7">
    <cfRule type="cellIs" dxfId="41" priority="49" operator="lessThan">
      <formula>0</formula>
    </cfRule>
  </conditionalFormatting>
  <conditionalFormatting sqref="B7">
    <cfRule type="cellIs" dxfId="40" priority="42" operator="greaterThan">
      <formula>0</formula>
    </cfRule>
  </conditionalFormatting>
  <conditionalFormatting sqref="B7">
    <cfRule type="cellIs" dxfId="39" priority="43" operator="lessThan">
      <formula>0</formula>
    </cfRule>
  </conditionalFormatting>
  <conditionalFormatting sqref="B7">
    <cfRule type="cellIs" dxfId="38" priority="44" operator="greaterThan">
      <formula>0</formula>
    </cfRule>
  </conditionalFormatting>
  <conditionalFormatting sqref="B7">
    <cfRule type="cellIs" dxfId="37" priority="45" operator="lessThan">
      <formula>0</formula>
    </cfRule>
  </conditionalFormatting>
  <conditionalFormatting sqref="B7">
    <cfRule type="cellIs" dxfId="36" priority="38" operator="greaterThan">
      <formula>0</formula>
    </cfRule>
  </conditionalFormatting>
  <conditionalFormatting sqref="B7">
    <cfRule type="cellIs" dxfId="35" priority="39" operator="lessThan">
      <formula>0</formula>
    </cfRule>
  </conditionalFormatting>
  <conditionalFormatting sqref="B7">
    <cfRule type="cellIs" dxfId="34" priority="40" operator="greaterThan">
      <formula>0</formula>
    </cfRule>
  </conditionalFormatting>
  <conditionalFormatting sqref="B7">
    <cfRule type="cellIs" dxfId="33" priority="41" operator="lessThan">
      <formula>0</formula>
    </cfRule>
  </conditionalFormatting>
  <conditionalFormatting sqref="B7">
    <cfRule type="cellIs" dxfId="32" priority="34" operator="greaterThan">
      <formula>0</formula>
    </cfRule>
  </conditionalFormatting>
  <conditionalFormatting sqref="B7">
    <cfRule type="cellIs" dxfId="31" priority="35" operator="lessThan">
      <formula>0</formula>
    </cfRule>
  </conditionalFormatting>
  <conditionalFormatting sqref="B7">
    <cfRule type="cellIs" dxfId="30" priority="36" operator="greaterThan">
      <formula>0</formula>
    </cfRule>
  </conditionalFormatting>
  <conditionalFormatting sqref="B7">
    <cfRule type="cellIs" dxfId="29" priority="37" operator="lessThan">
      <formula>0</formula>
    </cfRule>
  </conditionalFormatting>
  <conditionalFormatting sqref="B7">
    <cfRule type="cellIs" dxfId="28" priority="30" operator="greaterThan">
      <formula>0</formula>
    </cfRule>
  </conditionalFormatting>
  <conditionalFormatting sqref="B7">
    <cfRule type="cellIs" dxfId="27" priority="31" operator="lessThan">
      <formula>0</formula>
    </cfRule>
  </conditionalFormatting>
  <conditionalFormatting sqref="B7">
    <cfRule type="cellIs" dxfId="26" priority="32" operator="greaterThan">
      <formula>0</formula>
    </cfRule>
  </conditionalFormatting>
  <conditionalFormatting sqref="B7">
    <cfRule type="cellIs" dxfId="25" priority="33" operator="lessThan">
      <formula>0</formula>
    </cfRule>
  </conditionalFormatting>
  <conditionalFormatting sqref="B7">
    <cfRule type="cellIs" dxfId="24" priority="26" operator="greaterThan">
      <formula>0</formula>
    </cfRule>
  </conditionalFormatting>
  <conditionalFormatting sqref="B7">
    <cfRule type="cellIs" dxfId="23" priority="27" operator="lessThan">
      <formula>0</formula>
    </cfRule>
  </conditionalFormatting>
  <conditionalFormatting sqref="B7">
    <cfRule type="cellIs" dxfId="22" priority="28" operator="greaterThan">
      <formula>0</formula>
    </cfRule>
  </conditionalFormatting>
  <conditionalFormatting sqref="B7">
    <cfRule type="cellIs" dxfId="21" priority="29" operator="lessThan">
      <formula>0</formula>
    </cfRule>
  </conditionalFormatting>
  <conditionalFormatting sqref="B7">
    <cfRule type="cellIs" dxfId="20" priority="22" operator="greaterThan">
      <formula>0</formula>
    </cfRule>
  </conditionalFormatting>
  <conditionalFormatting sqref="B7">
    <cfRule type="cellIs" dxfId="19" priority="23" operator="lessThan">
      <formula>0</formula>
    </cfRule>
  </conditionalFormatting>
  <conditionalFormatting sqref="B7">
    <cfRule type="cellIs" dxfId="18" priority="24" operator="greaterThan">
      <formula>0</formula>
    </cfRule>
  </conditionalFormatting>
  <conditionalFormatting sqref="B7">
    <cfRule type="cellIs" dxfId="17" priority="25" operator="lessThan">
      <formula>0</formula>
    </cfRule>
  </conditionalFormatting>
  <conditionalFormatting sqref="AH3:AH42">
    <cfRule type="cellIs" dxfId="16" priority="21" operator="lessThan">
      <formula>0.01</formula>
    </cfRule>
  </conditionalFormatting>
  <conditionalFormatting sqref="V3:V42">
    <cfRule type="cellIs" dxfId="15" priority="20" operator="lessThan">
      <formula>0.01</formula>
    </cfRule>
  </conditionalFormatting>
  <conditionalFormatting sqref="AR3:AR42">
    <cfRule type="expression" dxfId="14" priority="19">
      <formula>$O$18-$U3&lt;0</formula>
    </cfRule>
  </conditionalFormatting>
  <conditionalFormatting sqref="AR3:AR42">
    <cfRule type="expression" dxfId="13" priority="18">
      <formula>$O$18-$U3&gt;0</formula>
    </cfRule>
  </conditionalFormatting>
  <conditionalFormatting sqref="AS3:AS42">
    <cfRule type="expression" dxfId="12" priority="17">
      <formula>$O$18-$U3&lt;0</formula>
    </cfRule>
  </conditionalFormatting>
  <conditionalFormatting sqref="AS3:AS42">
    <cfRule type="expression" dxfId="11" priority="16">
      <formula>$O$18-$U3&gt;0</formula>
    </cfRule>
  </conditionalFormatting>
  <conditionalFormatting sqref="AT3:AT42">
    <cfRule type="expression" dxfId="10" priority="15">
      <formula>$O$18-$U3&lt;0</formula>
    </cfRule>
  </conditionalFormatting>
  <conditionalFormatting sqref="AT3:AT42">
    <cfRule type="expression" dxfId="9" priority="14">
      <formula>$O$18-$U3&gt;0</formula>
    </cfRule>
  </conditionalFormatting>
  <conditionalFormatting sqref="T3:T42">
    <cfRule type="cellIs" dxfId="8" priority="13" operator="equal">
      <formula>0</formula>
    </cfRule>
  </conditionalFormatting>
  <conditionalFormatting sqref="AF3:AF42">
    <cfRule type="cellIs" dxfId="7" priority="12" operator="equal">
      <formula>0</formula>
    </cfRule>
  </conditionalFormatting>
  <conditionalFormatting sqref="AB3:AB42">
    <cfRule type="cellIs" dxfId="6" priority="9" operator="equal">
      <formula>0</formula>
    </cfRule>
  </conditionalFormatting>
  <conditionalFormatting sqref="AC3:AC42">
    <cfRule type="cellIs" dxfId="5" priority="8" operator="equal">
      <formula>0</formula>
    </cfRule>
  </conditionalFormatting>
  <conditionalFormatting sqref="AM3:AM42">
    <cfRule type="cellIs" dxfId="4" priority="4" operator="lessThan">
      <formula>AH3</formula>
    </cfRule>
    <cfRule type="cellIs" dxfId="3" priority="5" operator="equal">
      <formula>0</formula>
    </cfRule>
  </conditionalFormatting>
  <conditionalFormatting sqref="AK3:AL42">
    <cfRule type="cellIs" dxfId="2" priority="3" operator="equal">
      <formula>0</formula>
    </cfRule>
  </conditionalFormatting>
  <conditionalFormatting sqref="AN3:AN42">
    <cfRule type="cellIs" dxfId="1" priority="2" operator="equal">
      <formula>0</formula>
    </cfRule>
  </conditionalFormatting>
  <conditionalFormatting sqref="AO3:AO4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7 N12:N17 N19:N2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63"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tr">
        <f>'epgb-ggal'!X3</f>
        <v>GFGC14915D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tr">
        <f>'epgb-ggal'!X4</f>
        <v>GFGC1570DI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tr">
        <f>'epgb-ggal'!X5</f>
        <v>GFGC1640DI</v>
      </c>
      <c r="B4" s="20"/>
      <c r="C4" s="19"/>
      <c r="D4" s="20"/>
      <c r="E4" s="19" t="s">
        <v>621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tr">
        <f>'epgb-ggal'!X6</f>
        <v>GFGC17715D</v>
      </c>
      <c r="B5" s="20"/>
      <c r="C5" s="19"/>
      <c r="D5" s="20"/>
      <c r="E5" s="19" t="s">
        <v>622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tr">
        <f>'epgb-ggal'!X7</f>
        <v>GFGC18515D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tr">
        <f>'epgb-ggal'!X8</f>
        <v>GFGC19315D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tr">
        <f>'epgb-ggal'!X9</f>
        <v>GFGC2020DI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317" t="str">
        <f>'epgb-ggal'!X10</f>
        <v>GFGC20915D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tr">
        <f>'epgb-ggal'!AJ3</f>
        <v>GFGV80456D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tr">
        <f>'epgb-ggal'!AJ4</f>
        <v>GFGV830.DI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tr">
        <f>'epgb-ggal'!AJ5</f>
        <v>GFGV90152D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tr">
        <f>'epgb-ggal'!AJ6</f>
        <v>GFGV94152D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tr">
        <f>'epgb-ggal'!AJ7</f>
        <v>GFGV990.DI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tr">
        <f>'epgb-ggal'!AJ8</f>
        <v>GFGV1033DI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tr">
        <f>'epgb-ggal'!AJ9</f>
        <v>GFGV10915D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tr">
        <f>'epgb-ggal'!AJ10</f>
        <v>GFGV1150DI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623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624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625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626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627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628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629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630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631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632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633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634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549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550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551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552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553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554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543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544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545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546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547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548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594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183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595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230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596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231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588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186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589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238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590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239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591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184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592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240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593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241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597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185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598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242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599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243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600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187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601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232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602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233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603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164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604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220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605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221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609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190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610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234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611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235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606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188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607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236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608</v>
      </c>
      <c r="F94" s="20"/>
      <c r="G94" s="21" t="s">
        <v>555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237</v>
      </c>
      <c r="F95" s="20"/>
      <c r="G95" s="21" t="s">
        <v>556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612</v>
      </c>
      <c r="F96" s="20"/>
      <c r="G96" s="21" t="s">
        <v>557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189</v>
      </c>
      <c r="F97" s="20"/>
      <c r="G97" s="21" t="s">
        <v>558</v>
      </c>
      <c r="H97" s="20"/>
      <c r="I97" s="21"/>
      <c r="J97" s="20"/>
      <c r="K97" s="21"/>
      <c r="L97" s="20"/>
      <c r="M97" s="21"/>
    </row>
    <row r="98" spans="1:13" s="4" customFormat="1">
      <c r="A98" s="19"/>
      <c r="B98" s="6"/>
      <c r="C98" s="19"/>
      <c r="D98" s="20"/>
      <c r="E98" s="19" t="s">
        <v>613</v>
      </c>
      <c r="F98" s="20"/>
      <c r="G98" s="21" t="s">
        <v>559</v>
      </c>
      <c r="H98" s="20"/>
      <c r="I98" s="21"/>
      <c r="J98" s="20"/>
      <c r="K98" s="21"/>
      <c r="L98" s="20"/>
      <c r="M98" s="21"/>
    </row>
    <row r="99" spans="1:13" s="4" customFormat="1">
      <c r="A99" s="19"/>
      <c r="B99" s="6"/>
      <c r="C99" s="19"/>
      <c r="D99" s="20"/>
      <c r="E99" s="19" t="s">
        <v>276</v>
      </c>
      <c r="F99" s="20"/>
      <c r="G99" s="21" t="s">
        <v>560</v>
      </c>
      <c r="H99" s="20"/>
      <c r="I99" s="21"/>
      <c r="J99" s="20"/>
      <c r="K99" s="21"/>
      <c r="L99" s="20"/>
      <c r="M99" s="21"/>
    </row>
    <row r="100" spans="1:13" s="4" customFormat="1">
      <c r="A100" s="19"/>
      <c r="B100" s="6"/>
      <c r="C100" s="19"/>
      <c r="D100" s="20"/>
      <c r="E100" s="19" t="s">
        <v>614</v>
      </c>
      <c r="F100" s="20"/>
      <c r="G100" s="21" t="s">
        <v>561</v>
      </c>
      <c r="H100" s="20"/>
      <c r="I100" s="21"/>
      <c r="J100" s="20"/>
      <c r="K100" s="21"/>
      <c r="L100" s="20"/>
      <c r="M100" s="21"/>
    </row>
    <row r="101" spans="1:13" s="4" customFormat="1">
      <c r="A101" s="19"/>
      <c r="B101" s="6"/>
      <c r="C101" s="19"/>
      <c r="D101" s="20"/>
      <c r="E101" s="19" t="s">
        <v>277</v>
      </c>
      <c r="F101" s="20"/>
      <c r="G101" s="21" t="s">
        <v>562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/>
      <c r="F102" s="20"/>
      <c r="G102" s="21" t="s">
        <v>563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/>
      <c r="F103" s="20"/>
      <c r="G103" s="21" t="s">
        <v>568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/>
      <c r="F104" s="20"/>
      <c r="G104" s="21" t="s">
        <v>564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/>
      <c r="F105" s="20"/>
      <c r="G105" s="21" t="s">
        <v>565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/>
      <c r="F106" s="20"/>
      <c r="G106" s="21" t="s">
        <v>566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/>
      <c r="F107" s="20"/>
      <c r="G107" s="21" t="s">
        <v>567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21" t="s">
        <v>586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21" t="s">
        <v>587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41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41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41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41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5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5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5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5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 ht="12.75">
      <c r="E583" s="14"/>
    </row>
    <row r="584" spans="5:5" ht="12.75">
      <c r="E584" s="14"/>
    </row>
    <row r="585" spans="5:5" ht="12.75">
      <c r="E585" s="14"/>
    </row>
    <row r="586" spans="5:5" ht="12.75">
      <c r="E586" s="14"/>
    </row>
    <row r="587" spans="5:5" ht="12.75">
      <c r="E587" s="14"/>
    </row>
    <row r="588" spans="5:5" ht="12.75">
      <c r="E588" s="14"/>
    </row>
    <row r="589" spans="5:5" ht="12.75"/>
    <row r="590" spans="5:5" ht="12.75"/>
    <row r="591" spans="5:5" ht="12.75"/>
    <row r="592" spans="5:5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2023-12-09T14:18:44Z</dcterms:modified>
</cp:coreProperties>
</file>