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C48A319-0833-448C-9D05-093C46593802}" xr6:coauthVersionLast="47" xr6:coauthVersionMax="47" xr10:uidLastSave="{00000000-0000-0000-0000-000000000000}"/>
  <bookViews>
    <workbookView xWindow="7200" yWindow="885" windowWidth="21600" windowHeight="13500" tabRatio="599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38" l="1"/>
  <c r="A10" i="38"/>
  <c r="I10" i="38" s="1"/>
  <c r="Y14" i="38"/>
  <c r="Y18" i="38" s="1"/>
  <c r="N13" i="38"/>
  <c r="AA19" i="38"/>
  <c r="AA15" i="38"/>
  <c r="Y2" i="38"/>
  <c r="Y6" i="38"/>
  <c r="J24" i="38"/>
  <c r="AA11" i="38"/>
  <c r="D23" i="38"/>
  <c r="W65" i="38"/>
  <c r="W64" i="38"/>
  <c r="AA22" i="38"/>
  <c r="AA23" i="38"/>
  <c r="AB23" i="38" s="1"/>
  <c r="AA24" i="38"/>
  <c r="AA25" i="38"/>
  <c r="AB25" i="38" s="1"/>
  <c r="W75" i="38"/>
  <c r="W74" i="38"/>
  <c r="W73" i="38"/>
  <c r="W72" i="38"/>
  <c r="W71" i="38"/>
  <c r="W70" i="38"/>
  <c r="W63" i="38"/>
  <c r="W62" i="38"/>
  <c r="W61" i="38"/>
  <c r="W60" i="38"/>
  <c r="W59" i="38"/>
  <c r="W58" i="38"/>
  <c r="W51" i="38"/>
  <c r="W50" i="38"/>
  <c r="W49" i="38"/>
  <c r="W48" i="38"/>
  <c r="W47" i="38"/>
  <c r="W46" i="38"/>
  <c r="W57" i="38"/>
  <c r="W56" i="38"/>
  <c r="W55" i="38"/>
  <c r="W54" i="38"/>
  <c r="W52" i="38"/>
  <c r="W53" i="38"/>
  <c r="W66" i="38"/>
  <c r="W67" i="38"/>
  <c r="W68" i="38"/>
  <c r="W69" i="38"/>
  <c r="W76" i="38"/>
  <c r="W77" i="38"/>
  <c r="W78" i="38"/>
  <c r="W79" i="38"/>
  <c r="W80" i="38"/>
  <c r="W81" i="38"/>
  <c r="W82" i="38"/>
  <c r="W83" i="38"/>
  <c r="W84" i="38"/>
  <c r="W85" i="38"/>
  <c r="W86" i="38"/>
  <c r="W87" i="38"/>
  <c r="W88" i="38"/>
  <c r="W89" i="38"/>
  <c r="W90" i="38"/>
  <c r="W91" i="38"/>
  <c r="W92" i="38"/>
  <c r="W93" i="38"/>
  <c r="W94" i="38"/>
  <c r="W95" i="38"/>
  <c r="W96" i="38"/>
  <c r="W97" i="38"/>
  <c r="W98" i="38"/>
  <c r="W99" i="38"/>
  <c r="W100" i="38"/>
  <c r="W101" i="38"/>
  <c r="W102" i="38"/>
  <c r="W103" i="38"/>
  <c r="W104" i="38"/>
  <c r="W105" i="38"/>
  <c r="W106" i="38"/>
  <c r="W107" i="38"/>
  <c r="W108" i="38"/>
  <c r="W109" i="38"/>
  <c r="W110" i="38"/>
  <c r="W111" i="38"/>
  <c r="W112" i="38"/>
  <c r="W113" i="38"/>
  <c r="W114" i="38"/>
  <c r="W115" i="38"/>
  <c r="W116" i="38"/>
  <c r="W117" i="38"/>
  <c r="W118" i="38"/>
  <c r="W119" i="38"/>
  <c r="W120" i="38"/>
  <c r="W121" i="38"/>
  <c r="W122" i="38"/>
  <c r="W123" i="38"/>
  <c r="W124" i="38"/>
  <c r="W125" i="38"/>
  <c r="W126" i="38"/>
  <c r="W127" i="38"/>
  <c r="W128" i="38"/>
  <c r="W129" i="38"/>
  <c r="W130" i="38"/>
  <c r="W131" i="38"/>
  <c r="W132" i="38"/>
  <c r="W133" i="38"/>
  <c r="W134" i="38"/>
  <c r="W135" i="38"/>
  <c r="Y50" i="38"/>
  <c r="Y131" i="38"/>
  <c r="Y130" i="38"/>
  <c r="Y125" i="38"/>
  <c r="Y124" i="38"/>
  <c r="Y119" i="38"/>
  <c r="Y118" i="38"/>
  <c r="Y113" i="38"/>
  <c r="Y112" i="38"/>
  <c r="Y107" i="38"/>
  <c r="Y106" i="38"/>
  <c r="Y101" i="38"/>
  <c r="Y100" i="38"/>
  <c r="Y95" i="38"/>
  <c r="Y94" i="38"/>
  <c r="Y89" i="38"/>
  <c r="Y88" i="38"/>
  <c r="Y83" i="38"/>
  <c r="Y82" i="38"/>
  <c r="Y77" i="38"/>
  <c r="Y76" i="38"/>
  <c r="Y71" i="38"/>
  <c r="Y70" i="38"/>
  <c r="Y65" i="38"/>
  <c r="Y64" i="38"/>
  <c r="Y59" i="38"/>
  <c r="Y58" i="38"/>
  <c r="Y53" i="38"/>
  <c r="Y52" i="38"/>
  <c r="Y47" i="38"/>
  <c r="Y46" i="38"/>
  <c r="AA2" i="38"/>
  <c r="AA3" i="38"/>
  <c r="C4" i="38"/>
  <c r="Y45" i="38"/>
  <c r="Y44" i="38"/>
  <c r="AA42" i="38"/>
  <c r="AA44" i="38"/>
  <c r="Y135" i="38"/>
  <c r="Y134" i="38"/>
  <c r="Y133" i="38"/>
  <c r="Y132" i="38"/>
  <c r="Y129" i="38"/>
  <c r="Y128" i="38"/>
  <c r="Y127" i="38"/>
  <c r="Y126" i="38"/>
  <c r="Y123" i="38"/>
  <c r="Y122" i="38"/>
  <c r="Y121" i="38"/>
  <c r="Y120" i="38"/>
  <c r="Y117" i="38"/>
  <c r="Y116" i="38"/>
  <c r="Y115" i="38"/>
  <c r="Y114" i="38"/>
  <c r="Y111" i="38"/>
  <c r="Y110" i="38"/>
  <c r="Y109" i="38"/>
  <c r="Y108" i="38"/>
  <c r="Y105" i="38"/>
  <c r="Y104" i="38"/>
  <c r="Y103" i="38"/>
  <c r="Y102" i="38"/>
  <c r="Y99" i="38"/>
  <c r="Y98" i="38"/>
  <c r="Y97" i="38"/>
  <c r="Y96" i="38"/>
  <c r="Y93" i="38"/>
  <c r="Y92" i="38"/>
  <c r="Y91" i="38"/>
  <c r="Y90" i="38"/>
  <c r="Y87" i="38"/>
  <c r="Y86" i="38"/>
  <c r="Y85" i="38"/>
  <c r="Y84" i="38"/>
  <c r="Y81" i="38"/>
  <c r="Y80" i="38"/>
  <c r="Y79" i="38"/>
  <c r="Y78" i="38"/>
  <c r="Y75" i="38"/>
  <c r="Y74" i="38"/>
  <c r="Y73" i="38"/>
  <c r="Y72" i="38"/>
  <c r="Y69" i="38"/>
  <c r="Y68" i="38"/>
  <c r="Y67" i="38"/>
  <c r="Y66" i="38"/>
  <c r="Y63" i="38"/>
  <c r="Y62" i="38"/>
  <c r="Y61" i="38"/>
  <c r="Y60" i="38"/>
  <c r="Y57" i="38"/>
  <c r="Y56" i="38"/>
  <c r="Y55" i="38"/>
  <c r="Y54" i="38"/>
  <c r="Y51" i="38"/>
  <c r="Y48" i="38"/>
  <c r="Y49" i="38"/>
  <c r="AA136" i="38"/>
  <c r="AA130" i="38"/>
  <c r="AA124" i="38"/>
  <c r="AA118" i="38"/>
  <c r="AA112" i="38"/>
  <c r="AA106" i="38"/>
  <c r="AA100" i="38"/>
  <c r="AA94" i="38"/>
  <c r="AA88" i="38"/>
  <c r="AA82" i="38"/>
  <c r="AA76" i="38"/>
  <c r="AA70" i="38"/>
  <c r="AA64" i="38"/>
  <c r="AA58" i="38"/>
  <c r="AA52" i="38"/>
  <c r="AA46" i="38"/>
  <c r="Z137" i="38"/>
  <c r="Z136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AE1" i="38"/>
  <c r="Q48" i="46" s="1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AA141" i="38"/>
  <c r="AB141" i="38" s="1"/>
  <c r="AA7" i="38"/>
  <c r="AA6" i="38"/>
  <c r="AA140" i="38"/>
  <c r="AB140" i="38" s="1"/>
  <c r="AA139" i="38"/>
  <c r="AB139" i="38" s="1"/>
  <c r="AA138" i="38"/>
  <c r="AB138" i="38" s="1"/>
  <c r="AA135" i="38"/>
  <c r="AB135" i="38" s="1"/>
  <c r="AA134" i="38"/>
  <c r="AB134" i="38" s="1"/>
  <c r="AA133" i="38"/>
  <c r="AB133" i="38" s="1"/>
  <c r="AA132" i="38"/>
  <c r="AB132" i="38" s="1"/>
  <c r="AA129" i="38"/>
  <c r="AB129" i="38" s="1"/>
  <c r="AA128" i="38"/>
  <c r="AB128" i="38" s="1"/>
  <c r="AA127" i="38"/>
  <c r="AB127" i="38" s="1"/>
  <c r="AA126" i="38"/>
  <c r="AB126" i="38" s="1"/>
  <c r="AA123" i="38"/>
  <c r="AB123" i="38" s="1"/>
  <c r="AA122" i="38"/>
  <c r="AB122" i="38" s="1"/>
  <c r="AA121" i="38"/>
  <c r="AB121" i="38" s="1"/>
  <c r="AA120" i="38"/>
  <c r="AB120" i="38" s="1"/>
  <c r="AA117" i="38"/>
  <c r="AB117" i="38" s="1"/>
  <c r="AA116" i="38"/>
  <c r="AB116" i="38" s="1"/>
  <c r="AA115" i="38"/>
  <c r="AB115" i="38" s="1"/>
  <c r="AA114" i="38"/>
  <c r="AB114" i="38" s="1"/>
  <c r="AA111" i="38"/>
  <c r="AB111" i="38" s="1"/>
  <c r="AA110" i="38"/>
  <c r="AB110" i="38" s="1"/>
  <c r="AA109" i="38"/>
  <c r="AB109" i="38" s="1"/>
  <c r="AA108" i="38"/>
  <c r="AB108" i="38" s="1"/>
  <c r="AA105" i="38"/>
  <c r="AB105" i="38" s="1"/>
  <c r="AA104" i="38"/>
  <c r="AB104" i="38" s="1"/>
  <c r="AA103" i="38"/>
  <c r="AB103" i="38" s="1"/>
  <c r="AA102" i="38"/>
  <c r="AB102" i="38" s="1"/>
  <c r="AA99" i="38"/>
  <c r="AB99" i="38" s="1"/>
  <c r="AA98" i="38"/>
  <c r="AB98" i="38" s="1"/>
  <c r="AA97" i="38"/>
  <c r="AB97" i="38" s="1"/>
  <c r="AA96" i="38"/>
  <c r="AB96" i="38" s="1"/>
  <c r="AA93" i="38"/>
  <c r="AB93" i="38" s="1"/>
  <c r="AA92" i="38"/>
  <c r="AB92" i="38" s="1"/>
  <c r="AA91" i="38"/>
  <c r="AB91" i="38" s="1"/>
  <c r="AA90" i="38"/>
  <c r="AB90" i="38" s="1"/>
  <c r="AA87" i="38"/>
  <c r="AB87" i="38" s="1"/>
  <c r="AA86" i="38"/>
  <c r="AB86" i="38" s="1"/>
  <c r="AA85" i="38"/>
  <c r="AB85" i="38" s="1"/>
  <c r="AA84" i="38"/>
  <c r="AB84" i="38" s="1"/>
  <c r="AA81" i="38"/>
  <c r="AB81" i="38" s="1"/>
  <c r="AA80" i="38"/>
  <c r="AB80" i="38" s="1"/>
  <c r="AA79" i="38"/>
  <c r="AB79" i="38" s="1"/>
  <c r="AA78" i="38"/>
  <c r="AB78" i="38" s="1"/>
  <c r="Y136" i="38"/>
  <c r="Y137" i="38"/>
  <c r="Y138" i="38"/>
  <c r="Y139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Z157" i="38"/>
  <c r="Y157" i="38"/>
  <c r="Z156" i="38"/>
  <c r="Y156" i="38"/>
  <c r="Z155" i="38"/>
  <c r="Y155" i="38"/>
  <c r="Z154" i="38"/>
  <c r="Y154" i="38"/>
  <c r="Z153" i="38"/>
  <c r="Y153" i="38"/>
  <c r="Z152" i="38"/>
  <c r="Y152" i="38"/>
  <c r="Z151" i="38"/>
  <c r="Y151" i="38"/>
  <c r="Z150" i="38"/>
  <c r="Y150" i="38"/>
  <c r="Z149" i="38"/>
  <c r="Y149" i="38"/>
  <c r="Z148" i="38"/>
  <c r="Y148" i="38"/>
  <c r="Z147" i="38"/>
  <c r="Y147" i="38"/>
  <c r="Z146" i="38"/>
  <c r="Y146" i="38"/>
  <c r="Z145" i="38"/>
  <c r="Y145" i="38"/>
  <c r="Z144" i="38"/>
  <c r="Y144" i="38"/>
  <c r="Z143" i="38"/>
  <c r="Y143" i="38"/>
  <c r="Z142" i="38"/>
  <c r="Y142" i="38"/>
  <c r="AA75" i="38"/>
  <c r="AB75" i="38" s="1"/>
  <c r="AA74" i="38"/>
  <c r="AB74" i="38" s="1"/>
  <c r="AA73" i="38"/>
  <c r="AB73" i="38" s="1"/>
  <c r="AA72" i="38"/>
  <c r="AB72" i="38" s="1"/>
  <c r="AA69" i="38"/>
  <c r="AB69" i="38" s="1"/>
  <c r="AA68" i="38"/>
  <c r="AB68" i="38" s="1"/>
  <c r="AA67" i="38"/>
  <c r="AB67" i="38" s="1"/>
  <c r="AA66" i="38"/>
  <c r="AB66" i="38" s="1"/>
  <c r="AA63" i="38"/>
  <c r="AB63" i="38" s="1"/>
  <c r="AA62" i="38"/>
  <c r="AB62" i="38" s="1"/>
  <c r="AA61" i="38"/>
  <c r="AB61" i="38" s="1"/>
  <c r="AA60" i="38"/>
  <c r="AB60" i="38" s="1"/>
  <c r="AA57" i="38"/>
  <c r="AB57" i="38" s="1"/>
  <c r="AA56" i="38"/>
  <c r="AB56" i="38" s="1"/>
  <c r="AA55" i="38"/>
  <c r="AB55" i="38" s="1"/>
  <c r="AA54" i="38"/>
  <c r="AB54" i="38" s="1"/>
  <c r="AA51" i="38"/>
  <c r="AB51" i="38" s="1"/>
  <c r="AA50" i="38"/>
  <c r="AB50" i="38" s="1"/>
  <c r="AA49" i="38"/>
  <c r="AB49" i="38" s="1"/>
  <c r="AA48" i="38"/>
  <c r="AB48" i="38" s="1"/>
  <c r="AJ14" i="46"/>
  <c r="AJ13" i="46"/>
  <c r="AJ12" i="46"/>
  <c r="AJ11" i="46"/>
  <c r="AJ10" i="46"/>
  <c r="A17" i="3" s="1"/>
  <c r="AJ9" i="46"/>
  <c r="A16" i="3" s="1"/>
  <c r="AJ8" i="46"/>
  <c r="A15" i="3" s="1"/>
  <c r="AJ7" i="46"/>
  <c r="AJ6" i="46"/>
  <c r="A13" i="3" s="1"/>
  <c r="AJ5" i="46"/>
  <c r="A12" i="3" s="1"/>
  <c r="AJ4" i="46"/>
  <c r="A11" i="3" s="1"/>
  <c r="AJ3" i="46"/>
  <c r="A10" i="3" s="1"/>
  <c r="X4" i="46"/>
  <c r="X5" i="46"/>
  <c r="X6" i="46"/>
  <c r="A5" i="3" s="1"/>
  <c r="X7" i="46"/>
  <c r="A6" i="3" s="1"/>
  <c r="X8" i="46"/>
  <c r="A7" i="3" s="1"/>
  <c r="X9" i="46"/>
  <c r="A8" i="3" s="1"/>
  <c r="X10" i="46"/>
  <c r="A9" i="3" s="1"/>
  <c r="X11" i="46"/>
  <c r="X12" i="46"/>
  <c r="X13" i="46"/>
  <c r="X14" i="46"/>
  <c r="X3" i="46"/>
  <c r="A3" i="3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Z61" i="38"/>
  <c r="Z60" i="38"/>
  <c r="Z55" i="38"/>
  <c r="Z54" i="38"/>
  <c r="Z48" i="38"/>
  <c r="Z49" i="38"/>
  <c r="AD1" i="38"/>
  <c r="AA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A4" i="3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H10" i="38" l="1"/>
  <c r="D10" i="38"/>
  <c r="L10" i="38"/>
  <c r="A14" i="38"/>
  <c r="A18" i="38" s="1"/>
  <c r="E10" i="38"/>
  <c r="M10" i="38"/>
  <c r="AA10" i="38"/>
  <c r="A17" i="38"/>
  <c r="A21" i="38" s="1"/>
  <c r="K13" i="38"/>
  <c r="D13" i="38"/>
  <c r="H13" i="38"/>
  <c r="L13" i="38"/>
  <c r="E13" i="38"/>
  <c r="I13" i="38"/>
  <c r="M13" i="38"/>
  <c r="C13" i="38"/>
  <c r="G13" i="38"/>
  <c r="O13" i="38"/>
  <c r="B13" i="38"/>
  <c r="F13" i="38"/>
  <c r="J13" i="38"/>
  <c r="B10" i="38"/>
  <c r="F10" i="38"/>
  <c r="Z10" i="38" s="1"/>
  <c r="J10" i="38"/>
  <c r="N10" i="38"/>
  <c r="C10" i="38"/>
  <c r="G10" i="38"/>
  <c r="K10" i="38"/>
  <c r="O10" i="38"/>
  <c r="N15" i="38"/>
  <c r="J15" i="38"/>
  <c r="F15" i="38"/>
  <c r="B15" i="38"/>
  <c r="M15" i="38"/>
  <c r="I15" i="38"/>
  <c r="E15" i="38"/>
  <c r="O15" i="38"/>
  <c r="G15" i="38"/>
  <c r="L15" i="38"/>
  <c r="H15" i="38"/>
  <c r="D15" i="38"/>
  <c r="K15" i="38"/>
  <c r="C15" i="38"/>
  <c r="Y7" i="38"/>
  <c r="Z7" i="38" s="1"/>
  <c r="Y3" i="38"/>
  <c r="Y4" i="38" s="1"/>
  <c r="Y5" i="38" s="1"/>
  <c r="Z5" i="38" s="1"/>
  <c r="Z6" i="38"/>
  <c r="Z2" i="38"/>
  <c r="Z46" i="38"/>
  <c r="Z77" i="38"/>
  <c r="Z59" i="38"/>
  <c r="Z83" i="38"/>
  <c r="Z107" i="38"/>
  <c r="Z131" i="38"/>
  <c r="Z44" i="38"/>
  <c r="Z101" i="38"/>
  <c r="Z65" i="38"/>
  <c r="Z89" i="38"/>
  <c r="Z113" i="38"/>
  <c r="Z42" i="38"/>
  <c r="Z1" i="38"/>
  <c r="Z53" i="38"/>
  <c r="Z125" i="38"/>
  <c r="Z47" i="38"/>
  <c r="Z71" i="38"/>
  <c r="Z95" i="38"/>
  <c r="Z119" i="38"/>
  <c r="Z43" i="38"/>
  <c r="Z45" i="38"/>
  <c r="Z52" i="38"/>
  <c r="Z64" i="38"/>
  <c r="Z76" i="38"/>
  <c r="Z88" i="38"/>
  <c r="Z100" i="38"/>
  <c r="Z112" i="38"/>
  <c r="Z124" i="38"/>
  <c r="Z58" i="38"/>
  <c r="Z70" i="38"/>
  <c r="Z82" i="38"/>
  <c r="Z94" i="38"/>
  <c r="Z106" i="38"/>
  <c r="Z118" i="38"/>
  <c r="Z130" i="38"/>
  <c r="A14" i="3"/>
  <c r="A2" i="3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M17" i="38" l="1"/>
  <c r="I17" i="38"/>
  <c r="E17" i="38"/>
  <c r="AC10" i="46"/>
  <c r="L17" i="38"/>
  <c r="H17" i="38"/>
  <c r="D17" i="38"/>
  <c r="N17" i="38"/>
  <c r="B17" i="38"/>
  <c r="O17" i="38"/>
  <c r="K17" i="38"/>
  <c r="G17" i="38"/>
  <c r="C17" i="38"/>
  <c r="J17" i="38"/>
  <c r="F17" i="38"/>
  <c r="N14" i="38"/>
  <c r="J14" i="38"/>
  <c r="F14" i="38"/>
  <c r="B14" i="38"/>
  <c r="M14" i="38"/>
  <c r="E14" i="38"/>
  <c r="AA14" i="38"/>
  <c r="O14" i="38"/>
  <c r="K14" i="38"/>
  <c r="G14" i="38"/>
  <c r="C14" i="38"/>
  <c r="I14" i="38"/>
  <c r="L14" i="38"/>
  <c r="H14" i="38"/>
  <c r="D14" i="38"/>
  <c r="AL5" i="46"/>
  <c r="Y5" i="46"/>
  <c r="AL9" i="46"/>
  <c r="AA13" i="46"/>
  <c r="AD3" i="46"/>
  <c r="AM12" i="46"/>
  <c r="AK9" i="46"/>
  <c r="AO12" i="46"/>
  <c r="Y11" i="38"/>
  <c r="Y12" i="38" s="1"/>
  <c r="AC12" i="46"/>
  <c r="AD13" i="46"/>
  <c r="Z3" i="46"/>
  <c r="AA4" i="46"/>
  <c r="AL14" i="46"/>
  <c r="AO10" i="46"/>
  <c r="AK6" i="46"/>
  <c r="AN7" i="46"/>
  <c r="AN6" i="46"/>
  <c r="AB3" i="46"/>
  <c r="Z3" i="38"/>
  <c r="Z4" i="38"/>
  <c r="Y8" i="38"/>
  <c r="AA4" i="38"/>
  <c r="M19" i="46"/>
  <c r="M16" i="46"/>
  <c r="M22" i="46"/>
  <c r="M13" i="46"/>
  <c r="M25" i="46"/>
  <c r="Q36" i="46"/>
  <c r="AM13" i="46" l="1"/>
  <c r="AL8" i="46"/>
  <c r="AO11" i="46"/>
  <c r="Y7" i="46"/>
  <c r="AD5" i="46"/>
  <c r="AC4" i="46"/>
  <c r="AB7" i="46"/>
  <c r="AL6" i="46"/>
  <c r="AM7" i="46"/>
  <c r="AK4" i="46"/>
  <c r="AN14" i="46"/>
  <c r="Z9" i="46"/>
  <c r="Z4" i="46"/>
  <c r="AO5" i="46"/>
  <c r="AA10" i="46"/>
  <c r="AN4" i="46"/>
  <c r="AM4" i="46"/>
  <c r="AC9" i="46"/>
  <c r="AB8" i="46"/>
  <c r="AA7" i="46"/>
  <c r="Z10" i="46"/>
  <c r="AK8" i="46"/>
  <c r="AN3" i="46"/>
  <c r="AL4" i="46"/>
  <c r="AC7" i="46"/>
  <c r="AB14" i="46"/>
  <c r="AD10" i="46"/>
  <c r="AL12" i="46"/>
  <c r="AB6" i="46"/>
  <c r="AK7" i="46"/>
  <c r="AO7" i="46"/>
  <c r="AM14" i="46"/>
  <c r="AP13" i="46"/>
  <c r="AP9" i="46"/>
  <c r="AN10" i="46"/>
  <c r="AN11" i="46"/>
  <c r="AL13" i="46"/>
  <c r="AA12" i="46"/>
  <c r="Z11" i="46"/>
  <c r="Y10" i="46"/>
  <c r="AD12" i="46"/>
  <c r="AP5" i="46"/>
  <c r="AO3" i="46"/>
  <c r="AN9" i="46"/>
  <c r="Y13" i="46"/>
  <c r="Y8" i="46"/>
  <c r="AK12" i="46"/>
  <c r="AP14" i="46"/>
  <c r="O21" i="38"/>
  <c r="K21" i="38"/>
  <c r="G21" i="38"/>
  <c r="C21" i="38"/>
  <c r="N21" i="38"/>
  <c r="J21" i="38"/>
  <c r="F21" i="38"/>
  <c r="B21" i="38"/>
  <c r="L21" i="38"/>
  <c r="M21" i="38"/>
  <c r="I21" i="38"/>
  <c r="E21" i="38"/>
  <c r="H21" i="38"/>
  <c r="D21" i="38"/>
  <c r="Z8" i="46"/>
  <c r="AL11" i="46"/>
  <c r="AD11" i="46"/>
  <c r="AB13" i="46"/>
  <c r="AA5" i="46"/>
  <c r="AD4" i="46"/>
  <c r="Z14" i="38"/>
  <c r="Z11" i="38"/>
  <c r="Y15" i="38"/>
  <c r="AA18" i="38"/>
  <c r="L18" i="38"/>
  <c r="H18" i="38"/>
  <c r="D18" i="38"/>
  <c r="O18" i="38"/>
  <c r="K18" i="38"/>
  <c r="C18" i="38"/>
  <c r="M18" i="38"/>
  <c r="I18" i="38"/>
  <c r="E18" i="38"/>
  <c r="G18" i="38"/>
  <c r="N18" i="38"/>
  <c r="J18" i="38"/>
  <c r="F18" i="38"/>
  <c r="B18" i="38"/>
  <c r="AM5" i="46"/>
  <c r="AM8" i="46"/>
  <c r="AK13" i="46"/>
  <c r="AC5" i="46"/>
  <c r="Y11" i="46"/>
  <c r="AC13" i="46"/>
  <c r="AB4" i="46"/>
  <c r="AA11" i="46"/>
  <c r="Y14" i="46"/>
  <c r="Z6" i="46"/>
  <c r="AB11" i="46"/>
  <c r="Z14" i="46"/>
  <c r="AK14" i="46"/>
  <c r="AL3" i="46"/>
  <c r="AO4" i="46"/>
  <c r="AL10" i="46"/>
  <c r="AP6" i="46"/>
  <c r="AN13" i="46"/>
  <c r="AO13" i="46"/>
  <c r="AC3" i="46"/>
  <c r="AA14" i="46"/>
  <c r="Z5" i="46"/>
  <c r="AP7" i="46"/>
  <c r="AO6" i="46"/>
  <c r="AL7" i="46"/>
  <c r="AM3" i="46"/>
  <c r="AO8" i="46"/>
  <c r="AP4" i="46"/>
  <c r="AK5" i="46"/>
  <c r="AM10" i="46"/>
  <c r="AN5" i="46"/>
  <c r="AP10" i="46"/>
  <c r="AP12" i="46"/>
  <c r="AM11" i="46"/>
  <c r="AP11" i="46"/>
  <c r="Y3" i="46"/>
  <c r="AA8" i="46"/>
  <c r="Z7" i="46"/>
  <c r="AD9" i="46"/>
  <c r="AB12" i="46"/>
  <c r="AA3" i="46"/>
  <c r="AC8" i="46"/>
  <c r="AD8" i="46"/>
  <c r="AO14" i="46"/>
  <c r="AB5" i="46"/>
  <c r="AP8" i="46"/>
  <c r="AN8" i="46"/>
  <c r="AM6" i="46"/>
  <c r="AM9" i="46"/>
  <c r="AO9" i="46"/>
  <c r="Y9" i="46"/>
  <c r="AB10" i="46"/>
  <c r="Y6" i="46"/>
  <c r="AK10" i="46"/>
  <c r="AP3" i="46"/>
  <c r="AK3" i="46"/>
  <c r="AK11" i="46"/>
  <c r="AN12" i="46"/>
  <c r="AA6" i="46"/>
  <c r="AC11" i="46"/>
  <c r="AD7" i="46"/>
  <c r="Z13" i="46"/>
  <c r="AC6" i="46"/>
  <c r="AD14" i="46"/>
  <c r="AA9" i="46"/>
  <c r="AD6" i="46"/>
  <c r="Y12" i="46"/>
  <c r="AB9" i="46"/>
  <c r="Y4" i="46"/>
  <c r="AC14" i="46"/>
  <c r="Z12" i="46"/>
  <c r="Y13" i="38"/>
  <c r="Z13" i="38" s="1"/>
  <c r="AA12" i="38" s="1"/>
  <c r="Z12" i="38"/>
  <c r="Z8" i="38"/>
  <c r="Y9" i="38"/>
  <c r="Z9" i="38" s="1"/>
  <c r="GL3" i="46"/>
  <c r="EU3" i="46"/>
  <c r="Z15" i="38" l="1"/>
  <c r="Y16" i="38"/>
  <c r="Y19" i="38"/>
  <c r="Z18" i="38"/>
  <c r="AA8" i="38"/>
  <c r="Q46" i="46"/>
  <c r="Q47" i="46" s="1"/>
  <c r="Y43" i="38"/>
  <c r="Y42" i="38"/>
  <c r="Z19" i="38" l="1"/>
  <c r="Y20" i="38"/>
  <c r="Z16" i="38"/>
  <c r="Y17" i="38"/>
  <c r="Z17" i="38" s="1"/>
  <c r="AA16" i="38" s="1"/>
  <c r="B76" i="46"/>
  <c r="AB34" i="46"/>
  <c r="Z39" i="46"/>
  <c r="Z23" i="46"/>
  <c r="AE12" i="46"/>
  <c r="Z15" i="46"/>
  <c r="AM39" i="46"/>
  <c r="AE39" i="46" s="1"/>
  <c r="AM23" i="46"/>
  <c r="AE23" i="46" s="1"/>
  <c r="AE7" i="46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E4" i="46"/>
  <c r="AM35" i="46"/>
  <c r="AE35" i="46" s="1"/>
  <c r="AM19" i="46"/>
  <c r="AE19" i="46" s="1"/>
  <c r="Z42" i="46"/>
  <c r="Z26" i="46"/>
  <c r="Z35" i="46"/>
  <c r="AM30" i="46"/>
  <c r="AE30" i="46" s="1"/>
  <c r="AE14" i="46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AE10" i="46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AE5" i="46"/>
  <c r="Z32" i="46"/>
  <c r="Z16" i="46"/>
  <c r="AB39" i="46"/>
  <c r="AB23" i="46"/>
  <c r="AL22" i="46"/>
  <c r="AE3" i="46"/>
  <c r="AM36" i="46"/>
  <c r="AE36" i="46" s="1"/>
  <c r="AE6" i="46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AE13" i="46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E9" i="46"/>
  <c r="AE11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Z51" i="38"/>
  <c r="Z50" i="38"/>
  <c r="Z57" i="38"/>
  <c r="Z56" i="38"/>
  <c r="Z63" i="38"/>
  <c r="Z62" i="38"/>
  <c r="Y21" i="38" l="1"/>
  <c r="Z21" i="38" s="1"/>
  <c r="AA20" i="38" s="1"/>
  <c r="Z20" i="38"/>
  <c r="AE8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19" i="46"/>
  <c r="DH19" i="46"/>
  <c r="EY19" i="46"/>
  <c r="N17" i="46"/>
  <c r="DH17" i="46"/>
  <c r="EY17" i="46"/>
  <c r="O16" i="46"/>
  <c r="I76" i="46" l="1"/>
  <c r="Q37" i="46" s="1"/>
  <c r="ES18" i="46"/>
  <c r="EY16" i="46"/>
  <c r="O15" i="46"/>
  <c r="DH16" i="46"/>
  <c r="N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N20" i="46"/>
  <c r="O21" i="46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N21" i="46"/>
  <c r="DH21" i="46"/>
  <c r="O22" i="46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DH15" i="46"/>
  <c r="N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N22" i="46"/>
  <c r="O23" i="46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N14" i="46"/>
  <c r="O13" i="46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N13" i="46"/>
  <c r="EY13" i="46"/>
  <c r="DH13" i="46"/>
  <c r="O12" i="46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N23" i="46"/>
  <c r="DH23" i="46"/>
  <c r="O24" i="46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N24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N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N7" i="46"/>
  <c r="DH7" i="46"/>
  <c r="EY7" i="46"/>
  <c r="O6" i="46"/>
  <c r="DH29" i="46"/>
  <c r="EY29" i="46"/>
  <c r="O30" i="46"/>
  <c r="N29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</calcChain>
</file>

<file path=xl/sharedStrings.xml><?xml version="1.0" encoding="utf-8"?>
<sst xmlns="http://schemas.openxmlformats.org/spreadsheetml/2006/main" count="1423" uniqueCount="635">
  <si>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</si>
  <si>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</si>
  <si>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</si>
  <si>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</si>
  <si>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</si>
  <si>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</si>
  <si>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</si>
  <si>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</si>
  <si>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</si>
  <si>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</si>
  <si>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</si>
  <si>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</si>
  <si>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</si>
  <si>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</si>
  <si>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</si>
  <si>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</si>
  <si>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</si>
  <si>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</si>
  <si>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</si>
  <si>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</si>
  <si>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</si>
  <si>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</si>
  <si>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</si>
  <si>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</si>
  <si>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</si>
  <si>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</si>
  <si>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</si>
  <si>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</si>
  <si>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</si>
  <si>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</si>
  <si>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</si>
  <si>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</si>
  <si>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</si>
  <si>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</si>
  <si>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</si>
  <si>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</si>
  <si>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</si>
  <si>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</si>
  <si>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</si>
  <si>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</si>
  <si>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</si>
  <si>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</si>
  <si>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</si>
  <si>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</si>
  <si>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</si>
  <si>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</si>
  <si>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</si>
  <si>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</si>
  <si>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</si>
  <si>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</si>
  <si>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</si>
  <si>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</si>
  <si>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</si>
  <si>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</si>
  <si>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</si>
  <si>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</si>
  <si>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</si>
  <si>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</si>
  <si>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</si>
  <si>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</si>
  <si>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</si>
  <si>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</si>
  <si>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</si>
  <si>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</si>
  <si>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</si>
  <si>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</si>
  <si>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</si>
  <si>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</si>
  <si>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</si>
  <si>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</si>
  <si>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</si>
  <si>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</si>
  <si>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</si>
  <si>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</si>
  <si>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</si>
  <si>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</si>
  <si>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</si>
  <si>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</si>
  <si>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</si>
  <si>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</si>
  <si>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</si>
  <si>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</si>
  <si>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</si>
  <si>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</si>
  <si>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</si>
  <si>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</si>
  <si>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</si>
  <si>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</si>
  <si>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</si>
  <si>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</si>
  <si>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</si>
  <si>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</si>
  <si>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</si>
  <si>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</si>
  <si>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</si>
  <si>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</si>
  <si>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</si>
  <si>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</si>
  <si>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</si>
  <si>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</si>
  <si>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</si>
  <si>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</si>
  <si>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</si>
  <si>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</si>
  <si>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</si>
  <si>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</si>
  <si>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</si>
  <si>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</si>
  <si>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</si>
  <si>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</si>
  <si>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</si>
  <si>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</si>
  <si>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</si>
  <si>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</si>
  <si>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</si>
  <si>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</si>
  <si>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</si>
  <si>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</si>
  <si>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</si>
  <si>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</si>
  <si>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</si>
  <si>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</si>
  <si>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</si>
  <si>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</si>
  <si>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</si>
  <si>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</si>
  <si>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</si>
  <si>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</si>
  <si>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</si>
  <si>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</si>
  <si>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</si>
  <si>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</si>
  <si>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</si>
  <si>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</si>
  <si>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</si>
  <si>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</si>
  <si>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</si>
  <si>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</si>
  <si>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</si>
  <si>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</si>
  <si>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</si>
  <si>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</si>
  <si>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</si>
  <si>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</si>
  <si>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</si>
  <si>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</si>
  <si>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</si>
  <si>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</si>
  <si>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</si>
  <si>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</si>
  <si>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</si>
  <si>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</si>
  <si>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</si>
  <si>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</si>
  <si>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</si>
  <si>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</si>
  <si>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</si>
  <si>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</si>
  <si>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</si>
  <si>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</si>
  <si>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</si>
  <si>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</si>
  <si>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</si>
  <si>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</si>
  <si>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</si>
  <si>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</si>
  <si>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</si>
  <si>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</si>
  <si>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</si>
  <si>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</si>
  <si>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</si>
  <si>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</si>
  <si>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</si>
  <si>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</si>
  <si>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</si>
  <si>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</si>
  <si>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</si>
  <si>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</si>
  <si>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</si>
  <si>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</si>
  <si>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</si>
  <si>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</si>
  <si>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</si>
  <si>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</si>
  <si>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</si>
  <si>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</si>
  <si>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</si>
  <si>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</si>
  <si>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</si>
  <si>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</si>
  <si>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</si>
  <si>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</si>
  <si>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</si>
  <si>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</si>
  <si>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</si>
  <si>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</si>
  <si>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</si>
  <si>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</si>
  <si>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</si>
  <si>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</si>
  <si>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</si>
  <si>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</si>
  <si>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</si>
  <si>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</si>
  <si>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</si>
  <si>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</si>
  <si>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</si>
  <si>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</si>
  <si>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</si>
  <si>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</si>
  <si>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</si>
  <si>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</si>
  <si>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</si>
  <si>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</si>
  <si>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</si>
  <si>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</si>
  <si>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</si>
  <si>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</si>
  <si>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</si>
  <si>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</si>
  <si>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</si>
  <si>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</si>
  <si>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</si>
  <si>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</si>
  <si>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</si>
  <si>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</si>
  <si>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</si>
  <si>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</si>
  <si>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</si>
  <si>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</si>
  <si>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</si>
  <si>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</si>
  <si>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</si>
  <si>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</si>
  <si>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</si>
  <si>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</si>
  <si>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</si>
  <si>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</si>
  <si>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</si>
  <si>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</si>
  <si>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</si>
  <si>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</si>
  <si>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</si>
  <si>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</si>
  <si>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</si>
  <si>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</si>
  <si>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</si>
  <si>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</si>
  <si>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</si>
  <si>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</si>
  <si>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</si>
  <si>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</si>
  <si>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</si>
  <si>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</si>
  <si>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</si>
  <si>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</si>
  <si>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</si>
  <si>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</si>
  <si>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</si>
  <si>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</si>
  <si>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</si>
  <si>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</si>
  <si>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</si>
  <si>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</si>
  <si>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</si>
  <si>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</si>
  <si>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</si>
  <si>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</si>
  <si>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</si>
  <si>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</si>
  <si>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</si>
  <si>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</si>
  <si>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</si>
  <si>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</si>
  <si>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</si>
  <si>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</si>
  <si>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</si>
  <si>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</si>
  <si>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</si>
  <si>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</si>
  <si>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</si>
  <si>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</si>
  <si>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</si>
  <si>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</si>
  <si>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</si>
  <si>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</si>
  <si>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</si>
  <si>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</si>
  <si>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</si>
  <si>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</si>
  <si>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</si>
  <si>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</si>
  <si>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</si>
  <si>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</si>
  <si>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</si>
  <si>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</si>
  <si>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</si>
  <si>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</si>
  <si>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</si>
  <si>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</si>
  <si>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</si>
  <si>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</si>
  <si>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</si>
  <si>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</si>
  <si>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</si>
  <si>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</si>
  <si>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</si>
  <si>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</si>
  <si>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</si>
  <si>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</si>
  <si>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</si>
  <si>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</si>
  <si>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</si>
  <si>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</si>
  <si>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</si>
  <si>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</si>
  <si>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</si>
  <si>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</si>
  <si>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</si>
  <si>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</si>
  <si>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</si>
  <si>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</si>
  <si>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</si>
  <si>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</si>
  <si>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</si>
  <si>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</si>
  <si>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</si>
  <si>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</si>
  <si>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</si>
  <si>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</si>
  <si>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</si>
  <si>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</si>
  <si>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</si>
  <si>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</si>
  <si>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</si>
  <si>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</si>
  <si>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</si>
  <si>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</si>
  <si>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</si>
  <si>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</si>
  <si>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</si>
  <si>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</si>
  <si>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</si>
  <si>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</si>
  <si>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</si>
  <si>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</si>
  <si>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</si>
  <si>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</si>
  <si>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</si>
  <si>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</si>
  <si>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</si>
  <si>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</si>
  <si>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</si>
  <si>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</si>
  <si>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</si>
  <si>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</si>
  <si>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</si>
  <si>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</si>
  <si>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</si>
  <si>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</si>
  <si>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</si>
  <si>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</si>
  <si>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</si>
  <si>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</si>
  <si>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</si>
  <si>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</si>
  <si>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</si>
  <si>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</si>
  <si>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</si>
  <si>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</si>
  <si>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</si>
  <si>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</si>
  <si>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</si>
  <si>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</si>
  <si>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</si>
  <si>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</si>
  <si>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</si>
  <si>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</si>
  <si>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</si>
  <si>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</si>
  <si>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</si>
  <si>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</si>
  <si>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</si>
  <si>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</si>
  <si>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</si>
  <si>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</si>
  <si>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</si>
  <si>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</si>
  <si>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</si>
  <si>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</si>
  <si>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</si>
  <si>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</si>
  <si>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</si>
  <si>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</si>
  <si>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</si>
  <si>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</si>
  <si>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</si>
  <si>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</si>
  <si>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</si>
  <si>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</si>
  <si>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</si>
  <si>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</si>
  <si>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</si>
  <si>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</si>
  <si>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</si>
  <si>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</si>
  <si>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</si>
  <si>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</si>
  <si>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</si>
  <si>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</si>
  <si>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</si>
  <si>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</si>
  <si>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</si>
  <si>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</si>
  <si>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</si>
  <si>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</si>
  <si>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</si>
  <si>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</si>
  <si>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</si>
  <si>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</si>
  <si>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</si>
  <si>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</si>
  <si>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</si>
  <si>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</si>
  <si>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</si>
  <si>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</si>
  <si>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</si>
  <si>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</si>
  <si>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</si>
  <si>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</si>
  <si>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</si>
  <si>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</si>
  <si>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</si>
  <si>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</si>
  <si>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</si>
  <si>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</si>
  <si>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</si>
  <si>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</si>
  <si>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</si>
  <si>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</si>
  <si>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</si>
  <si>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</si>
  <si>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</si>
  <si>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</si>
  <si>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</si>
  <si>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</si>
  <si>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</si>
  <si>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</si>
  <si>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</si>
  <si>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</si>
  <si>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</si>
  <si>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</si>
  <si>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</si>
  <si>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</si>
  <si>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</si>
  <si>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</si>
  <si>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</si>
  <si>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</si>
  <si>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</si>
  <si>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</si>
  <si>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</si>
  <si>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</si>
  <si>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</si>
  <si>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</si>
  <si>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</si>
  <si>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</si>
  <si>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</si>
  <si>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</si>
  <si>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</si>
  <si>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</si>
  <si>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</si>
  <si>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</si>
  <si>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</si>
  <si>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</si>
  <si>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</si>
  <si>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</si>
  <si>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</si>
  <si>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</si>
  <si>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</si>
  <si>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</si>
  <si>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</si>
  <si>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</si>
  <si>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</si>
  <si>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</si>
  <si>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</si>
  <si>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</si>
  <si>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</si>
  <si>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</si>
  <si>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</si>
  <si>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</si>
  <si>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</si>
  <si>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</si>
  <si>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</si>
  <si>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</si>
  <si>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</si>
  <si>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</si>
  <si>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</si>
  <si>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</si>
  <si>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</si>
  <si>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</si>
  <si>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</si>
  <si>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</si>
  <si>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</si>
  <si>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</si>
  <si>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</si>
  <si>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</si>
  <si>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</si>
  <si>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</si>
  <si>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</si>
  <si>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</si>
  <si>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</si>
  <si>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</si>
  <si>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</si>
  <si>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</si>
  <si>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</si>
  <si>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</si>
  <si>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</si>
  <si>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</si>
  <si>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</si>
  <si>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</si>
  <si>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</si>
  <si>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</si>
  <si>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</si>
  <si>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</si>
  <si>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</si>
  <si>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</si>
  <si>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</si>
  <si>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</si>
  <si>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</si>
  <si>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</si>
  <si>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</si>
  <si>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</si>
  <si>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</si>
  <si>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</si>
  <si>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</si>
  <si>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</si>
  <si>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</si>
  <si>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</si>
  <si>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</si>
  <si>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</si>
  <si>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</si>
  <si>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</si>
  <si>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</si>
  <si>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</si>
  <si>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</si>
  <si>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</si>
  <si>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</si>
  <si>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</si>
  <si>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</si>
  <si>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X18E4 - spot</t>
  </si>
  <si>
    <t>X18E4 - 48hs</t>
  </si>
  <si>
    <t>XE4C - spot</t>
  </si>
  <si>
    <t>XE4C - 48hs</t>
  </si>
  <si>
    <t>XE4D - spot</t>
  </si>
  <si>
    <t>XE4D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</si>
  <si>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</si>
  <si>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</si>
  <si>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</si>
  <si>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</si>
  <si>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</si>
  <si>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</si>
  <si>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</si>
  <si>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</si>
  <si>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</si>
  <si>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</si>
  <si>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</si>
  <si>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</si>
  <si>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</si>
  <si>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</si>
  <si>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DI</t>
  </si>
  <si>
    <t>GFGC14915D</t>
  </si>
  <si>
    <t>GFGC17715D</t>
  </si>
  <si>
    <t>GFGC18515D</t>
  </si>
  <si>
    <t>GFGC19315D</t>
  </si>
  <si>
    <t>GFGC20915D</t>
  </si>
  <si>
    <t>GFGV90152D</t>
  </si>
  <si>
    <t>GFGV94152D</t>
  </si>
  <si>
    <t>GFGV1033DI</t>
  </si>
  <si>
    <t>GFGV10915D</t>
  </si>
  <si>
    <t>GFGC1570DI</t>
  </si>
  <si>
    <t>GFGC1640DI</t>
  </si>
  <si>
    <t>GFGC2020DI</t>
  </si>
  <si>
    <t>GFGV80456D</t>
  </si>
  <si>
    <t>GFGV830.DI</t>
  </si>
  <si>
    <t>GFGV990.DI</t>
  </si>
  <si>
    <t>GFGV1150DI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</si>
  <si>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</si>
  <si>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</si>
  <si>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</si>
  <si>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</si>
  <si>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</si>
  <si>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</si>
  <si>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</si>
  <si>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</si>
  <si>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</si>
  <si>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</si>
  <si>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</si>
  <si>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</si>
  <si>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</si>
  <si>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</si>
  <si>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</si>
  <si>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</si>
  <si>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</si>
  <si>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</si>
  <si>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</si>
  <si>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</si>
  <si>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</si>
  <si>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</si>
  <si>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</si>
  <si>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</si>
  <si>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</si>
  <si>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</si>
  <si>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</si>
  <si>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</si>
  <si>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</si>
  <si>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</si>
  <si>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</si>
  <si>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</si>
  <si>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</si>
  <si>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</si>
  <si>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</si>
  <si>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</si>
  <si>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</si>
  <si>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</si>
  <si>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</si>
  <si>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</si>
  <si>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</si>
  <si>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</si>
  <si>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</si>
  <si>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MGC9O - spot</t>
  </si>
  <si>
    <t>MGC9O - 48hs</t>
  </si>
  <si>
    <t>MGC9C - spot</t>
  </si>
  <si>
    <t>MGC9C - 48hs</t>
  </si>
  <si>
    <t>MGC9D - spot</t>
  </si>
  <si>
    <t>MGC9D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</si>
</sst>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7"/>
      <color theme="4" tint="-0.499984740745262"/>
      <name val="Calibri"/>
      <family val="2"/>
      <scheme val="minor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sz val="8"/>
      <color theme="4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theme="4" tint="-0.499984740745262"/>
      <name val="Arial"/>
      <family val="2"/>
    </font>
    <font>
      <sz val="11"/>
      <color rgb="FF6A9955"/>
      <name val="Consolas"/>
      <family val="3"/>
    </font>
    <font>
      <sz val="8"/>
      <color theme="4" tint="-0.249977111117893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1" tint="0.499984740745262"/>
      <name val="Calibri"/>
      <family val="2"/>
      <scheme val="minor"/>
    </font>
    <font>
      <sz val="7"/>
      <color rgb="FF00B050"/>
      <name val="Arial"/>
      <family val="2"/>
    </font>
    <font>
      <sz val="7"/>
      <color rgb="FFFF000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499984740745262"/>
      <name val="Arial"/>
      <family val="2"/>
    </font>
    <font>
      <sz val="7"/>
      <color theme="0" tint="-0.499984740745262"/>
      <name val="Verdana"/>
      <family val="2"/>
    </font>
    <font>
      <b/>
      <sz val="8"/>
      <color rgb="FF00B050"/>
      <name val="Arial"/>
      <family val="2"/>
    </font>
    <font>
      <u/>
      <sz val="8"/>
      <color rgb="FF00B050"/>
      <name val="Arial"/>
      <family val="2"/>
    </font>
    <font>
      <b/>
      <sz val="8"/>
      <color theme="4" tint="-0.499984740745262"/>
      <name val="Arial"/>
      <family val="2"/>
    </font>
    <font>
      <sz val="8"/>
      <color theme="1" tint="0.34998626667073579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12782D"/>
      <name val="Arial"/>
      <family val="2"/>
    </font>
    <font>
      <sz val="8"/>
      <color rgb="FF12782D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970E03"/>
      <name val="Arial"/>
      <family val="2"/>
    </font>
    <font>
      <sz val="8"/>
      <color rgb="FF0070C0"/>
      <name val="Calibri"/>
      <family val="2"/>
      <scheme val="minor"/>
    </font>
    <font>
      <b/>
      <sz val="8"/>
      <color theme="1" tint="0.14999847407452621"/>
      <name val="Arial"/>
      <family val="2"/>
    </font>
    <font>
      <sz val="8"/>
      <color theme="0" tint="-0.49998474074526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2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FF99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/>
      <top style="thin">
        <color theme="1" tint="0.14999847407452621"/>
      </top>
      <bottom/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theme="1"/>
      </bottom>
      <diagonal/>
    </border>
    <border>
      <left style="thin">
        <color theme="3" tint="4.9989318521683403E-2"/>
      </left>
      <right/>
      <top/>
      <bottom style="thin">
        <color theme="1" tint="0.14999847407452621"/>
      </bottom>
      <diagonal/>
    </border>
    <border>
      <left style="thin">
        <color theme="3" tint="4.9989318521683403E-2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/>
      <top/>
      <bottom style="thin">
        <color indexed="64"/>
      </bottom>
      <diagonal/>
    </border>
    <border>
      <left style="thin">
        <color theme="3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rgb="FFFFFF99"/>
      </top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4.9989318521683403E-2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249977111117893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rgb="FFFFFF99"/>
      </top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3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14999847407452621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theme="1" tint="0.14999847407452621"/>
      </right>
      <top style="medium">
        <color rgb="FF00B050"/>
      </top>
      <bottom style="thin">
        <color rgb="FF00B050"/>
      </bottom>
      <diagonal/>
    </border>
  </borders>
  <cellStyleXfs count="184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40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88" fillId="0" borderId="0" applyFont="0" applyFill="0" applyBorder="0" applyAlignment="0" applyProtection="0"/>
  </cellStyleXfs>
  <cellXfs count="70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42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0" fontId="48" fillId="0" borderId="5" xfId="3" applyFont="1" applyBorder="1" applyAlignment="1">
      <alignment horizontal="center" vertical="center"/>
    </xf>
    <xf numFmtId="10" fontId="32" fillId="10" borderId="10" xfId="114" applyNumberFormat="1" applyFont="1" applyFill="1" applyBorder="1" applyAlignment="1">
      <alignment horizontal="right" vertical="center"/>
    </xf>
    <xf numFmtId="168" fontId="49" fillId="16" borderId="8" xfId="15" applyNumberFormat="1" applyFont="1" applyFill="1" applyBorder="1" applyAlignment="1">
      <alignment horizontal="center" vertical="center"/>
    </xf>
    <xf numFmtId="0" fontId="50" fillId="16" borderId="8" xfId="15" applyFont="1" applyFill="1" applyBorder="1" applyAlignment="1">
      <alignment horizontal="center" vertical="center"/>
    </xf>
    <xf numFmtId="0" fontId="51" fillId="19" borderId="13" xfId="0" applyFont="1" applyFill="1" applyBorder="1" applyAlignment="1">
      <alignment vertical="center"/>
    </xf>
    <xf numFmtId="0" fontId="52" fillId="19" borderId="14" xfId="0" applyFont="1" applyFill="1" applyBorder="1" applyAlignment="1">
      <alignment horizontal="center" vertical="center"/>
    </xf>
    <xf numFmtId="1" fontId="52" fillId="19" borderId="14" xfId="0" applyNumberFormat="1" applyFont="1" applyFill="1" applyBorder="1" applyAlignment="1">
      <alignment horizontal="center" vertical="center"/>
    </xf>
    <xf numFmtId="0" fontId="52" fillId="19" borderId="14" xfId="0" applyFont="1" applyFill="1" applyBorder="1" applyAlignment="1">
      <alignment vertical="center"/>
    </xf>
    <xf numFmtId="164" fontId="52" fillId="19" borderId="14" xfId="0" applyNumberFormat="1" applyFont="1" applyFill="1" applyBorder="1" applyAlignment="1">
      <alignment vertical="center"/>
    </xf>
    <xf numFmtId="2" fontId="52" fillId="19" borderId="14" xfId="0" applyNumberFormat="1" applyFont="1" applyFill="1" applyBorder="1" applyAlignment="1">
      <alignment vertical="center"/>
    </xf>
    <xf numFmtId="0" fontId="53" fillId="19" borderId="15" xfId="0" applyFont="1" applyFill="1" applyBorder="1" applyAlignment="1">
      <alignment vertical="center"/>
    </xf>
    <xf numFmtId="0" fontId="53" fillId="19" borderId="2" xfId="0" applyFont="1" applyFill="1" applyBorder="1" applyAlignment="1">
      <alignment vertical="center"/>
    </xf>
    <xf numFmtId="0" fontId="54" fillId="19" borderId="2" xfId="0" applyFont="1" applyFill="1" applyBorder="1" applyAlignment="1">
      <alignment vertical="center"/>
    </xf>
    <xf numFmtId="0" fontId="55" fillId="19" borderId="2" xfId="0" applyFont="1" applyFill="1" applyBorder="1" applyAlignment="1">
      <alignment horizontal="center" vertical="center"/>
    </xf>
    <xf numFmtId="0" fontId="51" fillId="19" borderId="2" xfId="0" applyFont="1" applyFill="1" applyBorder="1" applyAlignment="1">
      <alignment vertical="center"/>
    </xf>
    <xf numFmtId="0" fontId="52" fillId="19" borderId="2" xfId="0" applyFont="1" applyFill="1" applyBorder="1" applyAlignment="1">
      <alignment vertical="center"/>
    </xf>
    <xf numFmtId="0" fontId="56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4" fillId="19" borderId="2" xfId="0" applyFont="1" applyFill="1" applyBorder="1" applyAlignment="1">
      <alignment horizontal="center" vertical="center"/>
    </xf>
    <xf numFmtId="1" fontId="54" fillId="19" borderId="2" xfId="0" applyNumberFormat="1" applyFont="1" applyFill="1" applyBorder="1" applyAlignment="1">
      <alignment horizontal="center" vertical="center"/>
    </xf>
    <xf numFmtId="2" fontId="54" fillId="19" borderId="2" xfId="0" applyNumberFormat="1" applyFont="1" applyFill="1" applyBorder="1" applyAlignment="1">
      <alignment horizontal="right" vertical="center"/>
    </xf>
    <xf numFmtId="0" fontId="53" fillId="0" borderId="0" xfId="0" applyFont="1" applyAlignment="1">
      <alignment vertical="center"/>
    </xf>
    <xf numFmtId="0" fontId="57" fillId="20" borderId="13" xfId="0" applyFont="1" applyFill="1" applyBorder="1" applyAlignment="1">
      <alignment horizontal="center" vertical="center"/>
    </xf>
    <xf numFmtId="0" fontId="58" fillId="20" borderId="16" xfId="0" applyFont="1" applyFill="1" applyBorder="1" applyAlignment="1">
      <alignment horizontal="center" vertical="center"/>
    </xf>
    <xf numFmtId="1" fontId="57" fillId="20" borderId="17" xfId="0" applyNumberFormat="1" applyFont="1" applyFill="1" applyBorder="1" applyAlignment="1">
      <alignment horizontal="center" vertical="center"/>
    </xf>
    <xf numFmtId="0" fontId="57" fillId="20" borderId="18" xfId="0" applyFont="1" applyFill="1" applyBorder="1" applyAlignment="1">
      <alignment horizontal="center" vertical="center"/>
    </xf>
    <xf numFmtId="164" fontId="57" fillId="20" borderId="19" xfId="0" applyNumberFormat="1" applyFont="1" applyFill="1" applyBorder="1" applyAlignment="1">
      <alignment horizontal="center" vertical="center"/>
    </xf>
    <xf numFmtId="164" fontId="57" fillId="20" borderId="20" xfId="0" applyNumberFormat="1" applyFont="1" applyFill="1" applyBorder="1" applyAlignment="1">
      <alignment horizontal="center" vertical="center"/>
    </xf>
    <xf numFmtId="2" fontId="58" fillId="20" borderId="19" xfId="0" applyNumberFormat="1" applyFont="1" applyFill="1" applyBorder="1" applyAlignment="1">
      <alignment horizontal="center" vertical="center"/>
    </xf>
    <xf numFmtId="0" fontId="57" fillId="20" borderId="17" xfId="0" applyFont="1" applyFill="1" applyBorder="1" applyAlignment="1">
      <alignment horizontal="center" vertical="center"/>
    </xf>
    <xf numFmtId="0" fontId="57" fillId="20" borderId="21" xfId="0" applyFont="1" applyFill="1" applyBorder="1" applyAlignment="1">
      <alignment horizontal="center" vertical="center"/>
    </xf>
    <xf numFmtId="2" fontId="57" fillId="20" borderId="16" xfId="0" applyNumberFormat="1" applyFont="1" applyFill="1" applyBorder="1" applyAlignment="1">
      <alignment horizontal="center" vertical="center"/>
    </xf>
    <xf numFmtId="2" fontId="57" fillId="20" borderId="21" xfId="0" applyNumberFormat="1" applyFont="1" applyFill="1" applyBorder="1" applyAlignment="1">
      <alignment horizontal="center" vertical="center"/>
    </xf>
    <xf numFmtId="3" fontId="58" fillId="20" borderId="22" xfId="0" applyNumberFormat="1" applyFont="1" applyFill="1" applyBorder="1" applyAlignment="1">
      <alignment horizontal="center" vertical="center"/>
    </xf>
    <xf numFmtId="3" fontId="58" fillId="20" borderId="23" xfId="0" applyNumberFormat="1" applyFont="1" applyFill="1" applyBorder="1" applyAlignment="1">
      <alignment horizontal="center" vertical="center"/>
    </xf>
    <xf numFmtId="0" fontId="60" fillId="19" borderId="2" xfId="0" applyFont="1" applyFill="1" applyBorder="1" applyAlignment="1">
      <alignment vertical="center"/>
    </xf>
    <xf numFmtId="0" fontId="57" fillId="21" borderId="24" xfId="0" applyFont="1" applyFill="1" applyBorder="1" applyAlignment="1">
      <alignment horizontal="center" vertical="center"/>
    </xf>
    <xf numFmtId="0" fontId="58" fillId="22" borderId="26" xfId="0" applyFont="1" applyFill="1" applyBorder="1" applyAlignment="1">
      <alignment horizontal="center" vertical="center"/>
    </xf>
    <xf numFmtId="0" fontId="58" fillId="20" borderId="27" xfId="0" applyFont="1" applyFill="1" applyBorder="1" applyAlignment="1">
      <alignment horizontal="center" vertical="center"/>
    </xf>
    <xf numFmtId="0" fontId="57" fillId="20" borderId="28" xfId="0" applyFont="1" applyFill="1" applyBorder="1" applyAlignment="1">
      <alignment horizontal="center" vertical="center"/>
    </xf>
    <xf numFmtId="0" fontId="58" fillId="20" borderId="19" xfId="0" applyFont="1" applyFill="1" applyBorder="1" applyAlignment="1">
      <alignment horizontal="center" vertical="center"/>
    </xf>
    <xf numFmtId="1" fontId="57" fillId="20" borderId="14" xfId="0" applyNumberFormat="1" applyFont="1" applyFill="1" applyBorder="1" applyAlignment="1">
      <alignment horizontal="center" vertical="center"/>
    </xf>
    <xf numFmtId="2" fontId="57" fillId="20" borderId="19" xfId="0" applyNumberFormat="1" applyFont="1" applyFill="1" applyBorder="1" applyAlignment="1">
      <alignment horizontal="center" vertical="center"/>
    </xf>
    <xf numFmtId="2" fontId="57" fillId="20" borderId="18" xfId="0" applyNumberFormat="1" applyFont="1" applyFill="1" applyBorder="1" applyAlignment="1">
      <alignment horizontal="center" vertical="center"/>
    </xf>
    <xf numFmtId="0" fontId="58" fillId="20" borderId="14" xfId="0" applyFont="1" applyFill="1" applyBorder="1" applyAlignment="1">
      <alignment horizontal="center" vertical="center"/>
    </xf>
    <xf numFmtId="0" fontId="58" fillId="20" borderId="18" xfId="0" applyFont="1" applyFill="1" applyBorder="1" applyAlignment="1">
      <alignment horizontal="center" vertical="center"/>
    </xf>
    <xf numFmtId="0" fontId="61" fillId="24" borderId="29" xfId="0" applyFont="1" applyFill="1" applyBorder="1" applyAlignment="1">
      <alignment horizontal="center" vertical="center"/>
    </xf>
    <xf numFmtId="0" fontId="61" fillId="24" borderId="30" xfId="0" applyFont="1" applyFill="1" applyBorder="1" applyAlignment="1">
      <alignment horizontal="center" vertical="center"/>
    </xf>
    <xf numFmtId="0" fontId="60" fillId="24" borderId="30" xfId="0" applyFont="1" applyFill="1" applyBorder="1" applyAlignment="1">
      <alignment horizontal="center" vertical="center"/>
    </xf>
    <xf numFmtId="0" fontId="61" fillId="25" borderId="30" xfId="0" applyFont="1" applyFill="1" applyBorder="1" applyAlignment="1">
      <alignment horizontal="center" vertical="center"/>
    </xf>
    <xf numFmtId="0" fontId="61" fillId="26" borderId="29" xfId="0" applyFont="1" applyFill="1" applyBorder="1" applyAlignment="1">
      <alignment horizontal="center" vertical="center"/>
    </xf>
    <xf numFmtId="0" fontId="61" fillId="26" borderId="30" xfId="0" applyFont="1" applyFill="1" applyBorder="1" applyAlignment="1">
      <alignment horizontal="center" vertical="center"/>
    </xf>
    <xf numFmtId="0" fontId="61" fillId="26" borderId="31" xfId="0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24" borderId="32" xfId="0" applyFont="1" applyFill="1" applyBorder="1" applyAlignment="1">
      <alignment horizontal="center" vertical="center"/>
    </xf>
    <xf numFmtId="2" fontId="64" fillId="27" borderId="34" xfId="0" applyNumberFormat="1" applyFont="1" applyFill="1" applyBorder="1" applyAlignment="1">
      <alignment horizontal="center" vertical="center"/>
    </xf>
    <xf numFmtId="9" fontId="54" fillId="29" borderId="33" xfId="0" applyNumberFormat="1" applyFont="1" applyFill="1" applyBorder="1" applyAlignment="1">
      <alignment horizontal="center" vertical="center"/>
    </xf>
    <xf numFmtId="3" fontId="65" fillId="30" borderId="40" xfId="0" applyNumberFormat="1" applyFont="1" applyFill="1" applyBorder="1" applyAlignment="1">
      <alignment horizontal="right" vertical="center"/>
    </xf>
    <xf numFmtId="2" fontId="51" fillId="31" borderId="34" xfId="2" applyNumberFormat="1" applyFont="1" applyFill="1" applyBorder="1" applyAlignment="1">
      <alignment horizontal="center" vertical="center"/>
    </xf>
    <xf numFmtId="0" fontId="66" fillId="32" borderId="34" xfId="0" applyFont="1" applyFill="1" applyBorder="1" applyAlignment="1">
      <alignment horizontal="center" vertical="center"/>
    </xf>
    <xf numFmtId="1" fontId="67" fillId="33" borderId="34" xfId="0" applyNumberFormat="1" applyFont="1" applyFill="1" applyBorder="1" applyAlignment="1">
      <alignment horizontal="center" vertical="center"/>
    </xf>
    <xf numFmtId="4" fontId="51" fillId="34" borderId="34" xfId="0" applyNumberFormat="1" applyFont="1" applyFill="1" applyBorder="1" applyAlignment="1">
      <alignment horizontal="center" vertical="center"/>
    </xf>
    <xf numFmtId="0" fontId="51" fillId="27" borderId="34" xfId="0" applyFont="1" applyFill="1" applyBorder="1" applyAlignment="1">
      <alignment horizontal="center" vertical="center"/>
    </xf>
    <xf numFmtId="2" fontId="68" fillId="31" borderId="34" xfId="0" applyNumberFormat="1" applyFont="1" applyFill="1" applyBorder="1" applyAlignment="1">
      <alignment horizontal="center" vertical="center"/>
    </xf>
    <xf numFmtId="1" fontId="51" fillId="31" borderId="34" xfId="0" applyNumberFormat="1" applyFont="1" applyFill="1" applyBorder="1" applyAlignment="1">
      <alignment horizontal="center" vertical="center"/>
    </xf>
    <xf numFmtId="14" fontId="51" fillId="27" borderId="41" xfId="0" applyNumberFormat="1" applyFont="1" applyFill="1" applyBorder="1" applyAlignment="1">
      <alignment horizontal="center" vertical="center"/>
    </xf>
    <xf numFmtId="0" fontId="51" fillId="24" borderId="42" xfId="0" applyFont="1" applyFill="1" applyBorder="1" applyAlignment="1">
      <alignment horizontal="center" vertical="center"/>
    </xf>
    <xf numFmtId="0" fontId="69" fillId="27" borderId="37" xfId="0" applyFont="1" applyFill="1" applyBorder="1" applyAlignment="1">
      <alignment horizontal="center" vertical="center"/>
    </xf>
    <xf numFmtId="2" fontId="51" fillId="27" borderId="35" xfId="0" applyNumberFormat="1" applyFont="1" applyFill="1" applyBorder="1" applyAlignment="1">
      <alignment horizontal="center" vertical="center"/>
    </xf>
    <xf numFmtId="0" fontId="51" fillId="35" borderId="45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horizontal="center" vertical="center"/>
    </xf>
    <xf numFmtId="0" fontId="51" fillId="36" borderId="45" xfId="0" applyFont="1" applyFill="1" applyBorder="1" applyAlignment="1">
      <alignment horizontal="center" vertical="center"/>
    </xf>
    <xf numFmtId="2" fontId="55" fillId="25" borderId="47" xfId="0" applyNumberFormat="1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vertical="center"/>
    </xf>
    <xf numFmtId="0" fontId="52" fillId="25" borderId="2" xfId="0" applyFont="1" applyFill="1" applyBorder="1" applyAlignment="1">
      <alignment horizontal="center" vertical="center"/>
    </xf>
    <xf numFmtId="1" fontId="52" fillId="25" borderId="2" xfId="0" applyNumberFormat="1" applyFont="1" applyFill="1" applyBorder="1" applyAlignment="1">
      <alignment horizontal="center" vertical="center"/>
    </xf>
    <xf numFmtId="4" fontId="55" fillId="26" borderId="47" xfId="0" applyNumberFormat="1" applyFont="1" applyFill="1" applyBorder="1" applyAlignment="1">
      <alignment horizontal="center" vertical="center"/>
    </xf>
    <xf numFmtId="0" fontId="52" fillId="26" borderId="2" xfId="0" applyFont="1" applyFill="1" applyBorder="1" applyAlignment="1">
      <alignment horizontal="center" vertical="center"/>
    </xf>
    <xf numFmtId="4" fontId="55" fillId="26" borderId="37" xfId="0" applyNumberFormat="1" applyFont="1" applyFill="1" applyBorder="1" applyAlignment="1">
      <alignment horizontal="center" vertical="center"/>
    </xf>
    <xf numFmtId="0" fontId="70" fillId="24" borderId="32" xfId="0" applyFont="1" applyFill="1" applyBorder="1" applyAlignment="1">
      <alignment horizontal="center" vertical="center"/>
    </xf>
    <xf numFmtId="2" fontId="69" fillId="19" borderId="2" xfId="0" applyNumberFormat="1" applyFont="1" applyFill="1" applyBorder="1" applyAlignment="1">
      <alignment horizontal="center" vertical="center"/>
    </xf>
    <xf numFmtId="2" fontId="69" fillId="19" borderId="48" xfId="0" applyNumberFormat="1" applyFont="1" applyFill="1" applyBorder="1" applyAlignment="1">
      <alignment horizontal="center" vertical="center"/>
    </xf>
    <xf numFmtId="10" fontId="69" fillId="19" borderId="2" xfId="2" applyNumberFormat="1" applyFont="1" applyFill="1" applyBorder="1" applyAlignment="1">
      <alignment horizontal="center" vertical="center"/>
    </xf>
    <xf numFmtId="164" fontId="69" fillId="19" borderId="2" xfId="2" applyNumberFormat="1" applyFont="1" applyFill="1" applyBorder="1" applyAlignment="1">
      <alignment horizontal="center" vertical="center"/>
    </xf>
    <xf numFmtId="3" fontId="65" fillId="30" borderId="50" xfId="0" applyNumberFormat="1" applyFont="1" applyFill="1" applyBorder="1" applyAlignment="1">
      <alignment horizontal="right" vertical="center"/>
    </xf>
    <xf numFmtId="0" fontId="51" fillId="24" borderId="45" xfId="0" applyFont="1" applyFill="1" applyBorder="1" applyAlignment="1">
      <alignment horizontal="center" vertical="center"/>
    </xf>
    <xf numFmtId="1" fontId="64" fillId="27" borderId="34" xfId="0" applyNumberFormat="1" applyFont="1" applyFill="1" applyBorder="1" applyAlignment="1">
      <alignment horizontal="center" vertical="center"/>
    </xf>
    <xf numFmtId="0" fontId="52" fillId="26" borderId="47" xfId="0" applyFont="1" applyFill="1" applyBorder="1" applyAlignment="1">
      <alignment horizontal="center" vertical="center"/>
    </xf>
    <xf numFmtId="0" fontId="71" fillId="24" borderId="32" xfId="0" applyFont="1" applyFill="1" applyBorder="1" applyAlignment="1">
      <alignment horizontal="center" vertical="center"/>
    </xf>
    <xf numFmtId="1" fontId="64" fillId="27" borderId="2" xfId="0" applyNumberFormat="1" applyFont="1" applyFill="1" applyBorder="1" applyAlignment="1">
      <alignment horizontal="center" vertical="center"/>
    </xf>
    <xf numFmtId="0" fontId="51" fillId="27" borderId="35" xfId="0" applyFont="1" applyFill="1" applyBorder="1" applyAlignment="1">
      <alignment horizontal="center" vertical="center"/>
    </xf>
    <xf numFmtId="3" fontId="65" fillId="30" borderId="51" xfId="0" applyNumberFormat="1" applyFont="1" applyFill="1" applyBorder="1" applyAlignment="1">
      <alignment horizontal="right" vertical="center"/>
    </xf>
    <xf numFmtId="2" fontId="64" fillId="27" borderId="2" xfId="0" applyNumberFormat="1" applyFont="1" applyFill="1" applyBorder="1" applyAlignment="1">
      <alignment horizontal="center" vertical="center"/>
    </xf>
    <xf numFmtId="9" fontId="69" fillId="29" borderId="33" xfId="0" applyNumberFormat="1" applyFont="1" applyFill="1" applyBorder="1" applyAlignment="1">
      <alignment horizontal="center" vertical="center"/>
    </xf>
    <xf numFmtId="9" fontId="69" fillId="24" borderId="52" xfId="0" applyNumberFormat="1" applyFont="1" applyFill="1" applyBorder="1" applyAlignment="1">
      <alignment horizontal="center" vertical="center"/>
    </xf>
    <xf numFmtId="9" fontId="69" fillId="24" borderId="33" xfId="0" applyNumberFormat="1" applyFont="1" applyFill="1" applyBorder="1" applyAlignment="1">
      <alignment horizontal="center" vertical="center"/>
    </xf>
    <xf numFmtId="9" fontId="69" fillId="37" borderId="52" xfId="0" applyNumberFormat="1" applyFont="1" applyFill="1" applyBorder="1" applyAlignment="1">
      <alignment horizontal="center" vertical="center"/>
    </xf>
    <xf numFmtId="9" fontId="69" fillId="37" borderId="33" xfId="0" applyNumberFormat="1" applyFont="1" applyFill="1" applyBorder="1" applyAlignment="1">
      <alignment horizontal="center" vertical="center"/>
    </xf>
    <xf numFmtId="2" fontId="67" fillId="33" borderId="34" xfId="0" applyNumberFormat="1" applyFont="1" applyFill="1" applyBorder="1" applyAlignment="1">
      <alignment horizontal="center" vertical="center"/>
    </xf>
    <xf numFmtId="9" fontId="69" fillId="38" borderId="52" xfId="0" applyNumberFormat="1" applyFont="1" applyFill="1" applyBorder="1" applyAlignment="1">
      <alignment horizontal="center" vertical="center"/>
    </xf>
    <xf numFmtId="4" fontId="73" fillId="26" borderId="37" xfId="0" applyNumberFormat="1" applyFont="1" applyFill="1" applyBorder="1" applyAlignment="1">
      <alignment horizontal="center" vertical="center"/>
    </xf>
    <xf numFmtId="9" fontId="69" fillId="24" borderId="53" xfId="0" applyNumberFormat="1" applyFont="1" applyFill="1" applyBorder="1" applyAlignment="1">
      <alignment horizontal="center" vertical="center"/>
    </xf>
    <xf numFmtId="9" fontId="54" fillId="29" borderId="54" xfId="0" applyNumberFormat="1" applyFont="1" applyFill="1" applyBorder="1" applyAlignment="1">
      <alignment horizontal="center" vertical="center"/>
    </xf>
    <xf numFmtId="3" fontId="65" fillId="30" borderId="56" xfId="0" applyNumberFormat="1" applyFont="1" applyFill="1" applyBorder="1" applyAlignment="1">
      <alignment horizontal="right" vertical="center"/>
    </xf>
    <xf numFmtId="0" fontId="75" fillId="19" borderId="2" xfId="0" applyFont="1" applyFill="1" applyBorder="1" applyAlignment="1">
      <alignment vertical="center"/>
    </xf>
    <xf numFmtId="0" fontId="52" fillId="26" borderId="57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4" fontId="55" fillId="26" borderId="58" xfId="0" applyNumberFormat="1" applyFont="1" applyFill="1" applyBorder="1" applyAlignment="1">
      <alignment horizontal="center" vertical="center"/>
    </xf>
    <xf numFmtId="0" fontId="53" fillId="39" borderId="0" xfId="0" applyFont="1" applyFill="1" applyAlignment="1">
      <alignment vertical="center"/>
    </xf>
    <xf numFmtId="0" fontId="55" fillId="35" borderId="47" xfId="0" applyFont="1" applyFill="1" applyBorder="1" applyAlignment="1">
      <alignment horizontal="center" vertical="center"/>
    </xf>
    <xf numFmtId="0" fontId="53" fillId="35" borderId="2" xfId="0" applyFont="1" applyFill="1" applyBorder="1" applyAlignment="1">
      <alignment vertical="center"/>
    </xf>
    <xf numFmtId="0" fontId="53" fillId="36" borderId="2" xfId="0" applyFont="1" applyFill="1" applyBorder="1" applyAlignment="1">
      <alignment vertical="center"/>
    </xf>
    <xf numFmtId="0" fontId="66" fillId="35" borderId="37" xfId="0" applyFont="1" applyFill="1" applyBorder="1" applyAlignment="1">
      <alignment horizontal="center" vertical="center"/>
    </xf>
    <xf numFmtId="0" fontId="51" fillId="24" borderId="32" xfId="0" applyFont="1" applyFill="1" applyBorder="1" applyAlignment="1">
      <alignment horizontal="center" vertical="center"/>
    </xf>
    <xf numFmtId="3" fontId="64" fillId="41" borderId="62" xfId="0" applyNumberFormat="1" applyFont="1" applyFill="1" applyBorder="1" applyAlignment="1">
      <alignment horizontal="right" vertical="center"/>
    </xf>
    <xf numFmtId="2" fontId="52" fillId="25" borderId="37" xfId="0" applyNumberFormat="1" applyFont="1" applyFill="1" applyBorder="1" applyAlignment="1">
      <alignment horizontal="center" vertical="center"/>
    </xf>
    <xf numFmtId="0" fontId="51" fillId="24" borderId="63" xfId="0" applyFont="1" applyFill="1" applyBorder="1" applyAlignment="1">
      <alignment horizontal="center" vertical="center"/>
    </xf>
    <xf numFmtId="0" fontId="54" fillId="19" borderId="69" xfId="0" applyFont="1" applyFill="1" applyBorder="1" applyAlignment="1">
      <alignment horizontal="center" vertical="center"/>
    </xf>
    <xf numFmtId="0" fontId="54" fillId="19" borderId="67" xfId="0" applyFont="1" applyFill="1" applyBorder="1" applyAlignment="1">
      <alignment horizontal="center" vertical="center"/>
    </xf>
    <xf numFmtId="0" fontId="54" fillId="19" borderId="70" xfId="0" applyFont="1" applyFill="1" applyBorder="1" applyAlignment="1">
      <alignment horizontal="center" vertical="center"/>
    </xf>
    <xf numFmtId="3" fontId="64" fillId="40" borderId="62" xfId="0" applyNumberFormat="1" applyFont="1" applyFill="1" applyBorder="1" applyAlignment="1">
      <alignment vertical="center"/>
    </xf>
    <xf numFmtId="0" fontId="62" fillId="35" borderId="32" xfId="0" applyFont="1" applyFill="1" applyBorder="1" applyAlignment="1">
      <alignment horizontal="center" vertical="center" wrapText="1"/>
    </xf>
    <xf numFmtId="0" fontId="69" fillId="27" borderId="33" xfId="0" applyFont="1" applyFill="1" applyBorder="1" applyAlignment="1">
      <alignment horizontal="center" vertical="center"/>
    </xf>
    <xf numFmtId="1" fontId="64" fillId="24" borderId="62" xfId="0" applyNumberFormat="1" applyFont="1" applyFill="1" applyBorder="1" applyAlignment="1">
      <alignment vertical="center"/>
    </xf>
    <xf numFmtId="14" fontId="51" fillId="27" borderId="41" xfId="0" applyNumberFormat="1" applyFont="1" applyFill="1" applyBorder="1" applyAlignment="1">
      <alignment horizontal="center" vertical="center" wrapText="1"/>
    </xf>
    <xf numFmtId="0" fontId="51" fillId="24" borderId="45" xfId="0" applyFont="1" applyFill="1" applyBorder="1" applyAlignment="1">
      <alignment horizontal="center" vertical="center" wrapText="1"/>
    </xf>
    <xf numFmtId="0" fontId="51" fillId="35" borderId="45" xfId="0" applyFont="1" applyFill="1" applyBorder="1" applyAlignment="1">
      <alignment horizontal="center" vertical="center" wrapText="1"/>
    </xf>
    <xf numFmtId="0" fontId="51" fillId="36" borderId="45" xfId="0" applyFont="1" applyFill="1" applyBorder="1" applyAlignment="1">
      <alignment horizontal="center" vertical="center" wrapText="1"/>
    </xf>
    <xf numFmtId="0" fontId="76" fillId="35" borderId="32" xfId="0" applyFont="1" applyFill="1" applyBorder="1" applyAlignment="1">
      <alignment horizontal="center" vertical="center" wrapText="1"/>
    </xf>
    <xf numFmtId="1" fontId="64" fillId="35" borderId="62" xfId="0" applyNumberFormat="1" applyFont="1" applyFill="1" applyBorder="1" applyAlignment="1">
      <alignment vertical="center"/>
    </xf>
    <xf numFmtId="0" fontId="68" fillId="35" borderId="32" xfId="0" applyFont="1" applyFill="1" applyBorder="1" applyAlignment="1">
      <alignment horizontal="center" vertical="center" wrapText="1"/>
    </xf>
    <xf numFmtId="1" fontId="64" fillId="36" borderId="62" xfId="0" applyNumberFormat="1" applyFont="1" applyFill="1" applyBorder="1" applyAlignment="1">
      <alignment vertical="center"/>
    </xf>
    <xf numFmtId="0" fontId="77" fillId="39" borderId="0" xfId="0" applyFont="1" applyFill="1" applyAlignment="1">
      <alignment vertical="center"/>
    </xf>
    <xf numFmtId="9" fontId="64" fillId="27" borderId="61" xfId="0" applyNumberFormat="1" applyFont="1" applyFill="1" applyBorder="1" applyAlignment="1">
      <alignment horizontal="center" vertical="center"/>
    </xf>
    <xf numFmtId="0" fontId="51" fillId="41" borderId="72" xfId="0" applyFont="1" applyFill="1" applyBorder="1" applyAlignment="1">
      <alignment horizontal="center" vertical="center"/>
    </xf>
    <xf numFmtId="0" fontId="64" fillId="28" borderId="62" xfId="0" applyFont="1" applyFill="1" applyBorder="1" applyAlignment="1">
      <alignment horizontal="center" vertical="center"/>
    </xf>
    <xf numFmtId="0" fontId="51" fillId="41" borderId="62" xfId="0" applyFont="1" applyFill="1" applyBorder="1" applyAlignment="1">
      <alignment horizontal="center" vertical="center"/>
    </xf>
    <xf numFmtId="3" fontId="64" fillId="27" borderId="62" xfId="0" applyNumberFormat="1" applyFont="1" applyFill="1" applyBorder="1" applyAlignment="1">
      <alignment horizontal="center" vertical="center"/>
    </xf>
    <xf numFmtId="4" fontId="64" fillId="27" borderId="62" xfId="0" applyNumberFormat="1" applyFont="1" applyFill="1" applyBorder="1" applyAlignment="1">
      <alignment horizontal="center" vertical="center"/>
    </xf>
    <xf numFmtId="0" fontId="54" fillId="19" borderId="0" xfId="0" applyFont="1" applyFill="1" applyAlignment="1">
      <alignment vertical="center"/>
    </xf>
    <xf numFmtId="0" fontId="53" fillId="19" borderId="0" xfId="0" applyFont="1" applyFill="1" applyAlignment="1">
      <alignment vertical="center"/>
    </xf>
    <xf numFmtId="0" fontId="56" fillId="19" borderId="0" xfId="0" applyFont="1" applyFill="1" applyAlignment="1">
      <alignment vertical="center"/>
    </xf>
    <xf numFmtId="10" fontId="64" fillId="27" borderId="62" xfId="0" applyNumberFormat="1" applyFont="1" applyFill="1" applyBorder="1" applyAlignment="1">
      <alignment horizontal="center" vertical="center"/>
    </xf>
    <xf numFmtId="14" fontId="51" fillId="40" borderId="62" xfId="0" applyNumberFormat="1" applyFont="1" applyFill="1" applyBorder="1" applyAlignment="1">
      <alignment horizontal="center" vertical="center"/>
    </xf>
    <xf numFmtId="3" fontId="51" fillId="40" borderId="62" xfId="0" applyNumberFormat="1" applyFont="1" applyFill="1" applyBorder="1" applyAlignment="1">
      <alignment horizontal="center" vertical="center"/>
    </xf>
    <xf numFmtId="169" fontId="51" fillId="40" borderId="62" xfId="0" applyNumberFormat="1" applyFont="1" applyFill="1" applyBorder="1" applyAlignment="1">
      <alignment horizontal="center" vertical="center"/>
    </xf>
    <xf numFmtId="10" fontId="64" fillId="27" borderId="76" xfId="0" applyNumberFormat="1" applyFont="1" applyFill="1" applyBorder="1" applyAlignment="1">
      <alignment horizontal="center" vertical="center"/>
    </xf>
    <xf numFmtId="0" fontId="52" fillId="19" borderId="0" xfId="0" applyFont="1" applyFill="1" applyAlignment="1">
      <alignment vertical="center"/>
    </xf>
    <xf numFmtId="2" fontId="55" fillId="25" borderId="57" xfId="0" applyNumberFormat="1" applyFont="1" applyFill="1" applyBorder="1" applyAlignment="1">
      <alignment horizontal="center" vertical="center"/>
    </xf>
    <xf numFmtId="1" fontId="52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horizontal="center" vertical="center"/>
    </xf>
    <xf numFmtId="2" fontId="52" fillId="25" borderId="58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vertical="center"/>
    </xf>
    <xf numFmtId="0" fontId="55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vertical="center"/>
    </xf>
    <xf numFmtId="0" fontId="78" fillId="24" borderId="30" xfId="0" applyFont="1" applyFill="1" applyBorder="1" applyAlignment="1">
      <alignment vertical="center"/>
    </xf>
    <xf numFmtId="0" fontId="66" fillId="24" borderId="31" xfId="0" applyFont="1" applyFill="1" applyBorder="1" applyAlignment="1">
      <alignment horizontal="center" vertical="center"/>
    </xf>
    <xf numFmtId="0" fontId="79" fillId="19" borderId="0" xfId="0" applyFont="1" applyFill="1" applyAlignment="1">
      <alignment vertical="center"/>
    </xf>
    <xf numFmtId="2" fontId="55" fillId="25" borderId="37" xfId="0" applyNumberFormat="1" applyFont="1" applyFill="1" applyBorder="1" applyAlignment="1">
      <alignment horizontal="center" vertical="center"/>
    </xf>
    <xf numFmtId="0" fontId="69" fillId="27" borderId="54" xfId="0" applyFont="1" applyFill="1" applyBorder="1" applyAlignment="1">
      <alignment horizontal="center" vertical="center"/>
    </xf>
    <xf numFmtId="0" fontId="69" fillId="27" borderId="80" xfId="0" applyFont="1" applyFill="1" applyBorder="1" applyAlignment="1">
      <alignment horizontal="center" vertical="center"/>
    </xf>
    <xf numFmtId="1" fontId="64" fillId="27" borderId="81" xfId="0" applyNumberFormat="1" applyFont="1" applyFill="1" applyBorder="1" applyAlignment="1">
      <alignment horizontal="center" vertical="center"/>
    </xf>
    <xf numFmtId="2" fontId="64" fillId="36" borderId="44" xfId="0" applyNumberFormat="1" applyFont="1" applyFill="1" applyBorder="1" applyAlignment="1">
      <alignment vertical="center"/>
    </xf>
    <xf numFmtId="164" fontId="64" fillId="36" borderId="43" xfId="0" applyNumberFormat="1" applyFont="1" applyFill="1" applyBorder="1" applyAlignment="1">
      <alignment vertical="center"/>
    </xf>
    <xf numFmtId="164" fontId="64" fillId="36" borderId="82" xfId="0" applyNumberFormat="1" applyFont="1" applyFill="1" applyBorder="1" applyAlignment="1">
      <alignment vertical="center"/>
    </xf>
    <xf numFmtId="1" fontId="64" fillId="36" borderId="34" xfId="0" applyNumberFormat="1" applyFont="1" applyFill="1" applyBorder="1" applyAlignment="1">
      <alignment vertical="center"/>
    </xf>
    <xf numFmtId="1" fontId="64" fillId="36" borderId="38" xfId="0" applyNumberFormat="1" applyFont="1" applyFill="1" applyBorder="1" applyAlignment="1">
      <alignment vertical="center"/>
    </xf>
    <xf numFmtId="2" fontId="64" fillId="36" borderId="35" xfId="0" applyNumberFormat="1" applyFont="1" applyFill="1" applyBorder="1" applyAlignment="1">
      <alignment vertical="center"/>
    </xf>
    <xf numFmtId="164" fontId="64" fillId="36" borderId="2" xfId="0" applyNumberFormat="1" applyFont="1" applyFill="1" applyBorder="1" applyAlignment="1">
      <alignment vertical="center"/>
    </xf>
    <xf numFmtId="164" fontId="64" fillId="36" borderId="36" xfId="0" applyNumberFormat="1" applyFont="1" applyFill="1" applyBorder="1" applyAlignment="1">
      <alignment vertical="center"/>
    </xf>
    <xf numFmtId="1" fontId="64" fillId="27" borderId="77" xfId="0" applyNumberFormat="1" applyFont="1" applyFill="1" applyBorder="1" applyAlignment="1">
      <alignment horizontal="center" vertical="center"/>
    </xf>
    <xf numFmtId="2" fontId="64" fillId="36" borderId="84" xfId="0" applyNumberFormat="1" applyFont="1" applyFill="1" applyBorder="1" applyAlignment="1">
      <alignment vertical="center"/>
    </xf>
    <xf numFmtId="164" fontId="64" fillId="36" borderId="15" xfId="0" applyNumberFormat="1" applyFont="1" applyFill="1" applyBorder="1" applyAlignment="1">
      <alignment vertical="center"/>
    </xf>
    <xf numFmtId="164" fontId="64" fillId="36" borderId="79" xfId="0" applyNumberFormat="1" applyFont="1" applyFill="1" applyBorder="1" applyAlignment="1">
      <alignment vertical="center"/>
    </xf>
    <xf numFmtId="1" fontId="64" fillId="36" borderId="65" xfId="0" applyNumberFormat="1" applyFont="1" applyFill="1" applyBorder="1" applyAlignment="1">
      <alignment vertical="center"/>
    </xf>
    <xf numFmtId="1" fontId="64" fillId="36" borderId="85" xfId="0" applyNumberFormat="1" applyFont="1" applyFill="1" applyBorder="1" applyAlignment="1">
      <alignment vertical="center"/>
    </xf>
    <xf numFmtId="0" fontId="64" fillId="40" borderId="86" xfId="0" applyFont="1" applyFill="1" applyBorder="1" applyAlignment="1">
      <alignment horizontal="center" vertical="center"/>
    </xf>
    <xf numFmtId="1" fontId="64" fillId="40" borderId="77" xfId="0" applyNumberFormat="1" applyFont="1" applyFill="1" applyBorder="1" applyAlignment="1">
      <alignment horizontal="center" vertical="center"/>
    </xf>
    <xf numFmtId="0" fontId="64" fillId="40" borderId="78" xfId="0" applyFont="1" applyFill="1" applyBorder="1" applyAlignment="1">
      <alignment horizontal="center" vertical="center"/>
    </xf>
    <xf numFmtId="164" fontId="64" fillId="40" borderId="88" xfId="0" applyNumberFormat="1" applyFont="1" applyFill="1" applyBorder="1" applyAlignment="1">
      <alignment horizontal="right" vertical="center"/>
    </xf>
    <xf numFmtId="164" fontId="64" fillId="40" borderId="89" xfId="0" applyNumberFormat="1" applyFont="1" applyFill="1" applyBorder="1" applyAlignment="1">
      <alignment horizontal="right" vertical="center"/>
    </xf>
    <xf numFmtId="2" fontId="64" fillId="40" borderId="87" xfId="0" applyNumberFormat="1" applyFont="1" applyFill="1" applyBorder="1" applyAlignment="1">
      <alignment vertical="center"/>
    </xf>
    <xf numFmtId="1" fontId="64" fillId="40" borderId="77" xfId="0" applyNumberFormat="1" applyFont="1" applyFill="1" applyBorder="1" applyAlignment="1">
      <alignment vertical="center"/>
    </xf>
    <xf numFmtId="164" fontId="64" fillId="40" borderId="89" xfId="0" applyNumberFormat="1" applyFont="1" applyFill="1" applyBorder="1" applyAlignment="1">
      <alignment horizontal="center" vertical="center"/>
    </xf>
    <xf numFmtId="0" fontId="53" fillId="35" borderId="0" xfId="0" applyFont="1" applyFill="1" applyAlignment="1">
      <alignment vertical="center"/>
    </xf>
    <xf numFmtId="2" fontId="55" fillId="25" borderId="58" xfId="0" applyNumberFormat="1" applyFont="1" applyFill="1" applyBorder="1" applyAlignment="1">
      <alignment horizontal="center" vertical="center"/>
    </xf>
    <xf numFmtId="1" fontId="68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7" fillId="33" borderId="34" xfId="55" applyNumberFormat="1" applyFont="1" applyFill="1" applyBorder="1" applyAlignment="1">
      <alignment horizontal="center" vertical="center"/>
    </xf>
    <xf numFmtId="0" fontId="57" fillId="23" borderId="91" xfId="0" applyFont="1" applyFill="1" applyBorder="1" applyAlignment="1">
      <alignment horizontal="center" vertical="center"/>
    </xf>
    <xf numFmtId="0" fontId="68" fillId="31" borderId="34" xfId="0" applyFont="1" applyFill="1" applyBorder="1" applyAlignment="1">
      <alignment horizontal="center" vertical="center"/>
    </xf>
    <xf numFmtId="0" fontId="55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51" fillId="31" borderId="34" xfId="2" applyNumberFormat="1" applyFont="1" applyFill="1" applyBorder="1" applyAlignment="1">
      <alignment horizontal="center" vertical="center"/>
    </xf>
    <xf numFmtId="0" fontId="51" fillId="31" borderId="37" xfId="0" applyFont="1" applyFill="1" applyBorder="1" applyAlignment="1">
      <alignment horizontal="center" vertical="center"/>
    </xf>
    <xf numFmtId="0" fontId="64" fillId="27" borderId="34" xfId="0" applyFont="1" applyFill="1" applyBorder="1" applyAlignment="1">
      <alignment horizontal="center" vertical="center"/>
    </xf>
    <xf numFmtId="0" fontId="64" fillId="27" borderId="35" xfId="0" applyFont="1" applyFill="1" applyBorder="1" applyAlignment="1">
      <alignment vertical="center"/>
    </xf>
    <xf numFmtId="0" fontId="64" fillId="35" borderId="2" xfId="0" applyFont="1" applyFill="1" applyBorder="1" applyAlignment="1">
      <alignment vertical="center"/>
    </xf>
    <xf numFmtId="0" fontId="64" fillId="35" borderId="36" xfId="0" applyFont="1" applyFill="1" applyBorder="1" applyAlignment="1">
      <alignment vertical="center"/>
    </xf>
    <xf numFmtId="0" fontId="64" fillId="28" borderId="37" xfId="0" applyFont="1" applyFill="1" applyBorder="1" applyAlignment="1">
      <alignment vertical="center"/>
    </xf>
    <xf numFmtId="0" fontId="64" fillId="35" borderId="37" xfId="0" applyFont="1" applyFill="1" applyBorder="1" applyAlignment="1">
      <alignment vertical="center"/>
    </xf>
    <xf numFmtId="0" fontId="64" fillId="35" borderId="38" xfId="0" applyFont="1" applyFill="1" applyBorder="1" applyAlignment="1">
      <alignment vertical="center"/>
    </xf>
    <xf numFmtId="0" fontId="63" fillId="27" borderId="33" xfId="0" applyFont="1" applyFill="1" applyBorder="1" applyAlignment="1">
      <alignment horizontal="center" vertical="center"/>
    </xf>
    <xf numFmtId="0" fontId="64" fillId="24" borderId="2" xfId="0" applyFont="1" applyFill="1" applyBorder="1" applyAlignment="1">
      <alignment vertical="center"/>
    </xf>
    <xf numFmtId="0" fontId="64" fillId="24" borderId="36" xfId="0" applyFont="1" applyFill="1" applyBorder="1" applyAlignment="1">
      <alignment vertical="center"/>
    </xf>
    <xf numFmtId="0" fontId="64" fillId="24" borderId="34" xfId="0" applyFont="1" applyFill="1" applyBorder="1" applyAlignment="1">
      <alignment vertical="center"/>
    </xf>
    <xf numFmtId="0" fontId="64" fillId="24" borderId="38" xfId="0" applyFont="1" applyFill="1" applyBorder="1" applyAlignment="1">
      <alignment vertical="center"/>
    </xf>
    <xf numFmtId="0" fontId="72" fillId="27" borderId="33" xfId="0" applyFont="1" applyFill="1" applyBorder="1" applyAlignment="1">
      <alignment horizontal="center" vertical="center"/>
    </xf>
    <xf numFmtId="0" fontId="74" fillId="27" borderId="33" xfId="0" applyFont="1" applyFill="1" applyBorder="1" applyAlignment="1">
      <alignment horizontal="center" vertical="center"/>
    </xf>
    <xf numFmtId="0" fontId="74" fillId="27" borderId="64" xfId="0" applyFont="1" applyFill="1" applyBorder="1" applyAlignment="1">
      <alignment horizontal="center" vertical="center"/>
    </xf>
    <xf numFmtId="0" fontId="64" fillId="27" borderId="65" xfId="0" applyFont="1" applyFill="1" applyBorder="1" applyAlignment="1">
      <alignment horizontal="center" vertical="center"/>
    </xf>
    <xf numFmtId="0" fontId="64" fillId="27" borderId="66" xfId="0" applyFont="1" applyFill="1" applyBorder="1" applyAlignment="1">
      <alignment vertical="center"/>
    </xf>
    <xf numFmtId="0" fontId="64" fillId="24" borderId="67" xfId="0" applyFont="1" applyFill="1" applyBorder="1" applyAlignment="1">
      <alignment vertical="center"/>
    </xf>
    <xf numFmtId="0" fontId="64" fillId="24" borderId="68" xfId="0" applyFont="1" applyFill="1" applyBorder="1" applyAlignment="1">
      <alignment vertical="center"/>
    </xf>
    <xf numFmtId="0" fontId="64" fillId="28" borderId="64" xfId="0" applyFont="1" applyFill="1" applyBorder="1" applyAlignment="1">
      <alignment vertical="center"/>
    </xf>
    <xf numFmtId="0" fontId="64" fillId="24" borderId="65" xfId="0" applyFont="1" applyFill="1" applyBorder="1" applyAlignment="1">
      <alignment vertical="center"/>
    </xf>
    <xf numFmtId="0" fontId="64" fillId="27" borderId="77" xfId="0" applyFont="1" applyFill="1" applyBorder="1" applyAlignment="1">
      <alignment horizontal="center" vertical="center"/>
    </xf>
    <xf numFmtId="0" fontId="64" fillId="27" borderId="78" xfId="0" applyFont="1" applyFill="1" applyBorder="1" applyAlignment="1">
      <alignment vertical="center"/>
    </xf>
    <xf numFmtId="0" fontId="64" fillId="35" borderId="15" xfId="0" applyFont="1" applyFill="1" applyBorder="1" applyAlignment="1">
      <alignment vertical="center"/>
    </xf>
    <xf numFmtId="0" fontId="64" fillId="35" borderId="79" xfId="0" applyFont="1" applyFill="1" applyBorder="1" applyAlignment="1">
      <alignment vertical="center"/>
    </xf>
    <xf numFmtId="0" fontId="64" fillId="35" borderId="65" xfId="0" applyFont="1" applyFill="1" applyBorder="1" applyAlignment="1">
      <alignment vertical="center"/>
    </xf>
    <xf numFmtId="0" fontId="64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41" fillId="18" borderId="3" xfId="55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7" fillId="9" borderId="96" xfId="0" applyNumberFormat="1" applyFont="1" applyFill="1" applyBorder="1" applyAlignment="1">
      <alignment vertical="center"/>
    </xf>
    <xf numFmtId="0" fontId="31" fillId="13" borderId="98" xfId="0" applyFont="1" applyFill="1" applyBorder="1" applyAlignment="1">
      <alignment horizontal="center" vertical="center"/>
    </xf>
    <xf numFmtId="167" fontId="31" fillId="13" borderId="98" xfId="40" applyNumberFormat="1" applyFont="1" applyFill="1" applyBorder="1" applyAlignment="1">
      <alignment horizontal="center" vertical="center" wrapText="1"/>
    </xf>
    <xf numFmtId="2" fontId="41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0" fontId="64" fillId="36" borderId="37" xfId="0" applyFont="1" applyFill="1" applyBorder="1" applyAlignment="1">
      <alignment vertical="center"/>
    </xf>
    <xf numFmtId="0" fontId="64" fillId="36" borderId="64" xfId="0" applyFont="1" applyFill="1" applyBorder="1" applyAlignment="1">
      <alignment vertical="center"/>
    </xf>
    <xf numFmtId="0" fontId="80" fillId="28" borderId="87" xfId="0" applyFont="1" applyFill="1" applyBorder="1" applyAlignment="1">
      <alignment horizontal="center" vertical="center"/>
    </xf>
    <xf numFmtId="0" fontId="51" fillId="29" borderId="39" xfId="0" applyFont="1" applyFill="1" applyBorder="1" applyAlignment="1">
      <alignment horizontal="center" vertical="center"/>
    </xf>
    <xf numFmtId="0" fontId="51" fillId="29" borderId="49" xfId="0" applyFont="1" applyFill="1" applyBorder="1" applyAlignment="1">
      <alignment horizontal="center" vertical="center"/>
    </xf>
    <xf numFmtId="0" fontId="51" fillId="24" borderId="49" xfId="0" applyFont="1" applyFill="1" applyBorder="1" applyAlignment="1">
      <alignment horizontal="center" vertical="center"/>
    </xf>
    <xf numFmtId="0" fontId="51" fillId="37" borderId="49" xfId="0" applyFont="1" applyFill="1" applyBorder="1" applyAlignment="1">
      <alignment horizontal="center" vertical="center"/>
    </xf>
    <xf numFmtId="0" fontId="64" fillId="38" borderId="49" xfId="0" applyFont="1" applyFill="1" applyBorder="1" applyAlignment="1">
      <alignment horizontal="right" vertical="center"/>
    </xf>
    <xf numFmtId="0" fontId="54" fillId="29" borderId="49" xfId="0" applyFont="1" applyFill="1" applyBorder="1" applyAlignment="1">
      <alignment horizontal="center" vertical="center"/>
    </xf>
    <xf numFmtId="0" fontId="54" fillId="29" borderId="55" xfId="0" applyFont="1" applyFill="1" applyBorder="1" applyAlignment="1">
      <alignment horizontal="center" vertical="center"/>
    </xf>
    <xf numFmtId="0" fontId="64" fillId="24" borderId="43" xfId="0" applyFont="1" applyFill="1" applyBorder="1" applyAlignment="1">
      <alignment horizontal="right" vertical="center"/>
    </xf>
    <xf numFmtId="0" fontId="64" fillId="24" borderId="44" xfId="0" applyFont="1" applyFill="1" applyBorder="1" applyAlignment="1">
      <alignment horizontal="right" vertical="center"/>
    </xf>
    <xf numFmtId="0" fontId="64" fillId="24" borderId="2" xfId="0" applyFont="1" applyFill="1" applyBorder="1" applyAlignment="1">
      <alignment horizontal="right" vertical="center"/>
    </xf>
    <xf numFmtId="0" fontId="64" fillId="24" borderId="35" xfId="0" applyFont="1" applyFill="1" applyBorder="1" applyAlignment="1">
      <alignment horizontal="right" vertical="center"/>
    </xf>
    <xf numFmtId="0" fontId="51" fillId="31" borderId="93" xfId="0" applyFont="1" applyFill="1" applyBorder="1" applyAlignment="1">
      <alignment horizontal="center" vertical="center"/>
    </xf>
    <xf numFmtId="0" fontId="64" fillId="35" borderId="2" xfId="0" applyFont="1" applyFill="1" applyBorder="1" applyAlignment="1">
      <alignment horizontal="right" vertical="center"/>
    </xf>
    <xf numFmtId="0" fontId="64" fillId="35" borderId="46" xfId="0" applyFont="1" applyFill="1" applyBorder="1" applyAlignment="1">
      <alignment horizontal="right" vertical="center"/>
    </xf>
    <xf numFmtId="0" fontId="64" fillId="35" borderId="35" xfId="0" applyFont="1" applyFill="1" applyBorder="1" applyAlignment="1">
      <alignment horizontal="right" vertical="center"/>
    </xf>
    <xf numFmtId="0" fontId="64" fillId="36" borderId="2" xfId="0" applyFont="1" applyFill="1" applyBorder="1" applyAlignment="1">
      <alignment horizontal="right" vertical="center"/>
    </xf>
    <xf numFmtId="0" fontId="64" fillId="36" borderId="35" xfId="0" applyFont="1" applyFill="1" applyBorder="1" applyAlignment="1">
      <alignment horizontal="right" vertical="center"/>
    </xf>
    <xf numFmtId="0" fontId="8" fillId="4" borderId="101" xfId="31" applyFont="1" applyFill="1" applyBorder="1" applyAlignment="1">
      <alignment horizontal="center"/>
    </xf>
    <xf numFmtId="0" fontId="67" fillId="33" borderId="34" xfId="0" applyFont="1" applyFill="1" applyBorder="1" applyAlignment="1">
      <alignment horizontal="center" vertical="center"/>
    </xf>
    <xf numFmtId="0" fontId="57" fillId="21" borderId="25" xfId="0" applyFont="1" applyFill="1" applyBorder="1" applyAlignment="1">
      <alignment horizontal="center" vertical="center"/>
    </xf>
    <xf numFmtId="0" fontId="58" fillId="23" borderId="25" xfId="0" applyFont="1" applyFill="1" applyBorder="1" applyAlignment="1">
      <alignment horizontal="center" vertical="center"/>
    </xf>
    <xf numFmtId="0" fontId="57" fillId="23" borderId="25" xfId="0" applyFont="1" applyFill="1" applyBorder="1" applyAlignment="1">
      <alignment horizontal="center" vertical="center"/>
    </xf>
    <xf numFmtId="2" fontId="47" fillId="9" borderId="102" xfId="0" applyNumberFormat="1" applyFont="1" applyFill="1" applyBorder="1" applyAlignment="1">
      <alignment vertical="center"/>
    </xf>
    <xf numFmtId="0" fontId="47" fillId="9" borderId="3" xfId="0" applyFont="1" applyFill="1" applyBorder="1" applyAlignment="1">
      <alignment vertical="center"/>
    </xf>
    <xf numFmtId="0" fontId="47" fillId="9" borderId="96" xfId="0" applyFont="1" applyFill="1" applyBorder="1" applyAlignment="1">
      <alignment vertical="center"/>
    </xf>
    <xf numFmtId="2" fontId="47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42" fillId="10" borderId="104" xfId="55" applyNumberFormat="1" applyFont="1" applyFill="1" applyBorder="1" applyAlignment="1">
      <alignment horizontal="right" vertical="center"/>
    </xf>
    <xf numFmtId="167" fontId="42" fillId="10" borderId="112" xfId="55" applyNumberFormat="1" applyFont="1" applyFill="1" applyBorder="1" applyAlignment="1">
      <alignment horizontal="right" vertical="center"/>
    </xf>
    <xf numFmtId="0" fontId="82" fillId="10" borderId="104" xfId="0" applyFont="1" applyFill="1" applyBorder="1" applyAlignment="1">
      <alignment horizontal="right" vertical="center"/>
    </xf>
    <xf numFmtId="0" fontId="32" fillId="10" borderId="112" xfId="0" applyFont="1" applyFill="1" applyBorder="1" applyAlignment="1">
      <alignment horizontal="right" vertical="center"/>
    </xf>
    <xf numFmtId="10" fontId="30" fillId="10" borderId="104" xfId="114" applyNumberFormat="1" applyFont="1" applyFill="1" applyBorder="1" applyAlignment="1">
      <alignment horizontal="center" vertical="center"/>
    </xf>
    <xf numFmtId="10" fontId="30" fillId="10" borderId="112" xfId="114" applyNumberFormat="1" applyFont="1" applyFill="1" applyBorder="1" applyAlignment="1">
      <alignment horizontal="center" vertical="center"/>
    </xf>
    <xf numFmtId="0" fontId="46" fillId="10" borderId="104" xfId="0" applyFont="1" applyFill="1" applyBorder="1" applyAlignment="1">
      <alignment horizontal="right" vertical="center"/>
    </xf>
    <xf numFmtId="0" fontId="46" fillId="10" borderId="112" xfId="0" applyFont="1" applyFill="1" applyBorder="1" applyAlignment="1">
      <alignment horizontal="right" vertical="center"/>
    </xf>
    <xf numFmtId="0" fontId="46" fillId="10" borderId="114" xfId="0" applyFont="1" applyFill="1" applyBorder="1" applyAlignment="1">
      <alignment horizontal="right" vertical="center"/>
    </xf>
    <xf numFmtId="0" fontId="46" fillId="10" borderId="111" xfId="0" applyFont="1" applyFill="1" applyBorder="1" applyAlignment="1">
      <alignment horizontal="right" vertical="center"/>
    </xf>
    <xf numFmtId="0" fontId="42" fillId="10" borderId="104" xfId="0" applyFont="1" applyFill="1" applyBorder="1" applyAlignment="1">
      <alignment horizontal="right" vertical="center"/>
    </xf>
    <xf numFmtId="0" fontId="42" fillId="10" borderId="112" xfId="0" applyFont="1" applyFill="1" applyBorder="1" applyAlignment="1">
      <alignment horizontal="right" vertical="center"/>
    </xf>
    <xf numFmtId="0" fontId="42" fillId="10" borderId="114" xfId="0" applyFont="1" applyFill="1" applyBorder="1" applyAlignment="1">
      <alignment horizontal="right" vertical="center"/>
    </xf>
    <xf numFmtId="0" fontId="42" fillId="10" borderId="111" xfId="0" applyFont="1" applyFill="1" applyBorder="1" applyAlignment="1">
      <alignment horizontal="right" vertical="center"/>
    </xf>
    <xf numFmtId="3" fontId="42" fillId="10" borderId="112" xfId="0" applyNumberFormat="1" applyFont="1" applyFill="1" applyBorder="1" applyAlignment="1">
      <alignment horizontal="right" vertical="center"/>
    </xf>
    <xf numFmtId="0" fontId="46" fillId="10" borderId="105" xfId="0" applyFont="1" applyFill="1" applyBorder="1" applyAlignment="1">
      <alignment horizontal="right" vertical="center"/>
    </xf>
    <xf numFmtId="0" fontId="46" fillId="10" borderId="96" xfId="0" applyFont="1" applyFill="1" applyBorder="1" applyAlignment="1">
      <alignment horizontal="right" vertical="center"/>
    </xf>
    <xf numFmtId="0" fontId="46" fillId="10" borderId="3" xfId="0" applyFont="1" applyFill="1" applyBorder="1" applyAlignment="1">
      <alignment horizontal="right" vertical="center"/>
    </xf>
    <xf numFmtId="10" fontId="30" fillId="10" borderId="111" xfId="114" applyNumberFormat="1" applyFont="1" applyFill="1" applyBorder="1" applyAlignment="1">
      <alignment horizontal="center" vertical="center"/>
    </xf>
    <xf numFmtId="0" fontId="32" fillId="9" borderId="112" xfId="0" applyFont="1" applyFill="1" applyBorder="1" applyAlignment="1">
      <alignment horizontal="center" vertical="center"/>
    </xf>
    <xf numFmtId="167" fontId="42" fillId="10" borderId="111" xfId="55" applyNumberFormat="1" applyFont="1" applyFill="1" applyBorder="1" applyAlignment="1">
      <alignment horizontal="right" vertical="center"/>
    </xf>
    <xf numFmtId="0" fontId="82" fillId="10" borderId="111" xfId="0" applyFont="1" applyFill="1" applyBorder="1" applyAlignment="1">
      <alignment horizontal="right" vertical="center"/>
    </xf>
    <xf numFmtId="0" fontId="81" fillId="10" borderId="112" xfId="0" applyFont="1" applyFill="1" applyBorder="1" applyAlignment="1">
      <alignment horizontal="right" vertical="center"/>
    </xf>
    <xf numFmtId="0" fontId="87" fillId="10" borderId="109" xfId="0" applyFont="1" applyFill="1" applyBorder="1" applyAlignment="1">
      <alignment horizontal="left" vertical="center"/>
    </xf>
    <xf numFmtId="0" fontId="42" fillId="10" borderId="97" xfId="55" applyNumberFormat="1" applyFont="1" applyFill="1" applyBorder="1" applyAlignment="1">
      <alignment horizontal="right" vertical="center"/>
    </xf>
    <xf numFmtId="0" fontId="83" fillId="10" borderId="97" xfId="55" applyNumberFormat="1" applyFont="1" applyFill="1" applyBorder="1" applyAlignment="1">
      <alignment horizontal="right" vertical="center"/>
    </xf>
    <xf numFmtId="0" fontId="81" fillId="10" borderId="97" xfId="0" applyFont="1" applyFill="1" applyBorder="1" applyAlignment="1">
      <alignment horizontal="right" vertical="center"/>
    </xf>
    <xf numFmtId="0" fontId="82" fillId="10" borderId="97" xfId="0" applyFont="1" applyFill="1" applyBorder="1" applyAlignment="1">
      <alignment horizontal="right" vertical="center"/>
    </xf>
    <xf numFmtId="0" fontId="32" fillId="9" borderId="97" xfId="0" applyFont="1" applyFill="1" applyBorder="1" applyAlignment="1">
      <alignment horizontal="center" vertical="center"/>
    </xf>
    <xf numFmtId="10" fontId="84" fillId="10" borderId="112" xfId="114" applyNumberFormat="1" applyFont="1" applyFill="1" applyBorder="1" applyAlignment="1">
      <alignment horizontal="center" vertical="center"/>
    </xf>
    <xf numFmtId="0" fontId="83" fillId="10" borderId="112" xfId="55" applyNumberFormat="1" applyFont="1" applyFill="1" applyBorder="1" applyAlignment="1">
      <alignment horizontal="right" vertical="center"/>
    </xf>
    <xf numFmtId="0" fontId="82" fillId="10" borderId="112" xfId="0" applyFont="1" applyFill="1" applyBorder="1" applyAlignment="1">
      <alignment horizontal="right" vertical="center"/>
    </xf>
    <xf numFmtId="0" fontId="42" fillId="10" borderId="115" xfId="55" applyNumberFormat="1" applyFont="1" applyFill="1" applyBorder="1" applyAlignment="1">
      <alignment horizontal="right" vertical="center"/>
    </xf>
    <xf numFmtId="0" fontId="81" fillId="10" borderId="115" xfId="0" applyFont="1" applyFill="1" applyBorder="1" applyAlignment="1">
      <alignment horizontal="right" vertical="center"/>
    </xf>
    <xf numFmtId="0" fontId="33" fillId="9" borderId="115" xfId="0" applyFont="1" applyFill="1" applyBorder="1" applyAlignment="1">
      <alignment horizontal="center" vertical="center"/>
    </xf>
    <xf numFmtId="10" fontId="30" fillId="10" borderId="114" xfId="114" applyNumberFormat="1" applyFont="1" applyFill="1" applyBorder="1" applyAlignment="1">
      <alignment horizontal="center" vertical="center"/>
    </xf>
    <xf numFmtId="0" fontId="46" fillId="10" borderId="116" xfId="0" applyFont="1" applyFill="1" applyBorder="1" applyAlignment="1">
      <alignment horizontal="right" vertical="center"/>
    </xf>
    <xf numFmtId="0" fontId="83" fillId="10" borderId="115" xfId="55" applyNumberFormat="1" applyFont="1" applyFill="1" applyBorder="1" applyAlignment="1">
      <alignment horizontal="right" vertical="center"/>
    </xf>
    <xf numFmtId="0" fontId="47" fillId="9" borderId="116" xfId="0" applyFont="1" applyFill="1" applyBorder="1" applyAlignment="1">
      <alignment vertical="center"/>
    </xf>
    <xf numFmtId="0" fontId="83" fillId="10" borderId="114" xfId="55" applyNumberFormat="1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right" vertical="center"/>
    </xf>
    <xf numFmtId="0" fontId="33" fillId="9" borderId="114" xfId="0" applyFont="1" applyFill="1" applyBorder="1" applyAlignment="1">
      <alignment horizontal="center" vertical="center"/>
    </xf>
    <xf numFmtId="0" fontId="47" fillId="9" borderId="102" xfId="0" applyFont="1" applyFill="1" applyBorder="1" applyAlignment="1">
      <alignment vertical="center"/>
    </xf>
    <xf numFmtId="0" fontId="89" fillId="10" borderId="113" xfId="0" applyFont="1" applyFill="1" applyBorder="1" applyAlignment="1">
      <alignment horizontal="left" vertical="center"/>
    </xf>
    <xf numFmtId="0" fontId="87" fillId="10" borderId="113" xfId="0" applyFont="1" applyFill="1" applyBorder="1" applyAlignment="1">
      <alignment horizontal="left" vertical="center"/>
    </xf>
    <xf numFmtId="0" fontId="42" fillId="10" borderId="118" xfId="0" applyFont="1" applyFill="1" applyBorder="1" applyAlignment="1">
      <alignment horizontal="right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67" fontId="42" fillId="10" borderId="122" xfId="55" applyNumberFormat="1" applyFont="1" applyFill="1" applyBorder="1" applyAlignment="1">
      <alignment horizontal="right" vertical="center"/>
    </xf>
    <xf numFmtId="0" fontId="32" fillId="10" borderId="122" xfId="0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center" vertical="center"/>
    </xf>
    <xf numFmtId="0" fontId="46" fillId="10" borderId="123" xfId="0" applyFont="1" applyFill="1" applyBorder="1" applyAlignment="1">
      <alignment horizontal="right" vertical="center"/>
    </xf>
    <xf numFmtId="0" fontId="46" fillId="10" borderId="122" xfId="0" applyFont="1" applyFill="1" applyBorder="1" applyAlignment="1">
      <alignment horizontal="right" vertical="center"/>
    </xf>
    <xf numFmtId="0" fontId="42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" fontId="25" fillId="9" borderId="126" xfId="0" applyNumberFormat="1" applyFont="1" applyFill="1" applyBorder="1" applyAlignment="1">
      <alignment horizontal="center" vertical="center"/>
    </xf>
    <xf numFmtId="1" fontId="25" fillId="9" borderId="127" xfId="0" applyNumberFormat="1" applyFont="1" applyFill="1" applyBorder="1" applyAlignment="1">
      <alignment horizontal="center" vertical="center"/>
    </xf>
    <xf numFmtId="167" fontId="42" fillId="10" borderId="114" xfId="55" applyNumberFormat="1" applyFont="1" applyFill="1" applyBorder="1" applyAlignment="1">
      <alignment horizontal="right" vertical="center"/>
    </xf>
    <xf numFmtId="0" fontId="81" fillId="10" borderId="114" xfId="0" applyFont="1" applyFill="1" applyBorder="1" applyAlignment="1">
      <alignment horizontal="right" vertical="center"/>
    </xf>
    <xf numFmtId="0" fontId="32" fillId="9" borderId="114" xfId="0" applyFont="1" applyFill="1" applyBorder="1" applyAlignment="1">
      <alignment horizontal="center" vertical="center"/>
    </xf>
    <xf numFmtId="3" fontId="42" fillId="10" borderId="114" xfId="0" applyNumberFormat="1" applyFont="1" applyFill="1" applyBorder="1" applyAlignment="1">
      <alignment horizontal="right" vertical="center"/>
    </xf>
    <xf numFmtId="2" fontId="47" fillId="9" borderId="116" xfId="0" applyNumberFormat="1" applyFont="1" applyFill="1" applyBorder="1" applyAlignment="1">
      <alignment vertical="center"/>
    </xf>
    <xf numFmtId="170" fontId="3" fillId="0" borderId="0" xfId="55" applyNumberFormat="1" applyFont="1"/>
    <xf numFmtId="0" fontId="83" fillId="10" borderId="103" xfId="55" applyNumberFormat="1" applyFont="1" applyFill="1" applyBorder="1" applyAlignment="1">
      <alignment horizontal="right" vertical="center"/>
    </xf>
    <xf numFmtId="0" fontId="83" fillId="10" borderId="110" xfId="55" applyNumberFormat="1" applyFont="1" applyFill="1" applyBorder="1" applyAlignment="1">
      <alignment horizontal="right" vertical="center"/>
    </xf>
    <xf numFmtId="0" fontId="42" fillId="10" borderId="103" xfId="55" applyNumberFormat="1" applyFont="1" applyFill="1" applyBorder="1" applyAlignment="1">
      <alignment horizontal="right" vertical="center"/>
    </xf>
    <xf numFmtId="0" fontId="91" fillId="22" borderId="25" xfId="0" applyFont="1" applyFill="1" applyBorder="1" applyAlignment="1">
      <alignment horizontal="center" vertical="center"/>
    </xf>
    <xf numFmtId="0" fontId="91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5" fillId="12" borderId="128" xfId="55" applyNumberFormat="1" applyFont="1" applyFill="1" applyBorder="1" applyAlignment="1">
      <alignment horizontal="center" vertical="center"/>
    </xf>
    <xf numFmtId="0" fontId="45" fillId="12" borderId="129" xfId="55" applyNumberFormat="1" applyFont="1" applyFill="1" applyBorder="1" applyAlignment="1">
      <alignment horizontal="center" vertical="center"/>
    </xf>
    <xf numFmtId="0" fontId="0" fillId="0" borderId="131" xfId="0" applyBorder="1" applyAlignment="1">
      <alignment horizontal="center"/>
    </xf>
    <xf numFmtId="2" fontId="92" fillId="0" borderId="0" xfId="0" applyNumberFormat="1" applyFont="1"/>
    <xf numFmtId="0" fontId="81" fillId="10" borderId="111" xfId="0" applyFont="1" applyFill="1" applyBorder="1" applyAlignment="1">
      <alignment horizontal="right" vertical="center"/>
    </xf>
    <xf numFmtId="0" fontId="32" fillId="9" borderId="111" xfId="0" applyFont="1" applyFill="1" applyBorder="1" applyAlignment="1">
      <alignment horizontal="center" vertical="center"/>
    </xf>
    <xf numFmtId="3" fontId="42" fillId="10" borderId="111" xfId="0" applyNumberFormat="1" applyFont="1" applyFill="1" applyBorder="1" applyAlignment="1">
      <alignment horizontal="right" vertical="center"/>
    </xf>
    <xf numFmtId="10" fontId="30" fillId="10" borderId="133" xfId="114" applyNumberFormat="1" applyFont="1" applyFill="1" applyBorder="1" applyAlignment="1">
      <alignment horizontal="center" vertical="center"/>
    </xf>
    <xf numFmtId="0" fontId="46" fillId="10" borderId="134" xfId="0" applyFont="1" applyFill="1" applyBorder="1" applyAlignment="1">
      <alignment horizontal="right" vertical="center"/>
    </xf>
    <xf numFmtId="0" fontId="46" fillId="10" borderId="133" xfId="0" applyFont="1" applyFill="1" applyBorder="1" applyAlignment="1">
      <alignment horizontal="right" vertical="center"/>
    </xf>
    <xf numFmtId="0" fontId="42" fillId="10" borderId="133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0" fontId="81" fillId="10" borderId="103" xfId="0" applyFont="1" applyFill="1" applyBorder="1" applyAlignment="1">
      <alignment horizontal="right" vertical="center"/>
    </xf>
    <xf numFmtId="0" fontId="33" fillId="9" borderId="103" xfId="0" applyFont="1" applyFill="1" applyBorder="1" applyAlignment="1">
      <alignment horizontal="center" vertical="center"/>
    </xf>
    <xf numFmtId="3" fontId="42" fillId="10" borderId="133" xfId="0" applyNumberFormat="1" applyFont="1" applyFill="1" applyBorder="1" applyAlignment="1">
      <alignment horizontal="right" vertical="center"/>
    </xf>
    <xf numFmtId="1" fontId="25" fillId="9" borderId="138" xfId="0" applyNumberFormat="1" applyFont="1" applyFill="1" applyBorder="1" applyAlignment="1">
      <alignment horizontal="center" vertical="center"/>
    </xf>
    <xf numFmtId="0" fontId="82" fillId="10" borderId="103" xfId="0" applyFont="1" applyFill="1" applyBorder="1" applyAlignment="1">
      <alignment horizontal="right" vertical="center"/>
    </xf>
    <xf numFmtId="0" fontId="32" fillId="9" borderId="139" xfId="0" applyFont="1" applyFill="1" applyBorder="1" applyAlignment="1">
      <alignment horizontal="center" vertical="center"/>
    </xf>
    <xf numFmtId="0" fontId="47" fillId="9" borderId="134" xfId="0" applyFont="1" applyFill="1" applyBorder="1" applyAlignment="1">
      <alignment vertical="center"/>
    </xf>
    <xf numFmtId="10" fontId="84" fillId="10" borderId="111" xfId="114" applyNumberFormat="1" applyFont="1" applyFill="1" applyBorder="1" applyAlignment="1">
      <alignment horizontal="center" vertical="center"/>
    </xf>
    <xf numFmtId="0" fontId="87" fillId="10" borderId="132" xfId="0" applyFont="1" applyFill="1" applyBorder="1" applyAlignment="1">
      <alignment horizontal="left" vertical="center"/>
    </xf>
    <xf numFmtId="0" fontId="83" fillId="10" borderId="139" xfId="55" applyNumberFormat="1" applyFont="1" applyFill="1" applyBorder="1" applyAlignment="1">
      <alignment horizontal="right" vertical="center"/>
    </xf>
    <xf numFmtId="0" fontId="81" fillId="10" borderId="139" xfId="0" applyFont="1" applyFill="1" applyBorder="1" applyAlignment="1">
      <alignment horizontal="right" vertical="center"/>
    </xf>
    <xf numFmtId="0" fontId="83" fillId="10" borderId="137" xfId="55" applyNumberFormat="1" applyFont="1" applyFill="1" applyBorder="1" applyAlignment="1">
      <alignment horizontal="right" vertical="center"/>
    </xf>
    <xf numFmtId="2" fontId="47" fillId="9" borderId="134" xfId="0" applyNumberFormat="1" applyFont="1" applyFill="1" applyBorder="1" applyAlignment="1">
      <alignment vertical="center"/>
    </xf>
    <xf numFmtId="0" fontId="83" fillId="10" borderId="111" xfId="55" applyNumberFormat="1" applyFont="1" applyFill="1" applyBorder="1" applyAlignment="1">
      <alignment horizontal="right" vertical="center"/>
    </xf>
    <xf numFmtId="0" fontId="33" fillId="9" borderId="111" xfId="0" applyFont="1" applyFill="1" applyBorder="1" applyAlignment="1">
      <alignment horizontal="center" vertical="center"/>
    </xf>
    <xf numFmtId="0" fontId="81" fillId="10" borderId="9" xfId="0" applyFont="1" applyFill="1" applyBorder="1" applyAlignment="1">
      <alignment horizontal="left" vertical="center"/>
    </xf>
    <xf numFmtId="0" fontId="81" fillId="10" borderId="109" xfId="0" applyFont="1" applyFill="1" applyBorder="1" applyAlignment="1">
      <alignment horizontal="left" vertical="center"/>
    </xf>
    <xf numFmtId="0" fontId="81" fillId="10" borderId="117" xfId="0" applyFont="1" applyFill="1" applyBorder="1" applyAlignment="1">
      <alignment horizontal="left" vertical="center"/>
    </xf>
    <xf numFmtId="43" fontId="3" fillId="0" borderId="0" xfId="55" applyFont="1" applyAlignment="1">
      <alignment horizontal="center"/>
    </xf>
    <xf numFmtId="3" fontId="13" fillId="13" borderId="140" xfId="0" applyNumberFormat="1" applyFont="1" applyFill="1" applyBorder="1" applyAlignment="1">
      <alignment horizontal="center" vertical="center"/>
    </xf>
    <xf numFmtId="0" fontId="42" fillId="10" borderId="96" xfId="0" applyFont="1" applyFill="1" applyBorder="1" applyAlignment="1">
      <alignment horizontal="right" vertical="center"/>
    </xf>
    <xf numFmtId="0" fontId="42" fillId="10" borderId="134" xfId="0" applyFont="1" applyFill="1" applyBorder="1" applyAlignment="1">
      <alignment horizontal="right" vertical="center"/>
    </xf>
    <xf numFmtId="3" fontId="42" fillId="10" borderId="141" xfId="0" applyNumberFormat="1" applyFont="1" applyFill="1" applyBorder="1" applyAlignment="1">
      <alignment horizontal="right" vertical="center"/>
    </xf>
    <xf numFmtId="3" fontId="42" fillId="10" borderId="104" xfId="0" applyNumberFormat="1" applyFont="1" applyFill="1" applyBorder="1" applyAlignment="1">
      <alignment horizontal="right" vertical="center"/>
    </xf>
    <xf numFmtId="0" fontId="42" fillId="10" borderId="3" xfId="0" applyFont="1" applyFill="1" applyBorder="1" applyAlignment="1">
      <alignment horizontal="right" vertical="center"/>
    </xf>
    <xf numFmtId="0" fontId="42" fillId="10" borderId="116" xfId="0" applyFont="1" applyFill="1" applyBorder="1" applyAlignment="1">
      <alignment horizontal="right" vertical="center"/>
    </xf>
    <xf numFmtId="3" fontId="42" fillId="10" borderId="122" xfId="0" applyNumberFormat="1" applyFont="1" applyFill="1" applyBorder="1" applyAlignment="1">
      <alignment horizontal="right" vertical="center"/>
    </xf>
    <xf numFmtId="0" fontId="23" fillId="9" borderId="112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33" xfId="0" applyFont="1" applyFill="1" applyBorder="1" applyAlignment="1">
      <alignment horizontal="center" vertical="center"/>
    </xf>
    <xf numFmtId="0" fontId="23" fillId="9" borderId="111" xfId="0" applyFont="1" applyFill="1" applyBorder="1" applyAlignment="1">
      <alignment horizontal="center" vertical="center"/>
    </xf>
    <xf numFmtId="3" fontId="42" fillId="10" borderId="137" xfId="0" applyNumberFormat="1" applyFont="1" applyFill="1" applyBorder="1" applyAlignment="1">
      <alignment horizontal="right" vertical="center"/>
    </xf>
    <xf numFmtId="3" fontId="42" fillId="10" borderId="142" xfId="0" applyNumberFormat="1" applyFont="1" applyFill="1" applyBorder="1" applyAlignment="1">
      <alignment horizontal="right" vertical="center"/>
    </xf>
    <xf numFmtId="3" fontId="42" fillId="10" borderId="143" xfId="0" applyNumberFormat="1" applyFont="1" applyFill="1" applyBorder="1" applyAlignment="1">
      <alignment horizontal="right" vertical="center"/>
    </xf>
    <xf numFmtId="0" fontId="89" fillId="10" borderId="119" xfId="0" applyFont="1" applyFill="1" applyBorder="1" applyAlignment="1">
      <alignment horizontal="left" vertical="center"/>
    </xf>
    <xf numFmtId="0" fontId="47" fillId="9" borderId="3" xfId="55" applyNumberFormat="1" applyFont="1" applyFill="1" applyBorder="1" applyAlignment="1">
      <alignment vertical="center"/>
    </xf>
    <xf numFmtId="0" fontId="47" fillId="9" borderId="106" xfId="55" applyNumberFormat="1" applyFont="1" applyFill="1" applyBorder="1" applyAlignment="1">
      <alignment vertical="center"/>
    </xf>
    <xf numFmtId="0" fontId="32" fillId="10" borderId="146" xfId="0" applyFont="1" applyFill="1" applyBorder="1" applyAlignment="1">
      <alignment horizontal="right" vertical="center"/>
    </xf>
    <xf numFmtId="10" fontId="30" fillId="10" borderId="146" xfId="114" applyNumberFormat="1" applyFont="1" applyFill="1" applyBorder="1" applyAlignment="1">
      <alignment horizontal="center" vertical="center"/>
    </xf>
    <xf numFmtId="0" fontId="46" fillId="10" borderId="147" xfId="0" applyFont="1" applyFill="1" applyBorder="1" applyAlignment="1">
      <alignment horizontal="right" vertical="center"/>
    </xf>
    <xf numFmtId="0" fontId="46" fillId="10" borderId="146" xfId="0" applyFont="1" applyFill="1" applyBorder="1" applyAlignment="1">
      <alignment horizontal="right" vertical="center"/>
    </xf>
    <xf numFmtId="3" fontId="42" fillId="10" borderId="146" xfId="0" applyNumberFormat="1" applyFont="1" applyFill="1" applyBorder="1" applyAlignment="1">
      <alignment horizontal="right" vertical="center"/>
    </xf>
    <xf numFmtId="0" fontId="42" fillId="10" borderId="146" xfId="0" applyFont="1" applyFill="1" applyBorder="1" applyAlignment="1">
      <alignment horizontal="right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7" fillId="9" borderId="150" xfId="55" applyNumberFormat="1" applyFont="1" applyFill="1" applyBorder="1" applyAlignment="1">
      <alignment vertical="center"/>
    </xf>
    <xf numFmtId="167" fontId="42" fillId="10" borderId="146" xfId="55" applyNumberFormat="1" applyFont="1" applyFill="1" applyBorder="1" applyAlignment="1">
      <alignment horizontal="right" vertical="center"/>
    </xf>
    <xf numFmtId="3" fontId="42" fillId="10" borderId="151" xfId="0" applyNumberFormat="1" applyFont="1" applyFill="1" applyBorder="1" applyAlignment="1">
      <alignment horizontal="right" vertical="center"/>
    </xf>
    <xf numFmtId="1" fontId="25" fillId="9" borderId="153" xfId="0" applyNumberFormat="1" applyFont="1" applyFill="1" applyBorder="1" applyAlignment="1">
      <alignment horizontal="center" vertical="center"/>
    </xf>
    <xf numFmtId="0" fontId="81" fillId="10" borderId="148" xfId="0" applyFont="1" applyFill="1" applyBorder="1" applyAlignment="1">
      <alignment horizontal="left" vertical="center"/>
    </xf>
    <xf numFmtId="0" fontId="81" fillId="10" borderId="146" xfId="0" applyFont="1" applyFill="1" applyBorder="1" applyAlignment="1">
      <alignment horizontal="right" vertical="center"/>
    </xf>
    <xf numFmtId="0" fontId="32" fillId="9" borderId="146" xfId="0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0" fontId="47" fillId="9" borderId="116" xfId="55" applyNumberFormat="1" applyFont="1" applyFill="1" applyBorder="1" applyAlignment="1">
      <alignment vertical="center"/>
    </xf>
    <xf numFmtId="0" fontId="42" fillId="10" borderId="139" xfId="55" applyNumberFormat="1" applyFont="1" applyFill="1" applyBorder="1" applyAlignment="1">
      <alignment horizontal="right" vertical="center"/>
    </xf>
    <xf numFmtId="0" fontId="82" fillId="10" borderId="139" xfId="0" applyFont="1" applyFill="1" applyBorder="1" applyAlignment="1">
      <alignment horizontal="right" vertical="center"/>
    </xf>
    <xf numFmtId="0" fontId="47" fillId="9" borderId="155" xfId="0" applyFont="1" applyFill="1" applyBorder="1" applyAlignment="1">
      <alignment vertical="center"/>
    </xf>
    <xf numFmtId="0" fontId="96" fillId="12" borderId="129" xfId="55" applyNumberFormat="1" applyFont="1" applyFill="1" applyBorder="1" applyAlignment="1">
      <alignment horizontal="center" vertical="center"/>
    </xf>
    <xf numFmtId="0" fontId="96" fillId="12" borderId="128" xfId="55" applyNumberFormat="1" applyFont="1" applyFill="1" applyBorder="1" applyAlignment="1">
      <alignment horizontal="center" vertical="center"/>
    </xf>
    <xf numFmtId="1" fontId="23" fillId="11" borderId="156" xfId="77" applyNumberFormat="1" applyFont="1" applyFill="1" applyBorder="1" applyAlignment="1">
      <alignment horizontal="center" vertical="center"/>
    </xf>
    <xf numFmtId="1" fontId="23" fillId="11" borderId="158" xfId="77" applyNumberFormat="1" applyFont="1" applyFill="1" applyBorder="1" applyAlignment="1">
      <alignment horizontal="center" vertical="center"/>
    </xf>
    <xf numFmtId="168" fontId="37" fillId="15" borderId="157" xfId="0" applyNumberFormat="1" applyFont="1" applyFill="1" applyBorder="1" applyAlignment="1">
      <alignment horizontal="center" vertical="center" wrapText="1"/>
    </xf>
    <xf numFmtId="0" fontId="81" fillId="10" borderId="109" xfId="0" applyFont="1" applyFill="1" applyBorder="1" applyAlignment="1">
      <alignment horizontal="right" vertical="center"/>
    </xf>
    <xf numFmtId="0" fontId="81" fillId="10" borderId="145" xfId="0" applyFont="1" applyFill="1" applyBorder="1" applyAlignment="1">
      <alignment horizontal="right" vertical="center"/>
    </xf>
    <xf numFmtId="0" fontId="97" fillId="10" borderId="119" xfId="0" applyFont="1" applyFill="1" applyBorder="1" applyAlignment="1">
      <alignment horizontal="left" vertical="center"/>
    </xf>
    <xf numFmtId="0" fontId="87" fillId="10" borderId="132" xfId="0" applyFont="1" applyFill="1" applyBorder="1" applyAlignment="1">
      <alignment horizontal="right" vertical="center"/>
    </xf>
    <xf numFmtId="0" fontId="47" fillId="9" borderId="107" xfId="55" applyNumberFormat="1" applyFont="1" applyFill="1" applyBorder="1" applyAlignment="1">
      <alignment vertical="center"/>
    </xf>
    <xf numFmtId="0" fontId="47" fillId="9" borderId="103" xfId="55" applyNumberFormat="1" applyFont="1" applyFill="1" applyBorder="1" applyAlignment="1">
      <alignment vertical="center"/>
    </xf>
    <xf numFmtId="0" fontId="47" fillId="9" borderId="152" xfId="55" applyNumberFormat="1" applyFont="1" applyFill="1" applyBorder="1" applyAlignment="1">
      <alignment vertical="center"/>
    </xf>
    <xf numFmtId="165" fontId="47" fillId="9" borderId="3" xfId="0" applyNumberFormat="1" applyFont="1" applyFill="1" applyBorder="1" applyAlignment="1">
      <alignment vertical="center"/>
    </xf>
    <xf numFmtId="165" fontId="47" fillId="9" borderId="116" xfId="0" applyNumberFormat="1" applyFont="1" applyFill="1" applyBorder="1" applyAlignment="1">
      <alignment vertical="center"/>
    </xf>
    <xf numFmtId="0" fontId="94" fillId="9" borderId="166" xfId="55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1" fontId="23" fillId="9" borderId="173" xfId="0" applyNumberFormat="1" applyFont="1" applyFill="1" applyBorder="1" applyAlignment="1">
      <alignment horizontal="center" vertical="center"/>
    </xf>
    <xf numFmtId="1" fontId="23" fillId="9" borderId="174" xfId="0" applyNumberFormat="1" applyFont="1" applyFill="1" applyBorder="1" applyAlignment="1">
      <alignment horizontal="center" vertical="center"/>
    </xf>
    <xf numFmtId="1" fontId="23" fillId="9" borderId="175" xfId="0" applyNumberFormat="1" applyFont="1" applyFill="1" applyBorder="1" applyAlignment="1">
      <alignment horizontal="center" vertical="center"/>
    </xf>
    <xf numFmtId="1" fontId="23" fillId="9" borderId="103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52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76" xfId="0" applyNumberFormat="1" applyFont="1" applyFill="1" applyBorder="1" applyAlignment="1">
      <alignment horizontal="center" vertical="center"/>
    </xf>
    <xf numFmtId="1" fontId="23" fillId="9" borderId="139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1" fontId="25" fillId="9" borderId="179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0" fontId="35" fillId="9" borderId="166" xfId="55" applyNumberFormat="1" applyFont="1" applyFill="1" applyBorder="1" applyAlignment="1">
      <alignment horizontal="center" vertical="center"/>
    </xf>
    <xf numFmtId="0" fontId="99" fillId="9" borderId="166" xfId="55" applyNumberFormat="1" applyFont="1" applyFill="1" applyBorder="1" applyAlignment="1">
      <alignment horizontal="center" vertical="center"/>
    </xf>
    <xf numFmtId="0" fontId="47" fillId="9" borderId="184" xfId="0" applyFont="1" applyFill="1" applyBorder="1" applyAlignment="1">
      <alignment vertical="center"/>
    </xf>
    <xf numFmtId="2" fontId="47" fillId="9" borderId="150" xfId="0" applyNumberFormat="1" applyFont="1" applyFill="1" applyBorder="1" applyAlignment="1">
      <alignment vertical="center"/>
    </xf>
    <xf numFmtId="0" fontId="100" fillId="10" borderId="119" xfId="0" applyFont="1" applyFill="1" applyBorder="1" applyAlignment="1">
      <alignment horizontal="left" vertical="center"/>
    </xf>
    <xf numFmtId="0" fontId="100" fillId="10" borderId="109" xfId="0" applyFont="1" applyFill="1" applyBorder="1" applyAlignment="1">
      <alignment horizontal="right" vertical="center"/>
    </xf>
    <xf numFmtId="0" fontId="32" fillId="9" borderId="104" xfId="0" applyFont="1" applyFill="1" applyBorder="1" applyAlignment="1">
      <alignment horizontal="center" vertical="center"/>
    </xf>
    <xf numFmtId="0" fontId="47" fillId="9" borderId="185" xfId="0" applyFont="1" applyFill="1" applyBorder="1" applyAlignment="1">
      <alignment vertical="center"/>
    </xf>
    <xf numFmtId="2" fontId="47" fillId="9" borderId="186" xfId="0" applyNumberFormat="1" applyFont="1" applyFill="1" applyBorder="1" applyAlignment="1">
      <alignment vertical="center"/>
    </xf>
    <xf numFmtId="0" fontId="101" fillId="9" borderId="181" xfId="55" applyNumberFormat="1" applyFont="1" applyFill="1" applyBorder="1" applyAlignment="1">
      <alignment horizontal="center" vertical="center"/>
    </xf>
    <xf numFmtId="0" fontId="101" fillId="9" borderId="182" xfId="55" applyNumberFormat="1" applyFont="1" applyFill="1" applyBorder="1" applyAlignment="1">
      <alignment horizontal="center" vertical="center"/>
    </xf>
    <xf numFmtId="0" fontId="102" fillId="9" borderId="187" xfId="55" applyNumberFormat="1" applyFont="1" applyFill="1" applyBorder="1" applyAlignment="1">
      <alignment horizontal="center" vertical="center"/>
    </xf>
    <xf numFmtId="0" fontId="103" fillId="16" borderId="8" xfId="15" applyFont="1" applyFill="1" applyBorder="1" applyAlignment="1">
      <alignment horizontal="center" vertical="center"/>
    </xf>
    <xf numFmtId="0" fontId="104" fillId="16" borderId="8" xfId="15" applyFont="1" applyFill="1" applyBorder="1" applyAlignment="1">
      <alignment horizontal="center" vertical="center"/>
    </xf>
    <xf numFmtId="0" fontId="105" fillId="16" borderId="8" xfId="15" applyFont="1" applyFill="1" applyBorder="1" applyAlignment="1">
      <alignment horizontal="center" vertical="center"/>
    </xf>
    <xf numFmtId="166" fontId="42" fillId="10" borderId="188" xfId="0" applyNumberFormat="1" applyFont="1" applyFill="1" applyBorder="1" applyAlignment="1">
      <alignment horizontal="center" vertical="center"/>
    </xf>
    <xf numFmtId="166" fontId="42" fillId="10" borderId="97" xfId="0" applyNumberFormat="1" applyFont="1" applyFill="1" applyBorder="1" applyAlignment="1">
      <alignment horizontal="center" vertical="center"/>
    </xf>
    <xf numFmtId="166" fontId="42" fillId="10" borderId="189" xfId="0" applyNumberFormat="1" applyFont="1" applyFill="1" applyBorder="1" applyAlignment="1">
      <alignment horizontal="center" vertical="center"/>
    </xf>
    <xf numFmtId="166" fontId="42" fillId="10" borderId="176" xfId="0" applyNumberFormat="1" applyFont="1" applyFill="1" applyBorder="1" applyAlignment="1">
      <alignment horizontal="center" vertical="center"/>
    </xf>
    <xf numFmtId="166" fontId="42" fillId="10" borderId="103" xfId="0" applyNumberFormat="1" applyFont="1" applyFill="1" applyBorder="1" applyAlignment="1">
      <alignment horizontal="center" vertical="center"/>
    </xf>
    <xf numFmtId="166" fontId="42" fillId="10" borderId="190" xfId="0" applyNumberFormat="1" applyFont="1" applyFill="1" applyBorder="1" applyAlignment="1">
      <alignment horizontal="center" vertical="center"/>
    </xf>
    <xf numFmtId="166" fontId="42" fillId="10" borderId="3" xfId="0" applyNumberFormat="1" applyFont="1" applyFill="1" applyBorder="1" applyAlignment="1">
      <alignment horizontal="center" vertical="center"/>
    </xf>
    <xf numFmtId="166" fontId="42" fillId="10" borderId="96" xfId="0" applyNumberFormat="1" applyFont="1" applyFill="1" applyBorder="1" applyAlignment="1">
      <alignment horizontal="center" vertical="center"/>
    </xf>
    <xf numFmtId="166" fontId="42" fillId="10" borderId="147" xfId="0" applyNumberFormat="1" applyFont="1" applyFill="1" applyBorder="1" applyAlignment="1">
      <alignment horizontal="center" vertical="center"/>
    </xf>
    <xf numFmtId="166" fontId="42" fillId="10" borderId="116" xfId="0" applyNumberFormat="1" applyFont="1" applyFill="1" applyBorder="1" applyAlignment="1">
      <alignment horizontal="center" vertical="center"/>
    </xf>
    <xf numFmtId="166" fontId="42" fillId="10" borderId="134" xfId="0" applyNumberFormat="1" applyFont="1" applyFill="1" applyBorder="1" applyAlignment="1">
      <alignment horizontal="center" vertical="center"/>
    </xf>
    <xf numFmtId="166" fontId="42" fillId="10" borderId="2" xfId="0" applyNumberFormat="1" applyFont="1" applyFill="1" applyBorder="1" applyAlignment="1">
      <alignment horizontal="center" vertical="center"/>
    </xf>
    <xf numFmtId="166" fontId="42" fillId="10" borderId="191" xfId="0" applyNumberFormat="1" applyFont="1" applyFill="1" applyBorder="1" applyAlignment="1">
      <alignment horizontal="center" vertical="center"/>
    </xf>
    <xf numFmtId="0" fontId="46" fillId="10" borderId="188" xfId="0" applyFont="1" applyFill="1" applyBorder="1" applyAlignment="1">
      <alignment horizontal="right" vertical="center"/>
    </xf>
    <xf numFmtId="0" fontId="46" fillId="10" borderId="97" xfId="0" applyFont="1" applyFill="1" applyBorder="1" applyAlignment="1">
      <alignment horizontal="right" vertical="center"/>
    </xf>
    <xf numFmtId="0" fontId="46" fillId="10" borderId="189" xfId="0" applyFont="1" applyFill="1" applyBorder="1" applyAlignment="1">
      <alignment horizontal="right" vertical="center"/>
    </xf>
    <xf numFmtId="0" fontId="46" fillId="10" borderId="176" xfId="0" applyFont="1" applyFill="1" applyBorder="1" applyAlignment="1">
      <alignment horizontal="right" vertical="center"/>
    </xf>
    <xf numFmtId="0" fontId="46" fillId="10" borderId="103" xfId="0" applyFont="1" applyFill="1" applyBorder="1" applyAlignment="1">
      <alignment horizontal="right" vertical="center"/>
    </xf>
    <xf numFmtId="0" fontId="46" fillId="10" borderId="190" xfId="0" applyFont="1" applyFill="1" applyBorder="1" applyAlignment="1">
      <alignment horizontal="right" vertical="center"/>
    </xf>
    <xf numFmtId="0" fontId="46" fillId="10" borderId="139" xfId="0" applyFont="1" applyFill="1" applyBorder="1" applyAlignment="1">
      <alignment horizontal="right" vertical="center"/>
    </xf>
    <xf numFmtId="0" fontId="46" fillId="10" borderId="115" xfId="0" applyFont="1" applyFill="1" applyBorder="1" applyAlignment="1">
      <alignment horizontal="right" vertical="center"/>
    </xf>
    <xf numFmtId="0" fontId="42" fillId="10" borderId="143" xfId="0" applyFont="1" applyFill="1" applyBorder="1" applyAlignment="1">
      <alignment horizontal="right" vertical="center"/>
    </xf>
    <xf numFmtId="0" fontId="42" fillId="10" borderId="192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89" xfId="0" applyFont="1" applyFill="1" applyBorder="1" applyAlignment="1">
      <alignment horizontal="center" vertical="center"/>
    </xf>
    <xf numFmtId="0" fontId="23" fillId="9" borderId="193" xfId="0" applyFont="1" applyFill="1" applyBorder="1" applyAlignment="1">
      <alignment horizontal="center" vertical="center"/>
    </xf>
    <xf numFmtId="0" fontId="23" fillId="9" borderId="194" xfId="0" applyFont="1" applyFill="1" applyBorder="1" applyAlignment="1">
      <alignment horizontal="center" vertical="center"/>
    </xf>
    <xf numFmtId="0" fontId="23" fillId="9" borderId="195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0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0" fontId="23" fillId="9" borderId="146" xfId="0" applyFont="1" applyFill="1" applyBorder="1" applyAlignment="1">
      <alignment horizontal="center" vertical="center"/>
    </xf>
    <xf numFmtId="0" fontId="23" fillId="9" borderId="142" xfId="0" applyFont="1" applyFill="1" applyBorder="1" applyAlignment="1">
      <alignment horizontal="center" vertical="center"/>
    </xf>
    <xf numFmtId="0" fontId="87" fillId="10" borderId="109" xfId="0" applyFont="1" applyFill="1" applyBorder="1" applyAlignment="1">
      <alignment horizontal="right" vertical="center"/>
    </xf>
    <xf numFmtId="0" fontId="81" fillId="10" borderId="144" xfId="0" applyFont="1" applyFill="1" applyBorder="1" applyAlignment="1">
      <alignment horizontal="right" vertical="center"/>
    </xf>
    <xf numFmtId="0" fontId="42" fillId="10" borderId="176" xfId="55" applyNumberFormat="1" applyFont="1" applyFill="1" applyBorder="1" applyAlignment="1">
      <alignment horizontal="right" vertical="center"/>
    </xf>
    <xf numFmtId="0" fontId="82" fillId="10" borderId="176" xfId="0" applyFont="1" applyFill="1" applyBorder="1" applyAlignment="1">
      <alignment horizontal="right" vertical="center"/>
    </xf>
    <xf numFmtId="0" fontId="32" fillId="9" borderId="176" xfId="0" applyFont="1" applyFill="1" applyBorder="1" applyAlignment="1">
      <alignment horizontal="center" vertical="center"/>
    </xf>
    <xf numFmtId="166" fontId="42" fillId="10" borderId="198" xfId="0" applyNumberFormat="1" applyFont="1" applyFill="1" applyBorder="1" applyAlignment="1">
      <alignment horizontal="center" vertical="center"/>
    </xf>
    <xf numFmtId="0" fontId="102" fillId="9" borderId="166" xfId="55" applyNumberFormat="1" applyFont="1" applyFill="1" applyBorder="1" applyAlignment="1">
      <alignment horizontal="center" vertical="center"/>
    </xf>
    <xf numFmtId="0" fontId="47" fillId="9" borderId="198" xfId="0" applyFont="1" applyFill="1" applyBorder="1" applyAlignment="1">
      <alignment vertical="center"/>
    </xf>
    <xf numFmtId="2" fontId="47" fillId="9" borderId="147" xfId="0" applyNumberFormat="1" applyFont="1" applyFill="1" applyBorder="1" applyAlignment="1">
      <alignment vertical="center"/>
    </xf>
    <xf numFmtId="0" fontId="47" fillId="9" borderId="115" xfId="55" applyNumberFormat="1" applyFont="1" applyFill="1" applyBorder="1" applyAlignment="1">
      <alignment vertical="center"/>
    </xf>
    <xf numFmtId="1" fontId="90" fillId="9" borderId="199" xfId="183" applyNumberFormat="1" applyFont="1" applyFill="1" applyBorder="1" applyAlignment="1">
      <alignment horizontal="center" vertical="center"/>
    </xf>
    <xf numFmtId="1" fontId="90" fillId="9" borderId="200" xfId="183" applyNumberFormat="1" applyFont="1" applyFill="1" applyBorder="1" applyAlignment="1">
      <alignment horizontal="center" vertical="center"/>
    </xf>
    <xf numFmtId="1" fontId="90" fillId="9" borderId="201" xfId="183" applyNumberFormat="1" applyFont="1" applyFill="1" applyBorder="1" applyAlignment="1">
      <alignment horizontal="center" vertical="center"/>
    </xf>
    <xf numFmtId="0" fontId="95" fillId="9" borderId="12" xfId="0" applyFont="1" applyFill="1" applyBorder="1" applyAlignment="1">
      <alignment horizontal="center" vertical="center"/>
    </xf>
    <xf numFmtId="0" fontId="95" fillId="9" borderId="108" xfId="0" applyFont="1" applyFill="1" applyBorder="1" applyAlignment="1">
      <alignment horizontal="center" vertical="center"/>
    </xf>
    <xf numFmtId="1" fontId="32" fillId="9" borderId="114" xfId="0" applyNumberFormat="1" applyFont="1" applyFill="1" applyBorder="1" applyAlignment="1">
      <alignment horizontal="center" vertical="center"/>
    </xf>
    <xf numFmtId="1" fontId="32" fillId="9" borderId="112" xfId="0" applyNumberFormat="1" applyFont="1" applyFill="1" applyBorder="1" applyAlignment="1">
      <alignment horizontal="center" vertical="center"/>
    </xf>
    <xf numFmtId="1" fontId="32" fillId="9" borderId="133" xfId="0" applyNumberFormat="1" applyFont="1" applyFill="1" applyBorder="1" applyAlignment="1">
      <alignment horizontal="center" vertical="center"/>
    </xf>
    <xf numFmtId="167" fontId="42" fillId="10" borderId="206" xfId="55" applyNumberFormat="1" applyFont="1" applyFill="1" applyBorder="1" applyAlignment="1">
      <alignment horizontal="right" vertical="center"/>
    </xf>
    <xf numFmtId="10" fontId="32" fillId="10" borderId="206" xfId="114" applyNumberFormat="1" applyFont="1" applyFill="1" applyBorder="1" applyAlignment="1">
      <alignment horizontal="right" vertical="center"/>
    </xf>
    <xf numFmtId="0" fontId="13" fillId="17" borderId="207" xfId="15" applyFont="1" applyFill="1" applyBorder="1" applyAlignment="1">
      <alignment horizontal="center" vertical="center"/>
    </xf>
    <xf numFmtId="167" fontId="42" fillId="10" borderId="208" xfId="55" applyNumberFormat="1" applyFont="1" applyFill="1" applyBorder="1" applyAlignment="1">
      <alignment horizontal="right" vertical="center"/>
    </xf>
    <xf numFmtId="10" fontId="32" fillId="10" borderId="208" xfId="114" applyNumberFormat="1" applyFont="1" applyFill="1" applyBorder="1" applyAlignment="1">
      <alignment horizontal="right" vertical="center"/>
    </xf>
    <xf numFmtId="10" fontId="103" fillId="10" borderId="206" xfId="114" applyNumberFormat="1" applyFont="1" applyFill="1" applyBorder="1" applyAlignment="1">
      <alignment horizontal="right" vertical="center"/>
    </xf>
    <xf numFmtId="10" fontId="103" fillId="10" borderId="10" xfId="114" applyNumberFormat="1" applyFont="1" applyFill="1" applyBorder="1" applyAlignment="1">
      <alignment horizontal="right" vertical="center"/>
    </xf>
    <xf numFmtId="10" fontId="103" fillId="10" borderId="208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83" fillId="10" borderId="103" xfId="55" applyNumberFormat="1" applyFont="1" applyFill="1" applyBorder="1" applyAlignment="1">
      <alignment horizontal="right" vertical="center"/>
    </xf>
    <xf numFmtId="167" fontId="83" fillId="10" borderId="97" xfId="55" applyNumberFormat="1" applyFont="1" applyFill="1" applyBorder="1" applyAlignment="1">
      <alignment horizontal="right" vertical="center"/>
    </xf>
    <xf numFmtId="43" fontId="37" fillId="15" borderId="130" xfId="55" applyFont="1" applyFill="1" applyBorder="1" applyAlignment="1">
      <alignment horizontal="center" vertical="center" wrapText="1"/>
    </xf>
    <xf numFmtId="0" fontId="82" fillId="9" borderId="104" xfId="0" applyFont="1" applyFill="1" applyBorder="1" applyAlignment="1">
      <alignment horizontal="center" vertical="center"/>
    </xf>
    <xf numFmtId="0" fontId="82" fillId="9" borderId="97" xfId="0" applyFont="1" applyFill="1" applyBorder="1" applyAlignment="1">
      <alignment horizontal="center" vertical="center"/>
    </xf>
    <xf numFmtId="1" fontId="92" fillId="11" borderId="158" xfId="77" applyNumberFormat="1" applyFont="1" applyFill="1" applyBorder="1" applyAlignment="1">
      <alignment horizontal="center" vertical="center"/>
    </xf>
    <xf numFmtId="1" fontId="106" fillId="11" borderId="158" xfId="77" applyNumberFormat="1" applyFont="1" applyFill="1" applyBorder="1" applyAlignment="1">
      <alignment horizontal="center" vertical="center"/>
    </xf>
    <xf numFmtId="1" fontId="106" fillId="11" borderId="156" xfId="77" applyNumberFormat="1" applyFont="1" applyFill="1" applyBorder="1" applyAlignment="1">
      <alignment horizontal="center" vertical="center"/>
    </xf>
    <xf numFmtId="1" fontId="107" fillId="11" borderId="158" xfId="77" applyNumberFormat="1" applyFont="1" applyFill="1" applyBorder="1" applyAlignment="1">
      <alignment horizontal="center" vertical="center"/>
    </xf>
    <xf numFmtId="1" fontId="108" fillId="11" borderId="156" xfId="77" applyNumberFormat="1" applyFont="1" applyFill="1" applyBorder="1" applyAlignment="1">
      <alignment horizontal="center" vertical="center"/>
    </xf>
    <xf numFmtId="1" fontId="109" fillId="11" borderId="156" xfId="77" applyNumberFormat="1" applyFont="1" applyFill="1" applyBorder="1" applyAlignment="1">
      <alignment horizontal="center" vertical="center"/>
    </xf>
    <xf numFmtId="1" fontId="110" fillId="11" borderId="158" xfId="77" applyNumberFormat="1" applyFont="1" applyFill="1" applyBorder="1" applyAlignment="1">
      <alignment horizontal="center" vertical="center"/>
    </xf>
    <xf numFmtId="0" fontId="47" fillId="9" borderId="3" xfId="0" applyNumberFormat="1" applyFont="1" applyFill="1" applyBorder="1" applyAlignment="1">
      <alignment vertical="center"/>
    </xf>
    <xf numFmtId="0" fontId="47" fillId="9" borderId="96" xfId="0" applyNumberFormat="1" applyFont="1" applyFill="1" applyBorder="1" applyAlignment="1">
      <alignment vertical="center"/>
    </xf>
    <xf numFmtId="0" fontId="47" fillId="9" borderId="116" xfId="0" applyNumberFormat="1" applyFont="1" applyFill="1" applyBorder="1" applyAlignment="1">
      <alignment vertical="center"/>
    </xf>
    <xf numFmtId="0" fontId="47" fillId="9" borderId="134" xfId="0" applyNumberFormat="1" applyFont="1" applyFill="1" applyBorder="1" applyAlignment="1">
      <alignment vertical="center"/>
    </xf>
    <xf numFmtId="0" fontId="47" fillId="9" borderId="135" xfId="0" applyNumberFormat="1" applyFont="1" applyFill="1" applyBorder="1" applyAlignment="1">
      <alignment vertical="center"/>
    </xf>
    <xf numFmtId="0" fontId="47" fillId="9" borderId="211" xfId="0" applyNumberFormat="1" applyFont="1" applyFill="1" applyBorder="1" applyAlignment="1">
      <alignment vertical="center"/>
    </xf>
    <xf numFmtId="0" fontId="47" fillId="9" borderId="212" xfId="55" applyNumberFormat="1" applyFont="1" applyFill="1" applyBorder="1" applyAlignment="1">
      <alignment vertical="center"/>
    </xf>
    <xf numFmtId="0" fontId="111" fillId="9" borderId="169" xfId="55" applyNumberFormat="1" applyFont="1" applyFill="1" applyBorder="1" applyAlignment="1">
      <alignment horizontal="center" vertical="center"/>
    </xf>
    <xf numFmtId="0" fontId="111" fillId="9" borderId="164" xfId="55" applyNumberFormat="1" applyFont="1" applyFill="1" applyBorder="1" applyAlignment="1">
      <alignment horizontal="center" vertical="center"/>
    </xf>
    <xf numFmtId="0" fontId="111" fillId="9" borderId="170" xfId="55" applyNumberFormat="1" applyFont="1" applyFill="1" applyBorder="1" applyAlignment="1">
      <alignment horizontal="center" vertical="center"/>
    </xf>
    <xf numFmtId="0" fontId="47" fillId="9" borderId="211" xfId="55" applyNumberFormat="1" applyFont="1" applyFill="1" applyBorder="1" applyAlignment="1">
      <alignment vertical="center"/>
    </xf>
    <xf numFmtId="0" fontId="42" fillId="9" borderId="103" xfId="0" applyFont="1" applyFill="1" applyBorder="1" applyAlignment="1">
      <alignment horizontal="center" vertical="center"/>
    </xf>
    <xf numFmtId="0" fontId="42" fillId="9" borderId="110" xfId="0" applyFont="1" applyFill="1" applyBorder="1" applyAlignment="1">
      <alignment horizontal="center" vertical="center"/>
    </xf>
    <xf numFmtId="0" fontId="42" fillId="9" borderId="151" xfId="0" applyFont="1" applyFill="1" applyBorder="1" applyAlignment="1">
      <alignment horizontal="center" vertical="center"/>
    </xf>
    <xf numFmtId="0" fontId="35" fillId="9" borderId="114" xfId="55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7" fillId="9" borderId="3" xfId="0" applyNumberFormat="1" applyFont="1" applyFill="1" applyBorder="1" applyAlignment="1">
      <alignment horizontal="center" vertical="center"/>
    </xf>
    <xf numFmtId="0" fontId="47" fillId="9" borderId="96" xfId="0" applyNumberFormat="1" applyFont="1" applyFill="1" applyBorder="1" applyAlignment="1">
      <alignment horizontal="center" vertical="center"/>
    </xf>
    <xf numFmtId="0" fontId="47" fillId="9" borderId="116" xfId="0" applyNumberFormat="1" applyFont="1" applyFill="1" applyBorder="1" applyAlignment="1">
      <alignment horizontal="center" vertical="center"/>
    </xf>
    <xf numFmtId="0" fontId="47" fillId="9" borderId="183" xfId="0" applyNumberFormat="1" applyFont="1" applyFill="1" applyBorder="1" applyAlignment="1">
      <alignment horizontal="center" vertical="center"/>
    </xf>
    <xf numFmtId="0" fontId="98" fillId="0" borderId="192" xfId="55" applyNumberFormat="1" applyFont="1" applyBorder="1" applyAlignment="1">
      <alignment horizontal="center" vertical="center"/>
    </xf>
    <xf numFmtId="0" fontId="3" fillId="0" borderId="133" xfId="55" applyNumberFormat="1" applyFont="1" applyBorder="1" applyAlignment="1">
      <alignment horizontal="center" vertical="center"/>
    </xf>
    <xf numFmtId="0" fontId="43" fillId="9" borderId="142" xfId="55" applyNumberFormat="1" applyFont="1" applyFill="1" applyBorder="1" applyAlignment="1">
      <alignment horizontal="center" vertical="center"/>
    </xf>
    <xf numFmtId="0" fontId="43" fillId="9" borderId="151" xfId="55" applyNumberFormat="1" applyFont="1" applyFill="1" applyBorder="1" applyAlignment="1">
      <alignment horizontal="center" vertical="center"/>
    </xf>
    <xf numFmtId="0" fontId="43" fillId="9" borderId="111" xfId="55" applyNumberFormat="1" applyFont="1" applyFill="1" applyBorder="1" applyAlignment="1">
      <alignment horizontal="center" vertical="center"/>
    </xf>
    <xf numFmtId="0" fontId="43" fillId="9" borderId="112" xfId="55" applyNumberFormat="1" applyFont="1" applyFill="1" applyBorder="1" applyAlignment="1">
      <alignment horizontal="center" vertical="center"/>
    </xf>
    <xf numFmtId="0" fontId="35" fillId="9" borderId="112" xfId="55" applyNumberFormat="1" applyFont="1" applyFill="1" applyBorder="1" applyAlignment="1">
      <alignment horizontal="center" vertical="center"/>
    </xf>
    <xf numFmtId="0" fontId="34" fillId="9" borderId="114" xfId="55" applyNumberFormat="1" applyFont="1" applyFill="1" applyBorder="1" applyAlignment="1">
      <alignment horizontal="center" vertical="center"/>
    </xf>
    <xf numFmtId="0" fontId="34" fillId="9" borderId="133" xfId="55" applyNumberFormat="1" applyFont="1" applyFill="1" applyBorder="1" applyAlignment="1">
      <alignment horizontal="center" vertical="center"/>
    </xf>
    <xf numFmtId="0" fontId="3" fillId="0" borderId="111" xfId="55" applyNumberFormat="1" applyFont="1" applyBorder="1" applyAlignment="1">
      <alignment horizontal="center" vertical="center"/>
    </xf>
    <xf numFmtId="0" fontId="3" fillId="0" borderId="112" xfId="55" applyNumberFormat="1" applyFont="1" applyBorder="1" applyAlignment="1">
      <alignment horizontal="center" vertical="center"/>
    </xf>
    <xf numFmtId="0" fontId="3" fillId="0" borderId="103" xfId="55" applyNumberFormat="1" applyFont="1" applyBorder="1" applyAlignment="1">
      <alignment horizontal="center" vertical="center"/>
    </xf>
    <xf numFmtId="0" fontId="3" fillId="0" borderId="97" xfId="55" applyNumberFormat="1" applyFont="1" applyBorder="1" applyAlignment="1">
      <alignment horizontal="center" vertical="center"/>
    </xf>
    <xf numFmtId="0" fontId="3" fillId="0" borderId="115" xfId="55" applyNumberFormat="1" applyFont="1" applyBorder="1" applyAlignment="1">
      <alignment horizontal="center" vertical="center"/>
    </xf>
    <xf numFmtId="0" fontId="43" fillId="9" borderId="166" xfId="0" applyNumberFormat="1" applyFont="1" applyFill="1" applyBorder="1" applyAlignment="1">
      <alignment horizontal="center" vertical="center"/>
    </xf>
    <xf numFmtId="0" fontId="43" fillId="9" borderId="161" xfId="0" applyNumberFormat="1" applyFont="1" applyFill="1" applyBorder="1" applyAlignment="1">
      <alignment horizontal="center" vertical="center"/>
    </xf>
    <xf numFmtId="0" fontId="101" fillId="9" borderId="179" xfId="0" applyNumberFormat="1" applyFont="1" applyFill="1" applyBorder="1" applyAlignment="1">
      <alignment horizontal="center" vertical="center"/>
    </xf>
    <xf numFmtId="0" fontId="101" fillId="9" borderId="182" xfId="0" applyNumberFormat="1" applyFont="1" applyFill="1" applyBorder="1" applyAlignment="1">
      <alignment horizontal="center" vertical="center"/>
    </xf>
    <xf numFmtId="0" fontId="43" fillId="9" borderId="159" xfId="0" applyNumberFormat="1" applyFont="1" applyFill="1" applyBorder="1" applyAlignment="1">
      <alignment horizontal="center" vertical="center"/>
    </xf>
    <xf numFmtId="0" fontId="36" fillId="9" borderId="166" xfId="0" applyNumberFormat="1" applyFont="1" applyFill="1" applyBorder="1" applyAlignment="1">
      <alignment horizontal="center" vertical="center"/>
    </xf>
    <xf numFmtId="0" fontId="36" fillId="9" borderId="168" xfId="0" applyNumberFormat="1" applyFont="1" applyFill="1" applyBorder="1" applyAlignment="1">
      <alignment horizontal="center" vertical="center"/>
    </xf>
    <xf numFmtId="0" fontId="47" fillId="9" borderId="162" xfId="0" applyNumberFormat="1" applyFont="1" applyFill="1" applyBorder="1" applyAlignment="1">
      <alignment horizontal="center" vertical="center"/>
    </xf>
    <xf numFmtId="0" fontId="47" fillId="9" borderId="159" xfId="0" applyNumberFormat="1" applyFont="1" applyFill="1" applyBorder="1" applyAlignment="1">
      <alignment horizontal="center" vertical="center"/>
    </xf>
    <xf numFmtId="0" fontId="47" fillId="9" borderId="160" xfId="0" applyNumberFormat="1" applyFont="1" applyFill="1" applyBorder="1" applyAlignment="1">
      <alignment horizontal="center" vertical="center"/>
    </xf>
    <xf numFmtId="0" fontId="47" fillId="9" borderId="16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" fontId="93" fillId="9" borderId="215" xfId="0" applyNumberFormat="1" applyFont="1" applyFill="1" applyBorder="1" applyAlignment="1">
      <alignment horizontal="center" vertical="center"/>
    </xf>
    <xf numFmtId="3" fontId="86" fillId="7" borderId="216" xfId="0" applyNumberFormat="1" applyFont="1" applyFill="1" applyBorder="1" applyAlignment="1">
      <alignment horizontal="center" vertical="center"/>
    </xf>
    <xf numFmtId="3" fontId="86" fillId="7" borderId="217" xfId="0" applyNumberFormat="1" applyFont="1" applyFill="1" applyBorder="1" applyAlignment="1">
      <alignment horizontal="center" vertical="center"/>
    </xf>
    <xf numFmtId="3" fontId="85" fillId="7" borderId="218" xfId="0" applyNumberFormat="1" applyFont="1" applyFill="1" applyBorder="1" applyAlignment="1">
      <alignment horizontal="center" vertical="center"/>
    </xf>
    <xf numFmtId="3" fontId="85" fillId="7" borderId="219" xfId="0" applyNumberFormat="1" applyFont="1" applyFill="1" applyBorder="1" applyAlignment="1">
      <alignment horizontal="center" vertical="center"/>
    </xf>
    <xf numFmtId="2" fontId="90" fillId="9" borderId="202" xfId="0" applyNumberFormat="1" applyFont="1" applyFill="1" applyBorder="1" applyAlignment="1">
      <alignment vertical="center"/>
    </xf>
    <xf numFmtId="2" fontId="90" fillId="9" borderId="210" xfId="0" applyNumberFormat="1" applyFont="1" applyFill="1" applyBorder="1" applyAlignment="1">
      <alignment vertical="center"/>
    </xf>
    <xf numFmtId="0" fontId="23" fillId="9" borderId="167" xfId="0" applyNumberFormat="1" applyFont="1" applyFill="1" applyBorder="1" applyAlignment="1">
      <alignment horizontal="center" vertical="center"/>
    </xf>
    <xf numFmtId="0" fontId="23" fillId="9" borderId="161" xfId="0" applyNumberFormat="1" applyFont="1" applyFill="1" applyBorder="1" applyAlignment="1">
      <alignment horizontal="center" vertical="center"/>
    </xf>
    <xf numFmtId="0" fontId="41" fillId="9" borderId="203" xfId="0" applyFont="1" applyFill="1" applyBorder="1" applyAlignment="1">
      <alignment horizontal="center" vertical="center"/>
    </xf>
    <xf numFmtId="0" fontId="41" fillId="9" borderId="112" xfId="0" applyFont="1" applyFill="1" applyBorder="1" applyAlignment="1">
      <alignment horizontal="center" vertical="center"/>
    </xf>
    <xf numFmtId="0" fontId="90" fillId="9" borderId="202" xfId="0" applyFont="1" applyFill="1" applyBorder="1" applyAlignment="1">
      <alignment vertical="center"/>
    </xf>
    <xf numFmtId="0" fontId="90" fillId="9" borderId="210" xfId="0" applyFont="1" applyFill="1" applyBorder="1" applyAlignment="1">
      <alignment vertical="center"/>
    </xf>
    <xf numFmtId="0" fontId="35" fillId="9" borderId="167" xfId="0" applyNumberFormat="1" applyFont="1" applyFill="1" applyBorder="1" applyAlignment="1">
      <alignment horizontal="center" vertical="center"/>
    </xf>
    <xf numFmtId="0" fontId="35" fillId="9" borderId="159" xfId="0" applyNumberFormat="1" applyFont="1" applyFill="1" applyBorder="1" applyAlignment="1">
      <alignment horizontal="center" vertical="center"/>
    </xf>
    <xf numFmtId="0" fontId="13" fillId="9" borderId="204" xfId="0" applyFont="1" applyFill="1" applyBorder="1" applyAlignment="1">
      <alignment horizontal="center" vertical="center"/>
    </xf>
    <xf numFmtId="0" fontId="13" fillId="9" borderId="146" xfId="0" applyFont="1" applyFill="1" applyBorder="1" applyAlignment="1">
      <alignment horizontal="center" vertical="center"/>
    </xf>
    <xf numFmtId="0" fontId="41" fillId="9" borderId="133" xfId="0" applyFont="1" applyFill="1" applyBorder="1" applyAlignment="1">
      <alignment horizontal="center" vertical="center"/>
    </xf>
    <xf numFmtId="0" fontId="41" fillId="9" borderId="205" xfId="0" applyFont="1" applyFill="1" applyBorder="1" applyAlignment="1">
      <alignment horizontal="center" vertical="center"/>
    </xf>
    <xf numFmtId="0" fontId="51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9" fillId="35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9" fillId="40" borderId="71" xfId="0" applyFont="1" applyFill="1" applyBorder="1" applyAlignment="1">
      <alignment horizontal="center" vertical="center"/>
    </xf>
    <xf numFmtId="0" fontId="54" fillId="40" borderId="71" xfId="0" applyFont="1" applyFill="1" applyBorder="1" applyAlignment="1">
      <alignment horizontal="center" vertical="center"/>
    </xf>
    <xf numFmtId="0" fontId="51" fillId="40" borderId="71" xfId="0" applyFont="1" applyFill="1" applyBorder="1" applyAlignment="1">
      <alignment horizontal="center" vertical="center"/>
    </xf>
    <xf numFmtId="0" fontId="64" fillId="36" borderId="73" xfId="0" applyFont="1" applyFill="1" applyBorder="1" applyAlignment="1">
      <alignment horizontal="center" vertical="center"/>
    </xf>
    <xf numFmtId="0" fontId="64" fillId="36" borderId="11" xfId="0" applyFont="1" applyFill="1" applyBorder="1" applyAlignment="1">
      <alignment horizontal="center" vertical="center"/>
    </xf>
    <xf numFmtId="0" fontId="64" fillId="36" borderId="94" xfId="0" applyFont="1" applyFill="1" applyBorder="1" applyAlignment="1">
      <alignment horizontal="center" vertical="center"/>
    </xf>
    <xf numFmtId="0" fontId="64" fillId="36" borderId="9" xfId="0" applyFont="1" applyFill="1" applyBorder="1" applyAlignment="1">
      <alignment horizontal="center" vertical="center"/>
    </xf>
    <xf numFmtId="0" fontId="64" fillId="36" borderId="3" xfId="0" applyFont="1" applyFill="1" applyBorder="1" applyAlignment="1">
      <alignment horizontal="center" vertical="center"/>
    </xf>
    <xf numFmtId="0" fontId="64" fillId="36" borderId="95" xfId="0" applyFont="1" applyFill="1" applyBorder="1" applyAlignment="1">
      <alignment horizontal="center" vertical="center"/>
    </xf>
    <xf numFmtId="1" fontId="64" fillId="33" borderId="11" xfId="0" applyNumberFormat="1" applyFont="1" applyFill="1" applyBorder="1" applyAlignment="1">
      <alignment horizontal="center" vertical="center"/>
    </xf>
    <xf numFmtId="1" fontId="64" fillId="33" borderId="74" xfId="0" applyNumberFormat="1" applyFont="1" applyFill="1" applyBorder="1" applyAlignment="1">
      <alignment horizontal="center" vertical="center"/>
    </xf>
    <xf numFmtId="1" fontId="64" fillId="33" borderId="3" xfId="0" applyNumberFormat="1" applyFont="1" applyFill="1" applyBorder="1" applyAlignment="1">
      <alignment horizontal="center" vertical="center"/>
    </xf>
    <xf numFmtId="1" fontId="64" fillId="33" borderId="12" xfId="0" applyNumberFormat="1" applyFont="1" applyFill="1" applyBorder="1" applyAlignment="1">
      <alignment horizontal="center" vertical="center"/>
    </xf>
    <xf numFmtId="0" fontId="69" fillId="36" borderId="71" xfId="0" applyFont="1" applyFill="1" applyBorder="1" applyAlignment="1">
      <alignment horizontal="center" vertical="center"/>
    </xf>
    <xf numFmtId="0" fontId="51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9" fillId="24" borderId="71" xfId="0" applyFont="1" applyFill="1" applyBorder="1" applyAlignment="1">
      <alignment horizontal="center" vertical="center"/>
    </xf>
    <xf numFmtId="0" fontId="51" fillId="36" borderId="59" xfId="0" applyFont="1" applyFill="1" applyBorder="1" applyAlignment="1">
      <alignment horizontal="center" vertical="center"/>
    </xf>
    <xf numFmtId="164" fontId="59" fillId="20" borderId="13" xfId="0" applyNumberFormat="1" applyFont="1" applyFill="1" applyBorder="1" applyAlignment="1">
      <alignment horizontal="center" vertical="center"/>
    </xf>
    <xf numFmtId="0" fontId="59" fillId="20" borderId="21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 vertical="center"/>
    </xf>
    <xf numFmtId="0" fontId="64" fillId="24" borderId="59" xfId="0" applyFont="1" applyFill="1" applyBorder="1" applyAlignment="1">
      <alignment horizontal="center" vertical="center"/>
    </xf>
    <xf numFmtId="0" fontId="64" fillId="35" borderId="71" xfId="0" applyFont="1" applyFill="1" applyBorder="1" applyAlignment="1">
      <alignment horizontal="center" vertical="center"/>
    </xf>
    <xf numFmtId="0" fontId="112" fillId="10" borderId="113" xfId="0" applyFont="1" applyFill="1" applyBorder="1" applyAlignment="1">
      <alignment horizontal="right" vertical="center"/>
    </xf>
    <xf numFmtId="0" fontId="112" fillId="10" borderId="148" xfId="0" applyFont="1" applyFill="1" applyBorder="1" applyAlignment="1">
      <alignment horizontal="left" vertical="center"/>
    </xf>
    <xf numFmtId="1" fontId="113" fillId="11" borderId="158" xfId="77" applyNumberFormat="1" applyFont="1" applyFill="1" applyBorder="1" applyAlignment="1">
      <alignment horizontal="center" vertical="center"/>
    </xf>
    <xf numFmtId="1" fontId="113" fillId="11" borderId="156" xfId="77" applyNumberFormat="1" applyFont="1" applyFill="1" applyBorder="1" applyAlignment="1">
      <alignment horizontal="center" vertical="center"/>
    </xf>
    <xf numFmtId="0" fontId="114" fillId="10" borderId="109" xfId="0" applyFont="1" applyFill="1" applyBorder="1" applyAlignment="1">
      <alignment horizontal="right" vertical="center"/>
    </xf>
    <xf numFmtId="0" fontId="114" fillId="10" borderId="113" xfId="0" applyFont="1" applyFill="1" applyBorder="1" applyAlignment="1">
      <alignment horizontal="right" vertical="center"/>
    </xf>
    <xf numFmtId="0" fontId="32" fillId="10" borderId="119" xfId="0" applyFont="1" applyFill="1" applyBorder="1" applyAlignment="1">
      <alignment horizontal="left" vertical="center"/>
    </xf>
    <xf numFmtId="0" fontId="32" fillId="10" borderId="148" xfId="0" applyFont="1" applyFill="1" applyBorder="1" applyAlignment="1">
      <alignment horizontal="left" vertical="center"/>
    </xf>
    <xf numFmtId="0" fontId="43" fillId="9" borderId="165" xfId="0" applyNumberFormat="1" applyFont="1" applyFill="1" applyBorder="1" applyAlignment="1">
      <alignment horizontal="center" vertical="center"/>
    </xf>
    <xf numFmtId="0" fontId="43" fillId="9" borderId="114" xfId="55" applyNumberFormat="1" applyFont="1" applyFill="1" applyBorder="1" applyAlignment="1">
      <alignment horizontal="center" vertical="center"/>
    </xf>
    <xf numFmtId="0" fontId="43" fillId="9" borderId="163" xfId="0" applyNumberFormat="1" applyFont="1" applyFill="1" applyBorder="1" applyAlignment="1">
      <alignment horizontal="center" vertical="center"/>
    </xf>
    <xf numFmtId="0" fontId="34" fillId="9" borderId="164" xfId="55" applyNumberFormat="1" applyFont="1" applyFill="1" applyBorder="1" applyAlignment="1">
      <alignment horizontal="center" vertical="center"/>
    </xf>
    <xf numFmtId="0" fontId="34" fillId="9" borderId="111" xfId="55" applyNumberFormat="1" applyFont="1" applyFill="1" applyBorder="1" applyAlignment="1">
      <alignment horizontal="center" vertical="center"/>
    </xf>
    <xf numFmtId="0" fontId="34" fillId="9" borderId="159" xfId="0" applyNumberFormat="1" applyFont="1" applyFill="1" applyBorder="1" applyAlignment="1">
      <alignment horizontal="center" vertical="center"/>
    </xf>
    <xf numFmtId="0" fontId="34" fillId="9" borderId="110" xfId="55" applyNumberFormat="1" applyFont="1" applyFill="1" applyBorder="1" applyAlignment="1">
      <alignment horizontal="center" vertical="center"/>
    </xf>
    <xf numFmtId="0" fontId="87" fillId="10" borderId="213" xfId="0" applyFont="1" applyFill="1" applyBorder="1" applyAlignment="1">
      <alignment horizontal="left" vertical="center"/>
    </xf>
    <xf numFmtId="0" fontId="87" fillId="10" borderId="214" xfId="0" applyFont="1" applyFill="1" applyBorder="1" applyAlignment="1">
      <alignment horizontal="right" vertical="center"/>
    </xf>
    <xf numFmtId="0" fontId="87" fillId="10" borderId="145" xfId="0" applyFont="1" applyFill="1" applyBorder="1" applyAlignment="1">
      <alignment horizontal="right" vertical="center"/>
    </xf>
    <xf numFmtId="0" fontId="81" fillId="9" borderId="104" xfId="0" applyFont="1" applyFill="1" applyBorder="1" applyAlignment="1">
      <alignment horizontal="center" vertical="center"/>
    </xf>
    <xf numFmtId="0" fontId="81" fillId="9" borderId="97" xfId="0" applyFont="1" applyFill="1" applyBorder="1" applyAlignment="1">
      <alignment horizontal="center" vertical="center"/>
    </xf>
    <xf numFmtId="0" fontId="81" fillId="9" borderId="209" xfId="0" applyFont="1" applyFill="1" applyBorder="1" applyAlignment="1">
      <alignment horizontal="center" vertical="center"/>
    </xf>
  </cellXfs>
  <cellStyles count="184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" xfId="183" builtinId="4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09">
    <dxf>
      <font>
        <b val="0"/>
        <i val="0"/>
        <color theme="0" tint="-0.24994659260841701"/>
      </font>
      <fill>
        <patternFill>
          <bgColor theme="1" tint="4.9989318521683403E-2"/>
        </patternFill>
      </fill>
    </dxf>
    <dxf>
      <font>
        <b val="0"/>
        <i val="0"/>
        <color theme="0" tint="-0.24994659260841701"/>
      </font>
      <fill>
        <patternFill>
          <bgColor theme="1" tint="4.9989318521683403E-2"/>
        </patternFill>
      </fill>
    </dxf>
    <dxf>
      <font>
        <b val="0"/>
        <i val="0"/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 val="0"/>
        <i val="0"/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color rgb="FF0070C0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b/>
        <i val="0"/>
        <color theme="0" tint="-0.1499679555650502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3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b val="0"/>
        <i val="0"/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B050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480000"/>
      <color rgb="FF12782D"/>
      <color rgb="FFFFFF99"/>
      <color rgb="FFCFFDA5"/>
      <color rgb="FFB9FFD9"/>
      <color rgb="FFB7FFD8"/>
      <color rgb="FFFD999B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L157"/>
  <sheetViews>
    <sheetView tabSelected="1" zoomScale="85" zoomScaleNormal="85" workbookViewId="0">
      <pane ySplit="1" topLeftCell="A2" activePane="bottomLeft" state="frozen"/>
      <selection pane="bottomLeft" activeCell="C47" sqref="C47"/>
    </sheetView>
  </sheetViews>
  <sheetFormatPr baseColWidth="10" defaultRowHeight="12.75" customHeight="1"/>
  <cols>
    <col min="1" max="1" width="15" style="38" bestFit="1" customWidth="1"/>
    <col min="2" max="2" width="9.7109375" style="33" bestFit="1" customWidth="1"/>
    <col min="3" max="4" width="7.42578125" style="13" bestFit="1" customWidth="1"/>
    <col min="5" max="5" width="9.42578125" style="33" bestFit="1" customWidth="1"/>
    <col min="6" max="6" width="9.140625" style="40" bestFit="1" customWidth="1"/>
    <col min="7" max="7" width="5.7109375" style="38" bestFit="1" customWidth="1"/>
    <col min="8" max="8" width="5.28515625" style="12" hidden="1" customWidth="1"/>
    <col min="9" max="10" width="6" style="12" customWidth="1"/>
    <col min="11" max="11" width="5.85546875" style="12" hidden="1" customWidth="1"/>
    <col min="12" max="12" width="11.28515625" style="12" hidden="1" customWidth="1"/>
    <col min="13" max="13" width="8.85546875" style="12" hidden="1" customWidth="1"/>
    <col min="14" max="14" width="5.85546875" style="12" hidden="1" customWidth="1"/>
    <col min="15" max="15" width="7.7109375" style="38" hidden="1" customWidth="1"/>
    <col min="16" max="16" width="3.7109375" style="44" hidden="1" customWidth="1"/>
    <col min="17" max="17" width="4.7109375" style="10" customWidth="1"/>
    <col min="18" max="18" width="4.7109375" style="39" customWidth="1"/>
    <col min="19" max="19" width="4.7109375" style="34" customWidth="1"/>
    <col min="20" max="20" width="4.7109375" style="11" customWidth="1"/>
    <col min="21" max="21" width="6.140625" style="11" bestFit="1" customWidth="1"/>
    <col min="22" max="22" width="6.5703125" style="11" customWidth="1"/>
    <col min="23" max="23" width="6.5703125" customWidth="1"/>
    <col min="24" max="24" width="6" customWidth="1"/>
    <col min="25" max="25" width="7.85546875" style="630" customWidth="1"/>
    <col min="26" max="26" width="8.140625" style="599" customWidth="1"/>
    <col min="27" max="27" width="9.42578125" style="40" customWidth="1"/>
    <col min="28" max="28" width="9.42578125" style="47" customWidth="1"/>
    <col min="29" max="29" width="8.7109375" style="47" customWidth="1"/>
    <col min="30" max="30" width="5.7109375" style="47" bestFit="1" customWidth="1"/>
    <col min="31" max="31" width="8.140625" style="47" bestFit="1" customWidth="1"/>
    <col min="32" max="32" width="9.855468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140625" bestFit="1" customWidth="1"/>
    <col min="38" max="38" width="7.140625" bestFit="1" customWidth="1"/>
  </cols>
  <sheetData>
    <row r="1" spans="1:38" s="1" customFormat="1" ht="12.75" customHeight="1">
      <c r="A1" s="280" t="s">
        <v>126</v>
      </c>
      <c r="B1" s="281" t="s">
        <v>337</v>
      </c>
      <c r="C1" s="282" t="s">
        <v>306</v>
      </c>
      <c r="D1" s="282" t="s">
        <v>307</v>
      </c>
      <c r="E1" s="283" t="s">
        <v>338</v>
      </c>
      <c r="F1" s="284" t="s">
        <v>127</v>
      </c>
      <c r="G1" s="285" t="s">
        <v>304</v>
      </c>
      <c r="H1" s="286" t="s">
        <v>128</v>
      </c>
      <c r="I1" s="286" t="s">
        <v>129</v>
      </c>
      <c r="J1" s="286" t="s">
        <v>130</v>
      </c>
      <c r="K1" s="286" t="s">
        <v>308</v>
      </c>
      <c r="L1" s="422" t="s">
        <v>305</v>
      </c>
      <c r="M1" s="287" t="s">
        <v>131</v>
      </c>
      <c r="N1" s="288" t="s">
        <v>132</v>
      </c>
      <c r="O1" s="289" t="s">
        <v>133</v>
      </c>
      <c r="P1" s="290"/>
      <c r="Q1" s="634">
        <v>1</v>
      </c>
      <c r="R1" s="635">
        <v>2</v>
      </c>
      <c r="S1" s="632">
        <v>3</v>
      </c>
      <c r="T1" s="633">
        <v>4</v>
      </c>
      <c r="U1" s="574">
        <v>0</v>
      </c>
      <c r="V1" s="463">
        <v>1.1999999999999999E-3</v>
      </c>
      <c r="W1" s="275">
        <v>10</v>
      </c>
      <c r="X1" s="276">
        <f>W1</f>
        <v>10</v>
      </c>
      <c r="Y1" s="600">
        <v>20800</v>
      </c>
      <c r="Z1" s="600">
        <f>Y1*($AE$1*$AD$1)</f>
        <v>81.148493150684942</v>
      </c>
      <c r="AA1" s="38">
        <f>AD1</f>
        <v>2</v>
      </c>
      <c r="AB1" s="394">
        <v>525</v>
      </c>
      <c r="AC1" s="277" t="s">
        <v>312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1.9506849315068496E-3</v>
      </c>
      <c r="AF1" s="506" t="s">
        <v>315</v>
      </c>
      <c r="AG1" s="506" t="s">
        <v>316</v>
      </c>
      <c r="AH1" s="506" t="s">
        <v>317</v>
      </c>
      <c r="AI1" s="506" t="s">
        <v>318</v>
      </c>
      <c r="AJ1" s="507" t="s">
        <v>313</v>
      </c>
      <c r="AK1" s="505" t="s">
        <v>314</v>
      </c>
    </row>
    <row r="2" spans="1:38" ht="12.75" customHeight="1">
      <c r="A2" s="497" t="s">
        <v>18</v>
      </c>
      <c r="B2" s="341">
        <f>VLOOKUP($A2,$A$42:$N$157,2,0)</f>
        <v>500000</v>
      </c>
      <c r="C2" s="323">
        <f t="shared" ref="C2:C25" si="0">VLOOKUP($A2,$A$42:$N$157,3,0)</f>
        <v>42</v>
      </c>
      <c r="D2" s="342">
        <f t="shared" ref="D2:D25" si="1">VLOOKUP($A2,$A$42:$N$157,4,0)</f>
        <v>42</v>
      </c>
      <c r="E2" s="341">
        <f t="shared" ref="E2:E25" si="2">VLOOKUP($A2,$A$42:$N$157,5,0)</f>
        <v>2030</v>
      </c>
      <c r="F2" s="698">
        <f t="shared" ref="F2:F25" si="3">VLOOKUP($A2,$A$42:$N$157,6,0)</f>
        <v>41.95</v>
      </c>
      <c r="G2" s="339">
        <f t="shared" ref="G2:G25" si="4">VLOOKUP($A2,$A$42:$N$157,7,0)</f>
        <v>-1.1000000000000001E-3</v>
      </c>
      <c r="H2" s="338">
        <f t="shared" ref="H2:H25" si="5">VLOOKUP($A2,$A$42:$N$157,8,0)</f>
        <v>43</v>
      </c>
      <c r="I2" s="330">
        <f t="shared" ref="I2:I25" si="6">VLOOKUP($A2,$A$42:$N$157,9,0)</f>
        <v>45.5</v>
      </c>
      <c r="J2" s="525">
        <f t="shared" ref="J2:J25" si="7">VLOOKUP($A2,$A$42:$N$157,10,0)</f>
        <v>40.5</v>
      </c>
      <c r="K2" s="334">
        <f t="shared" ref="K2:K25" si="8">VLOOKUP($A2,$A$42:$N$157,11,0)</f>
        <v>42</v>
      </c>
      <c r="L2" s="397">
        <f t="shared" ref="L2:L25" si="9">VLOOKUP($A2,$A$42:$N$157,12,0)</f>
        <v>944458</v>
      </c>
      <c r="M2" s="334">
        <f t="shared" ref="M2:M25" si="10">VLOOKUP($A2,$A$42:$N$157,13,0)</f>
        <v>2167515</v>
      </c>
      <c r="N2" s="397">
        <f t="shared" ref="N2:N25" si="11">VLOOKUP($A2,$A$42:$N$157,14,0)</f>
        <v>1462</v>
      </c>
      <c r="O2" s="512">
        <f t="shared" ref="O2:O25" si="12">VLOOKUP($A2,$A$42:$O$157,15,0)</f>
        <v>45273.684305555558</v>
      </c>
      <c r="P2" s="532">
        <v>1</v>
      </c>
      <c r="Q2" s="537">
        <v>0</v>
      </c>
      <c r="R2" s="631">
        <v>0</v>
      </c>
      <c r="S2" s="489">
        <v>0</v>
      </c>
      <c r="T2" s="402">
        <v>0</v>
      </c>
      <c r="U2" s="392">
        <v>0</v>
      </c>
      <c r="V2" s="682">
        <v>0</v>
      </c>
      <c r="W2" s="438">
        <v>0</v>
      </c>
      <c r="X2" s="469">
        <v>0</v>
      </c>
      <c r="Y2" s="691">
        <f>IFERROR($AB$1/(VLOOKUP($A2,$A$42:$N$157,6,0)/100),"")</f>
        <v>1251.4898688915375</v>
      </c>
      <c r="Z2" s="692">
        <f>IFERROR($F2*(1-$V$1)/100*$Y2,"")</f>
        <v>524.37</v>
      </c>
      <c r="AA2" s="557" t="str">
        <f>MID(A2,1,5)</f>
        <v>GD30D</v>
      </c>
      <c r="AD2" s="564" t="s">
        <v>319</v>
      </c>
      <c r="AE2" s="570">
        <v>45274</v>
      </c>
      <c r="AF2" s="562">
        <v>21772066.489999998</v>
      </c>
      <c r="AG2" s="563">
        <v>0.71</v>
      </c>
      <c r="AH2" s="563">
        <v>0.72499999999999998</v>
      </c>
      <c r="AI2" s="562">
        <v>148057647</v>
      </c>
      <c r="AJ2" s="567">
        <v>0.71</v>
      </c>
      <c r="AK2" s="562">
        <v>922328726707</v>
      </c>
    </row>
    <row r="3" spans="1:38" ht="12.75" customHeight="1">
      <c r="A3" s="498" t="s">
        <v>14</v>
      </c>
      <c r="B3" s="369">
        <f>VLOOKUP($A3,$A$42:$N$157,2,0)</f>
        <v>3806</v>
      </c>
      <c r="C3" s="370">
        <f t="shared" si="0"/>
        <v>38.25</v>
      </c>
      <c r="D3" s="370">
        <f t="shared" si="1"/>
        <v>38.799999999999997</v>
      </c>
      <c r="E3" s="369">
        <f t="shared" si="2"/>
        <v>55373</v>
      </c>
      <c r="F3" s="699">
        <f t="shared" si="3"/>
        <v>38.79</v>
      </c>
      <c r="G3" s="371">
        <f t="shared" si="4"/>
        <v>5.3699999999999998E-2</v>
      </c>
      <c r="H3" s="372">
        <f t="shared" si="5"/>
        <v>37</v>
      </c>
      <c r="I3" s="373">
        <f t="shared" si="6"/>
        <v>38.799999999999997</v>
      </c>
      <c r="J3" s="526">
        <f t="shared" si="7"/>
        <v>37</v>
      </c>
      <c r="K3" s="374">
        <f t="shared" si="8"/>
        <v>36.81</v>
      </c>
      <c r="L3" s="429">
        <f t="shared" si="9"/>
        <v>22235475</v>
      </c>
      <c r="M3" s="374">
        <f t="shared" si="10"/>
        <v>58693292</v>
      </c>
      <c r="N3" s="429">
        <f t="shared" si="11"/>
        <v>25040</v>
      </c>
      <c r="O3" s="513">
        <f t="shared" si="12"/>
        <v>45273.687708333331</v>
      </c>
      <c r="P3" s="531">
        <v>2</v>
      </c>
      <c r="Q3" s="538">
        <v>0</v>
      </c>
      <c r="R3" s="478">
        <v>0</v>
      </c>
      <c r="S3" s="490">
        <v>0</v>
      </c>
      <c r="T3" s="375">
        <v>0</v>
      </c>
      <c r="U3" s="391">
        <v>0</v>
      </c>
      <c r="V3" s="683">
        <v>0</v>
      </c>
      <c r="W3" s="439">
        <v>0</v>
      </c>
      <c r="X3" s="468">
        <v>0</v>
      </c>
      <c r="Y3" s="693">
        <f>IFERROR(ROUND((($F2*(1-$V$1)/100)*$Y2)/($F3/100),0),0)</f>
        <v>1352</v>
      </c>
      <c r="Z3" s="694">
        <f>$F3/100*INT($Y3)</f>
        <v>524.44079999999997</v>
      </c>
      <c r="AA3" s="558" t="str">
        <f>MID(A3,1,5)</f>
        <v>AL30D</v>
      </c>
      <c r="AD3" s="49" t="s">
        <v>320</v>
      </c>
      <c r="AE3" s="571">
        <v>45275</v>
      </c>
      <c r="AF3" s="48">
        <v>9750022.8000000007</v>
      </c>
      <c r="AG3" s="52">
        <v>0.71200000000000008</v>
      </c>
      <c r="AH3" s="52">
        <v>0.875</v>
      </c>
      <c r="AI3" s="48">
        <v>880197</v>
      </c>
      <c r="AJ3" s="568">
        <v>0.71200000000000008</v>
      </c>
      <c r="AK3" s="48">
        <v>8764733072</v>
      </c>
    </row>
    <row r="4" spans="1:38" ht="12.75" customHeight="1">
      <c r="A4" s="680" t="s">
        <v>13</v>
      </c>
      <c r="B4" s="321">
        <f>VLOOKUP($A4,$A$42:$N$157,2,0)</f>
        <v>1467</v>
      </c>
      <c r="C4" s="323">
        <f t="shared" si="0"/>
        <v>39100</v>
      </c>
      <c r="D4" s="323">
        <f t="shared" si="1"/>
        <v>39200</v>
      </c>
      <c r="E4" s="321">
        <f t="shared" si="2"/>
        <v>1</v>
      </c>
      <c r="F4" s="698">
        <f t="shared" si="3"/>
        <v>39100</v>
      </c>
      <c r="G4" s="325">
        <f t="shared" si="4"/>
        <v>1.0800000000000001E-2</v>
      </c>
      <c r="H4" s="336">
        <f t="shared" si="5"/>
        <v>40000</v>
      </c>
      <c r="I4" s="327">
        <f t="shared" si="6"/>
        <v>42421.5</v>
      </c>
      <c r="J4" s="523">
        <f t="shared" si="7"/>
        <v>37950</v>
      </c>
      <c r="K4" s="331">
        <f t="shared" si="8"/>
        <v>38680</v>
      </c>
      <c r="L4" s="426">
        <f t="shared" si="9"/>
        <v>49916752662</v>
      </c>
      <c r="M4" s="331">
        <f t="shared" si="10"/>
        <v>126156446</v>
      </c>
      <c r="N4" s="426">
        <f t="shared" si="11"/>
        <v>76005</v>
      </c>
      <c r="O4" s="510">
        <f t="shared" si="12"/>
        <v>45273.687754629631</v>
      </c>
      <c r="P4" s="532">
        <v>3</v>
      </c>
      <c r="Q4" s="539">
        <v>0</v>
      </c>
      <c r="R4" s="474">
        <v>0</v>
      </c>
      <c r="S4" s="487">
        <v>0</v>
      </c>
      <c r="T4" s="368">
        <v>0</v>
      </c>
      <c r="U4" s="392">
        <v>0</v>
      </c>
      <c r="V4" s="682">
        <v>0</v>
      </c>
      <c r="W4" s="455">
        <v>0</v>
      </c>
      <c r="X4" s="553">
        <v>0</v>
      </c>
      <c r="Y4" s="688">
        <f t="shared" ref="Y4:Y8" si="13">Y3</f>
        <v>1352</v>
      </c>
      <c r="Z4" s="689">
        <f>$F4*(1-$V$1)/100*INT($Y4)</f>
        <v>527997.64159999997</v>
      </c>
      <c r="AA4" s="636">
        <f>IFERROR((Z5/(VLOOKUP($A5,$A$46:$N$157,6,0)/100))*(VLOOKUP($A2,$A$46:$N$157,6,0)/100),"")</f>
        <v>523.53600000000006</v>
      </c>
      <c r="AD4" s="564" t="s">
        <v>321</v>
      </c>
      <c r="AE4" s="571">
        <v>45276</v>
      </c>
      <c r="AF4" s="562"/>
      <c r="AG4" s="563"/>
      <c r="AH4" s="563"/>
      <c r="AI4" s="562"/>
      <c r="AJ4" s="567"/>
      <c r="AK4" s="562"/>
      <c r="AL4" s="47"/>
    </row>
    <row r="5" spans="1:38" ht="12.75" customHeight="1">
      <c r="A5" s="681" t="s">
        <v>16</v>
      </c>
      <c r="B5" s="448">
        <f>VLOOKUP($A5,$A$42:$N$157,2,0)</f>
        <v>47</v>
      </c>
      <c r="C5" s="440">
        <f t="shared" si="0"/>
        <v>42129</v>
      </c>
      <c r="D5" s="440">
        <f t="shared" si="1"/>
        <v>42300</v>
      </c>
      <c r="E5" s="448">
        <f t="shared" si="2"/>
        <v>5837</v>
      </c>
      <c r="F5" s="700">
        <f t="shared" si="3"/>
        <v>42300</v>
      </c>
      <c r="G5" s="441">
        <f t="shared" si="4"/>
        <v>9.4999999999999998E-3</v>
      </c>
      <c r="H5" s="442">
        <f t="shared" si="5"/>
        <v>42300.5</v>
      </c>
      <c r="I5" s="443">
        <f t="shared" si="6"/>
        <v>49304</v>
      </c>
      <c r="J5" s="524">
        <f t="shared" si="7"/>
        <v>41100</v>
      </c>
      <c r="K5" s="445">
        <f t="shared" si="8"/>
        <v>41900</v>
      </c>
      <c r="L5" s="444">
        <f t="shared" si="9"/>
        <v>4816209044</v>
      </c>
      <c r="M5" s="445">
        <f t="shared" si="10"/>
        <v>11191034</v>
      </c>
      <c r="N5" s="444">
        <f t="shared" si="11"/>
        <v>4540</v>
      </c>
      <c r="O5" s="511">
        <f t="shared" si="12"/>
        <v>45273.687685185185</v>
      </c>
      <c r="P5" s="531">
        <v>4</v>
      </c>
      <c r="Q5" s="536">
        <v>0</v>
      </c>
      <c r="R5" s="476">
        <v>0</v>
      </c>
      <c r="S5" s="488">
        <v>0</v>
      </c>
      <c r="T5" s="446">
        <v>0</v>
      </c>
      <c r="U5" s="391">
        <v>0</v>
      </c>
      <c r="V5" s="683">
        <v>0</v>
      </c>
      <c r="W5" s="594">
        <v>0</v>
      </c>
      <c r="X5" s="470">
        <v>0</v>
      </c>
      <c r="Y5" s="690">
        <f>IFERROR(($Y4*($F4*(1-$V$1)/100)/($F5/100)),0)</f>
        <v>1248.2213749408984</v>
      </c>
      <c r="Z5" s="608">
        <f>$F5/100*INT($Y5)</f>
        <v>527904</v>
      </c>
      <c r="AA5" s="637"/>
      <c r="AD5" s="49" t="s">
        <v>322</v>
      </c>
      <c r="AE5" s="571">
        <v>45277</v>
      </c>
      <c r="AF5" s="48"/>
      <c r="AG5" s="52"/>
      <c r="AH5" s="52"/>
      <c r="AI5" s="48"/>
      <c r="AJ5" s="568"/>
      <c r="AK5" s="48"/>
      <c r="AL5" s="47"/>
    </row>
    <row r="6" spans="1:38" ht="12.75" customHeight="1">
      <c r="A6" s="497" t="s">
        <v>4</v>
      </c>
      <c r="B6" s="341">
        <f t="shared" ref="B6:B13" si="14">VLOOKUP($A6,$A$46:$N$157,2,0)</f>
        <v>665</v>
      </c>
      <c r="C6" s="323">
        <f t="shared" si="0"/>
        <v>38.1</v>
      </c>
      <c r="D6" s="342">
        <f t="shared" si="1"/>
        <v>38.18</v>
      </c>
      <c r="E6" s="341">
        <f t="shared" si="2"/>
        <v>8095</v>
      </c>
      <c r="F6" s="698">
        <f t="shared" si="3"/>
        <v>38.15</v>
      </c>
      <c r="G6" s="339">
        <f t="shared" si="4"/>
        <v>3.49E-2</v>
      </c>
      <c r="H6" s="338">
        <f t="shared" si="5"/>
        <v>37.5</v>
      </c>
      <c r="I6" s="330">
        <f t="shared" si="6"/>
        <v>41.15</v>
      </c>
      <c r="J6" s="525">
        <f t="shared" si="7"/>
        <v>37.25</v>
      </c>
      <c r="K6" s="334">
        <f t="shared" si="8"/>
        <v>36.86</v>
      </c>
      <c r="L6" s="397">
        <f t="shared" si="9"/>
        <v>12717210</v>
      </c>
      <c r="M6" s="334">
        <f t="shared" si="10"/>
        <v>33587826</v>
      </c>
      <c r="N6" s="397">
        <f t="shared" si="11"/>
        <v>15983</v>
      </c>
      <c r="O6" s="514">
        <f t="shared" si="12"/>
        <v>45273.708472222221</v>
      </c>
      <c r="P6" s="532">
        <v>5</v>
      </c>
      <c r="Q6" s="537">
        <v>0</v>
      </c>
      <c r="R6" s="479">
        <v>0</v>
      </c>
      <c r="S6" s="489">
        <v>0</v>
      </c>
      <c r="T6" s="378">
        <v>0</v>
      </c>
      <c r="U6" s="392">
        <v>0</v>
      </c>
      <c r="V6" s="682">
        <v>0</v>
      </c>
      <c r="W6" s="438">
        <v>0</v>
      </c>
      <c r="X6" s="438">
        <v>0</v>
      </c>
      <c r="Y6" s="691">
        <f>IFERROR($AB$1/(VLOOKUP($A6,$A$42:$N$157,6,0)/100),"")</f>
        <v>1376.1467889908256</v>
      </c>
      <c r="Z6" s="692">
        <f>IFERROR($F6*(1-$V$1)/100*$Y6,"")</f>
        <v>524.37</v>
      </c>
      <c r="AA6" s="557" t="str">
        <f>MID(A6,1,5)</f>
        <v>AL30D</v>
      </c>
      <c r="AB6" s="320"/>
      <c r="AD6" s="564" t="s">
        <v>323</v>
      </c>
      <c r="AE6" s="571">
        <v>45278</v>
      </c>
      <c r="AF6" s="562">
        <v>9788600</v>
      </c>
      <c r="AG6" s="563">
        <v>0.71060000000000001</v>
      </c>
      <c r="AH6" s="563">
        <v>0.9244</v>
      </c>
      <c r="AI6" s="562">
        <v>824390</v>
      </c>
      <c r="AJ6" s="567">
        <v>0.77</v>
      </c>
      <c r="AK6" s="562">
        <v>2613979718</v>
      </c>
    </row>
    <row r="7" spans="1:38" ht="12.75" customHeight="1">
      <c r="A7" s="498" t="s">
        <v>7</v>
      </c>
      <c r="B7" s="322">
        <f t="shared" si="14"/>
        <v>166</v>
      </c>
      <c r="C7" s="370">
        <f t="shared" si="0"/>
        <v>41.55</v>
      </c>
      <c r="D7" s="370">
        <f t="shared" si="1"/>
        <v>42.12</v>
      </c>
      <c r="E7" s="322">
        <f t="shared" si="2"/>
        <v>300</v>
      </c>
      <c r="F7" s="699">
        <f t="shared" si="3"/>
        <v>41.54</v>
      </c>
      <c r="G7" s="326">
        <f t="shared" si="4"/>
        <v>2.0999999999999999E-3</v>
      </c>
      <c r="H7" s="337">
        <f t="shared" si="5"/>
        <v>42.9</v>
      </c>
      <c r="I7" s="328">
        <f t="shared" si="6"/>
        <v>44.85</v>
      </c>
      <c r="J7" s="522">
        <f t="shared" si="7"/>
        <v>40.799999999999997</v>
      </c>
      <c r="K7" s="332">
        <f t="shared" si="8"/>
        <v>41.45</v>
      </c>
      <c r="L7" s="335">
        <f t="shared" si="9"/>
        <v>690673</v>
      </c>
      <c r="M7" s="332">
        <f t="shared" si="10"/>
        <v>1623495</v>
      </c>
      <c r="N7" s="335">
        <f t="shared" si="11"/>
        <v>647</v>
      </c>
      <c r="O7" s="515">
        <f t="shared" si="12"/>
        <v>45273.705428240741</v>
      </c>
      <c r="P7" s="531">
        <v>6</v>
      </c>
      <c r="Q7" s="540">
        <v>0</v>
      </c>
      <c r="R7" s="480">
        <v>0</v>
      </c>
      <c r="S7" s="486">
        <v>0</v>
      </c>
      <c r="T7" s="377">
        <v>0</v>
      </c>
      <c r="U7" s="391">
        <v>0</v>
      </c>
      <c r="V7" s="683">
        <v>0</v>
      </c>
      <c r="W7" s="439">
        <v>0</v>
      </c>
      <c r="X7" s="439">
        <v>0</v>
      </c>
      <c r="Y7" s="693">
        <f>IFERROR(ROUND((($F6*(1-$V$1)/100)*$Y6)/($F7/100),0),0)</f>
        <v>1262</v>
      </c>
      <c r="Z7" s="694">
        <f>$F7/100*INT($Y7)</f>
        <v>524.23479999999995</v>
      </c>
      <c r="AA7" s="558" t="str">
        <f>MID(A7,1,5)</f>
        <v>GD30D</v>
      </c>
      <c r="AD7" s="49" t="s">
        <v>324</v>
      </c>
      <c r="AE7" s="571">
        <v>45279</v>
      </c>
      <c r="AF7" s="48">
        <v>19733358</v>
      </c>
      <c r="AG7" s="52">
        <v>0.72060000000000002</v>
      </c>
      <c r="AH7" s="52">
        <v>0.97900000000000009</v>
      </c>
      <c r="AI7" s="48">
        <v>15688</v>
      </c>
      <c r="AJ7" s="568">
        <v>0.78500000000000003</v>
      </c>
      <c r="AK7" s="48">
        <v>2184843727</v>
      </c>
    </row>
    <row r="8" spans="1:38">
      <c r="A8" s="680" t="s">
        <v>5</v>
      </c>
      <c r="B8" s="341">
        <f t="shared" si="14"/>
        <v>47000</v>
      </c>
      <c r="C8" s="323">
        <f t="shared" si="0"/>
        <v>42960</v>
      </c>
      <c r="D8" s="323">
        <f t="shared" si="1"/>
        <v>43089</v>
      </c>
      <c r="E8" s="341">
        <f t="shared" si="2"/>
        <v>1128</v>
      </c>
      <c r="F8" s="698">
        <f t="shared" si="3"/>
        <v>43089</v>
      </c>
      <c r="G8" s="339">
        <f t="shared" si="4"/>
        <v>2.7699999999999999E-2</v>
      </c>
      <c r="H8" s="338">
        <f t="shared" si="5"/>
        <v>43202</v>
      </c>
      <c r="I8" s="330">
        <f t="shared" si="6"/>
        <v>50000</v>
      </c>
      <c r="J8" s="525">
        <f t="shared" si="7"/>
        <v>41300</v>
      </c>
      <c r="K8" s="334">
        <f t="shared" si="8"/>
        <v>41925</v>
      </c>
      <c r="L8" s="397">
        <f t="shared" si="9"/>
        <v>25194953124</v>
      </c>
      <c r="M8" s="334">
        <f t="shared" si="10"/>
        <v>58660617</v>
      </c>
      <c r="N8" s="397">
        <f t="shared" si="11"/>
        <v>5455</v>
      </c>
      <c r="O8" s="514">
        <f t="shared" si="12"/>
        <v>45273.708587962959</v>
      </c>
      <c r="P8" s="532">
        <v>7</v>
      </c>
      <c r="Q8" s="537">
        <v>0</v>
      </c>
      <c r="R8" s="479">
        <v>0</v>
      </c>
      <c r="S8" s="489">
        <v>0</v>
      </c>
      <c r="T8" s="378">
        <v>0</v>
      </c>
      <c r="U8" s="392">
        <v>0</v>
      </c>
      <c r="V8" s="682">
        <v>0</v>
      </c>
      <c r="W8" s="455">
        <v>0</v>
      </c>
      <c r="X8" s="455">
        <v>0</v>
      </c>
      <c r="Y8" s="688">
        <f t="shared" si="13"/>
        <v>1262</v>
      </c>
      <c r="Z8" s="689">
        <f>$F8*(1-$V$1)/100*INT($Y8)</f>
        <v>543130.64018400002</v>
      </c>
      <c r="AA8" s="642">
        <f>IFERROR((Z9/(VLOOKUP($A9,$A$46:$N$157,6,0)/100))*(VLOOKUP($A6,$A$46:$N$157,6,0)/100),"")</f>
        <v>521.89200000000005</v>
      </c>
      <c r="AD8" s="564" t="s">
        <v>325</v>
      </c>
      <c r="AE8" s="571">
        <v>45280</v>
      </c>
      <c r="AF8" s="562">
        <v>3281761.52</v>
      </c>
      <c r="AG8" s="563">
        <v>0.70050000000000001</v>
      </c>
      <c r="AH8" s="563">
        <v>0.84329999999999994</v>
      </c>
      <c r="AI8" s="562">
        <v>1277674.8999999999</v>
      </c>
      <c r="AJ8" s="567">
        <v>0.70050000000000001</v>
      </c>
      <c r="AK8" s="562">
        <v>56662155503</v>
      </c>
    </row>
    <row r="9" spans="1:38" ht="12.75" customHeight="1">
      <c r="A9" s="681" t="s">
        <v>2</v>
      </c>
      <c r="B9" s="448">
        <f t="shared" si="14"/>
        <v>3000</v>
      </c>
      <c r="C9" s="440">
        <f t="shared" si="0"/>
        <v>39670</v>
      </c>
      <c r="D9" s="440">
        <f t="shared" si="1"/>
        <v>39699</v>
      </c>
      <c r="E9" s="448">
        <f t="shared" si="2"/>
        <v>89327</v>
      </c>
      <c r="F9" s="700">
        <f t="shared" si="3"/>
        <v>39699</v>
      </c>
      <c r="G9" s="441">
        <f t="shared" si="4"/>
        <v>2.58E-2</v>
      </c>
      <c r="H9" s="442">
        <f t="shared" si="5"/>
        <v>40615</v>
      </c>
      <c r="I9" s="443">
        <f t="shared" si="6"/>
        <v>42787.5</v>
      </c>
      <c r="J9" s="524">
        <f t="shared" si="7"/>
        <v>38106</v>
      </c>
      <c r="K9" s="445">
        <f t="shared" si="8"/>
        <v>38700</v>
      </c>
      <c r="L9" s="444">
        <f t="shared" si="9"/>
        <v>87965682163</v>
      </c>
      <c r="M9" s="445">
        <f t="shared" si="10"/>
        <v>222094962</v>
      </c>
      <c r="N9" s="444">
        <f t="shared" si="11"/>
        <v>55506</v>
      </c>
      <c r="O9" s="516">
        <f t="shared" si="12"/>
        <v>45273.708564814813</v>
      </c>
      <c r="P9" s="531">
        <v>8</v>
      </c>
      <c r="Q9" s="541">
        <v>0</v>
      </c>
      <c r="R9" s="481">
        <v>0</v>
      </c>
      <c r="S9" s="488">
        <v>0</v>
      </c>
      <c r="T9" s="450">
        <v>0</v>
      </c>
      <c r="U9" s="391">
        <v>0</v>
      </c>
      <c r="V9" s="683">
        <v>0</v>
      </c>
      <c r="W9" s="447">
        <v>0</v>
      </c>
      <c r="X9" s="447">
        <v>0</v>
      </c>
      <c r="Y9" s="690">
        <f>IFERROR(($Y8*($F8*(1-$V$1)/100)/($F9/100)),0)</f>
        <v>1368.1217163757274</v>
      </c>
      <c r="Z9" s="608">
        <f>$F9/100*INT($Y9)</f>
        <v>543082.32000000007</v>
      </c>
      <c r="AA9" s="643"/>
      <c r="AD9" s="49"/>
      <c r="AE9" s="571"/>
      <c r="AF9" s="565"/>
      <c r="AG9" s="566"/>
      <c r="AH9" s="566"/>
      <c r="AI9" s="565"/>
      <c r="AJ9" s="569"/>
      <c r="AK9" s="565"/>
    </row>
    <row r="10" spans="1:38" ht="12.75" customHeight="1">
      <c r="A10" s="686" t="str">
        <f>A2</f>
        <v>GD30D - spot</v>
      </c>
      <c r="B10" s="341">
        <f t="shared" si="14"/>
        <v>500000</v>
      </c>
      <c r="C10" s="323">
        <f t="shared" si="0"/>
        <v>42</v>
      </c>
      <c r="D10" s="342">
        <f t="shared" si="1"/>
        <v>42</v>
      </c>
      <c r="E10" s="341">
        <f t="shared" si="2"/>
        <v>2030</v>
      </c>
      <c r="F10" s="698">
        <f t="shared" si="3"/>
        <v>41.95</v>
      </c>
      <c r="G10" s="339">
        <f t="shared" si="4"/>
        <v>-1.1000000000000001E-3</v>
      </c>
      <c r="H10" s="338">
        <f t="shared" si="5"/>
        <v>43</v>
      </c>
      <c r="I10" s="330">
        <f t="shared" si="6"/>
        <v>45.5</v>
      </c>
      <c r="J10" s="525">
        <f t="shared" si="7"/>
        <v>40.5</v>
      </c>
      <c r="K10" s="334">
        <f t="shared" si="8"/>
        <v>42</v>
      </c>
      <c r="L10" s="397">
        <f t="shared" si="9"/>
        <v>944458</v>
      </c>
      <c r="M10" s="334">
        <f t="shared" si="10"/>
        <v>2167515</v>
      </c>
      <c r="N10" s="397">
        <f t="shared" si="11"/>
        <v>1462</v>
      </c>
      <c r="O10" s="514">
        <f t="shared" si="12"/>
        <v>45273.684305555558</v>
      </c>
      <c r="P10" s="532">
        <v>9</v>
      </c>
      <c r="Q10" s="537">
        <v>0</v>
      </c>
      <c r="R10" s="479">
        <v>0</v>
      </c>
      <c r="S10" s="489">
        <v>0</v>
      </c>
      <c r="T10" s="378">
        <v>0</v>
      </c>
      <c r="U10" s="392">
        <v>0</v>
      </c>
      <c r="V10" s="682">
        <v>0</v>
      </c>
      <c r="W10" s="584">
        <v>0</v>
      </c>
      <c r="X10" s="438">
        <v>0</v>
      </c>
      <c r="Y10" s="691">
        <v>100</v>
      </c>
      <c r="Z10" s="692">
        <f>IFERROR($F10*(1-$V$1)/100*$Y10,"")</f>
        <v>41.899660000000004</v>
      </c>
      <c r="AA10" s="557" t="str">
        <f>MID(A10,1,5)</f>
        <v>GD30D</v>
      </c>
      <c r="AB10" s="320"/>
      <c r="AF10" s="278"/>
      <c r="AH10" s="278"/>
      <c r="AJ10" s="47"/>
      <c r="AK10" s="47"/>
    </row>
    <row r="11" spans="1:38" ht="12.75" customHeight="1">
      <c r="A11" s="684" t="s">
        <v>553</v>
      </c>
      <c r="B11" s="322">
        <f t="shared" si="14"/>
        <v>176100</v>
      </c>
      <c r="C11" s="370">
        <f t="shared" si="0"/>
        <v>0.14000000000000001</v>
      </c>
      <c r="D11" s="370">
        <f t="shared" si="1"/>
        <v>0.14499999999999999</v>
      </c>
      <c r="E11" s="322">
        <f t="shared" si="2"/>
        <v>193706678</v>
      </c>
      <c r="F11" s="699">
        <f t="shared" si="3"/>
        <v>0.14399999999999999</v>
      </c>
      <c r="G11" s="326">
        <f t="shared" si="4"/>
        <v>5.0999999999999997E-2</v>
      </c>
      <c r="H11" s="337">
        <f t="shared" si="5"/>
        <v>0.13300000000000001</v>
      </c>
      <c r="I11" s="328">
        <f t="shared" si="6"/>
        <v>0.14599999999999999</v>
      </c>
      <c r="J11" s="522">
        <f t="shared" si="7"/>
        <v>0.127</v>
      </c>
      <c r="K11" s="332">
        <f t="shared" si="8"/>
        <v>0.13700000000000001</v>
      </c>
      <c r="L11" s="335">
        <f t="shared" si="9"/>
        <v>4962313</v>
      </c>
      <c r="M11" s="332">
        <f t="shared" si="10"/>
        <v>3556513013</v>
      </c>
      <c r="N11" s="335">
        <f t="shared" si="11"/>
        <v>1695</v>
      </c>
      <c r="O11" s="515">
        <f t="shared" si="12"/>
        <v>45273.687685185185</v>
      </c>
      <c r="P11" s="531">
        <v>10</v>
      </c>
      <c r="Q11" s="540">
        <v>0</v>
      </c>
      <c r="R11" s="480">
        <v>0</v>
      </c>
      <c r="S11" s="486">
        <v>0</v>
      </c>
      <c r="T11" s="377">
        <v>0</v>
      </c>
      <c r="U11" s="391">
        <v>0</v>
      </c>
      <c r="V11" s="683">
        <v>0</v>
      </c>
      <c r="W11" s="585">
        <v>0</v>
      </c>
      <c r="X11" s="439">
        <v>0</v>
      </c>
      <c r="Y11" s="693">
        <f>IFERROR(ROUND((($F10*(1-$V$1)/100)*$Y10)/($F11/100),0),0)</f>
        <v>29097</v>
      </c>
      <c r="Z11" s="694">
        <f>$F11/100*INT($Y11)</f>
        <v>41.899679999999996</v>
      </c>
      <c r="AA11" s="558" t="str">
        <f>MID(A11,1,5)</f>
        <v xml:space="preserve">XE4D </v>
      </c>
    </row>
    <row r="12" spans="1:38" ht="12.75" customHeight="1">
      <c r="A12" s="685" t="s">
        <v>549</v>
      </c>
      <c r="B12" s="341">
        <f t="shared" si="14"/>
        <v>25000000</v>
      </c>
      <c r="C12" s="323">
        <f t="shared" si="0"/>
        <v>147.55000000000001</v>
      </c>
      <c r="D12" s="323">
        <f t="shared" si="1"/>
        <v>147.80000000000001</v>
      </c>
      <c r="E12" s="341">
        <f t="shared" si="2"/>
        <v>4387241</v>
      </c>
      <c r="F12" s="698">
        <f t="shared" si="3"/>
        <v>147.80000000000001</v>
      </c>
      <c r="G12" s="339">
        <f t="shared" si="4"/>
        <v>4.0099999999999997E-2</v>
      </c>
      <c r="H12" s="338">
        <f t="shared" si="5"/>
        <v>142.6</v>
      </c>
      <c r="I12" s="330">
        <f t="shared" si="6"/>
        <v>149</v>
      </c>
      <c r="J12" s="525">
        <f t="shared" si="7"/>
        <v>142.6</v>
      </c>
      <c r="K12" s="334">
        <f t="shared" si="8"/>
        <v>142.1</v>
      </c>
      <c r="L12" s="397">
        <f t="shared" si="9"/>
        <v>13264291409</v>
      </c>
      <c r="M12" s="334">
        <f t="shared" si="10"/>
        <v>9097478309</v>
      </c>
      <c r="N12" s="397">
        <f t="shared" si="11"/>
        <v>4849</v>
      </c>
      <c r="O12" s="514">
        <f t="shared" si="12"/>
        <v>45273.687789351854</v>
      </c>
      <c r="P12" s="532">
        <v>11</v>
      </c>
      <c r="Q12" s="537">
        <v>0</v>
      </c>
      <c r="R12" s="479">
        <v>0</v>
      </c>
      <c r="S12" s="489">
        <v>0</v>
      </c>
      <c r="T12" s="378">
        <v>0</v>
      </c>
      <c r="U12" s="392">
        <v>0</v>
      </c>
      <c r="V12" s="682">
        <v>0</v>
      </c>
      <c r="W12" s="584">
        <v>0</v>
      </c>
      <c r="X12" s="455">
        <v>0</v>
      </c>
      <c r="Y12" s="688">
        <f t="shared" ref="Y12" si="15">Y11</f>
        <v>29097</v>
      </c>
      <c r="Z12" s="689">
        <f>$F12*(1-$V$1)/100*INT($Y12)</f>
        <v>42953.759560800005</v>
      </c>
      <c r="AA12" s="642">
        <f>IFERROR((Z13/(VLOOKUP($A13,$A$46:$N$157,6,0))/100)*(VLOOKUP($A10,$A$46:$N$157,6,0)/100),"")</f>
        <v>4.2369500000000006E-3</v>
      </c>
    </row>
    <row r="13" spans="1:38" ht="12.75" customHeight="1">
      <c r="A13" s="687" t="str">
        <f>A5</f>
        <v>GD30 - spot</v>
      </c>
      <c r="B13" s="448">
        <f t="shared" si="14"/>
        <v>47</v>
      </c>
      <c r="C13" s="440">
        <f t="shared" si="0"/>
        <v>42129</v>
      </c>
      <c r="D13" s="440">
        <f t="shared" si="1"/>
        <v>42300</v>
      </c>
      <c r="E13" s="448">
        <f t="shared" si="2"/>
        <v>5837</v>
      </c>
      <c r="F13" s="700">
        <f t="shared" si="3"/>
        <v>42300</v>
      </c>
      <c r="G13" s="441">
        <f t="shared" si="4"/>
        <v>9.4999999999999998E-3</v>
      </c>
      <c r="H13" s="442">
        <f t="shared" si="5"/>
        <v>42300.5</v>
      </c>
      <c r="I13" s="443">
        <f t="shared" si="6"/>
        <v>49304</v>
      </c>
      <c r="J13" s="524">
        <f t="shared" si="7"/>
        <v>41100</v>
      </c>
      <c r="K13" s="445">
        <f t="shared" si="8"/>
        <v>41900</v>
      </c>
      <c r="L13" s="444">
        <f t="shared" si="9"/>
        <v>4816209044</v>
      </c>
      <c r="M13" s="445">
        <f t="shared" si="10"/>
        <v>11191034</v>
      </c>
      <c r="N13" s="449">
        <f t="shared" si="11"/>
        <v>4540</v>
      </c>
      <c r="O13" s="516">
        <f t="shared" si="12"/>
        <v>45273.687685185185</v>
      </c>
      <c r="P13" s="531">
        <v>12</v>
      </c>
      <c r="Q13" s="541">
        <v>0</v>
      </c>
      <c r="R13" s="481">
        <v>0</v>
      </c>
      <c r="S13" s="488">
        <v>0</v>
      </c>
      <c r="T13" s="450">
        <v>0</v>
      </c>
      <c r="U13" s="391">
        <v>0</v>
      </c>
      <c r="V13" s="683">
        <v>0</v>
      </c>
      <c r="W13" s="589">
        <v>0</v>
      </c>
      <c r="X13" s="447">
        <v>0</v>
      </c>
      <c r="Y13" s="690">
        <f>IFERROR(($Y12*($F12*(1-$V$1)/100)/($F13/100)),0)</f>
        <v>101.54553087659576</v>
      </c>
      <c r="Z13" s="608">
        <f>$F13/100*INT($Y13)</f>
        <v>42723</v>
      </c>
      <c r="AA13" s="643"/>
    </row>
    <row r="14" spans="1:38" ht="12.75" customHeight="1">
      <c r="A14" s="686" t="str">
        <f>A10</f>
        <v>GD30D - spot</v>
      </c>
      <c r="B14" s="321">
        <f t="shared" ref="B14:B25" si="16">VLOOKUP($A14,$A$42:$N$157,2,0)</f>
        <v>500000</v>
      </c>
      <c r="C14" s="323">
        <f t="shared" si="0"/>
        <v>42</v>
      </c>
      <c r="D14" s="323">
        <f t="shared" si="1"/>
        <v>42</v>
      </c>
      <c r="E14" s="321">
        <f t="shared" si="2"/>
        <v>2030</v>
      </c>
      <c r="F14" s="698">
        <f t="shared" si="3"/>
        <v>41.95</v>
      </c>
      <c r="G14" s="325">
        <f t="shared" si="4"/>
        <v>-1.1000000000000001E-3</v>
      </c>
      <c r="H14" s="336">
        <f t="shared" si="5"/>
        <v>43</v>
      </c>
      <c r="I14" s="327">
        <f t="shared" si="6"/>
        <v>45.5</v>
      </c>
      <c r="J14" s="521">
        <f t="shared" si="7"/>
        <v>40.5</v>
      </c>
      <c r="K14" s="529">
        <f t="shared" si="8"/>
        <v>42</v>
      </c>
      <c r="L14" s="425">
        <f t="shared" si="9"/>
        <v>944458</v>
      </c>
      <c r="M14" s="331">
        <f t="shared" si="10"/>
        <v>2167515</v>
      </c>
      <c r="N14" s="436">
        <f t="shared" si="11"/>
        <v>1462</v>
      </c>
      <c r="O14" s="508">
        <f t="shared" si="12"/>
        <v>45273.684305555558</v>
      </c>
      <c r="P14" s="532">
        <v>13</v>
      </c>
      <c r="Q14" s="533">
        <v>0</v>
      </c>
      <c r="R14" s="474">
        <v>0</v>
      </c>
      <c r="S14" s="485">
        <v>0</v>
      </c>
      <c r="T14" s="368">
        <v>0</v>
      </c>
      <c r="U14" s="392">
        <v>0</v>
      </c>
      <c r="V14" s="682">
        <v>0</v>
      </c>
      <c r="W14" s="584">
        <v>0</v>
      </c>
      <c r="X14" s="438">
        <v>0</v>
      </c>
      <c r="Y14" s="691">
        <f>Y10</f>
        <v>100</v>
      </c>
      <c r="Z14" s="692">
        <f>IFERROR($F14*(1-$V$1)/100*$Y14,"")</f>
        <v>41.899660000000004</v>
      </c>
      <c r="AA14" s="557" t="str">
        <f>MID(A14,1,5)</f>
        <v>GD30D</v>
      </c>
    </row>
    <row r="15" spans="1:38" ht="12.75" customHeight="1">
      <c r="A15" s="684" t="s">
        <v>547</v>
      </c>
      <c r="B15" s="322">
        <f t="shared" si="16"/>
        <v>12</v>
      </c>
      <c r="C15" s="324">
        <f t="shared" si="0"/>
        <v>40</v>
      </c>
      <c r="D15" s="324">
        <f t="shared" si="1"/>
        <v>42.65</v>
      </c>
      <c r="E15" s="322">
        <f t="shared" si="2"/>
        <v>1158</v>
      </c>
      <c r="F15" s="699">
        <f t="shared" si="3"/>
        <v>40.01</v>
      </c>
      <c r="G15" s="326">
        <f t="shared" si="4"/>
        <v>3.3799999999999997E-2</v>
      </c>
      <c r="H15" s="337">
        <f t="shared" si="5"/>
        <v>42.1</v>
      </c>
      <c r="I15" s="328">
        <f t="shared" si="6"/>
        <v>42.7</v>
      </c>
      <c r="J15" s="522">
        <f t="shared" si="7"/>
        <v>40.01</v>
      </c>
      <c r="K15" s="332">
        <f t="shared" si="8"/>
        <v>38.700000000000003</v>
      </c>
      <c r="L15" s="335">
        <f t="shared" si="9"/>
        <v>517</v>
      </c>
      <c r="M15" s="366">
        <f t="shared" si="10"/>
        <v>1260</v>
      </c>
      <c r="N15" s="335">
        <f t="shared" si="11"/>
        <v>9</v>
      </c>
      <c r="O15" s="509">
        <f t="shared" si="12"/>
        <v>45273.6565162037</v>
      </c>
      <c r="P15" s="531">
        <v>14</v>
      </c>
      <c r="Q15" s="534">
        <v>0</v>
      </c>
      <c r="R15" s="475">
        <v>0</v>
      </c>
      <c r="S15" s="486">
        <v>0</v>
      </c>
      <c r="T15" s="367">
        <v>0</v>
      </c>
      <c r="U15" s="391">
        <v>0</v>
      </c>
      <c r="V15" s="683">
        <v>0</v>
      </c>
      <c r="W15" s="585">
        <v>0</v>
      </c>
      <c r="X15" s="439">
        <v>0</v>
      </c>
      <c r="Y15" s="693">
        <f>IFERROR(ROUND((($F14*(1-$V$1)/100)*$Y14)/($F15/100),0),0)</f>
        <v>105</v>
      </c>
      <c r="Z15" s="694">
        <f>$F15/100*INT($Y15)</f>
        <v>42.010499999999993</v>
      </c>
      <c r="AA15" s="558" t="str">
        <f>MID(A15,1,5)</f>
        <v>BA7DD</v>
      </c>
    </row>
    <row r="16" spans="1:38" ht="12.75" customHeight="1">
      <c r="A16" s="685" t="s">
        <v>543</v>
      </c>
      <c r="B16" s="321">
        <f t="shared" si="16"/>
        <v>59</v>
      </c>
      <c r="C16" s="323">
        <f t="shared" si="0"/>
        <v>41700</v>
      </c>
      <c r="D16" s="323">
        <f t="shared" si="1"/>
        <v>43140</v>
      </c>
      <c r="E16" s="321">
        <f t="shared" si="2"/>
        <v>3916</v>
      </c>
      <c r="F16" s="698">
        <f t="shared" si="3"/>
        <v>41725.5</v>
      </c>
      <c r="G16" s="325">
        <f t="shared" si="4"/>
        <v>9.8999999999999991E-3</v>
      </c>
      <c r="H16" s="336">
        <f t="shared" si="5"/>
        <v>42722</v>
      </c>
      <c r="I16" s="327">
        <f t="shared" si="6"/>
        <v>44600</v>
      </c>
      <c r="J16" s="523">
        <f t="shared" si="7"/>
        <v>40050</v>
      </c>
      <c r="K16" s="331">
        <f t="shared" si="8"/>
        <v>41316</v>
      </c>
      <c r="L16" s="426">
        <f t="shared" si="9"/>
        <v>13125774</v>
      </c>
      <c r="M16" s="331">
        <f t="shared" si="10"/>
        <v>31655</v>
      </c>
      <c r="N16" s="426">
        <f t="shared" si="11"/>
        <v>73</v>
      </c>
      <c r="O16" s="510">
        <f t="shared" si="12"/>
        <v>45273.683472222219</v>
      </c>
      <c r="P16" s="532">
        <v>15</v>
      </c>
      <c r="Q16" s="535">
        <v>0</v>
      </c>
      <c r="R16" s="474">
        <v>0</v>
      </c>
      <c r="S16" s="487">
        <v>0</v>
      </c>
      <c r="T16" s="368">
        <v>0</v>
      </c>
      <c r="U16" s="392">
        <v>0</v>
      </c>
      <c r="V16" s="682">
        <v>0</v>
      </c>
      <c r="W16" s="584">
        <v>0</v>
      </c>
      <c r="X16" s="455">
        <v>0</v>
      </c>
      <c r="Y16" s="688">
        <f t="shared" ref="Y16" si="17">Y15</f>
        <v>105</v>
      </c>
      <c r="Z16" s="689">
        <f>$F16*(1-$V$1)/100*INT($Y16)</f>
        <v>43759.200870000001</v>
      </c>
      <c r="AA16" s="642">
        <f>IFERROR((Z17/(VLOOKUP($A17,$A$46:$N$157,6,0)/100))*(VLOOKUP($A14,$A$46:$N$157,6,0)/100),"")</f>
        <v>43.208500000000001</v>
      </c>
    </row>
    <row r="17" spans="1:29" ht="12.75" customHeight="1">
      <c r="A17" s="687" t="str">
        <f>A13</f>
        <v>GD30 - spot</v>
      </c>
      <c r="B17" s="448">
        <f t="shared" si="16"/>
        <v>47</v>
      </c>
      <c r="C17" s="440">
        <f t="shared" si="0"/>
        <v>42129</v>
      </c>
      <c r="D17" s="440">
        <f t="shared" si="1"/>
        <v>42300</v>
      </c>
      <c r="E17" s="448">
        <f t="shared" si="2"/>
        <v>5837</v>
      </c>
      <c r="F17" s="700">
        <f t="shared" si="3"/>
        <v>42300</v>
      </c>
      <c r="G17" s="441">
        <f t="shared" si="4"/>
        <v>9.4999999999999998E-3</v>
      </c>
      <c r="H17" s="442">
        <f t="shared" si="5"/>
        <v>42300.5</v>
      </c>
      <c r="I17" s="443">
        <f t="shared" si="6"/>
        <v>49304</v>
      </c>
      <c r="J17" s="524">
        <f t="shared" si="7"/>
        <v>41100</v>
      </c>
      <c r="K17" s="445">
        <f t="shared" si="8"/>
        <v>41900</v>
      </c>
      <c r="L17" s="444">
        <f t="shared" si="9"/>
        <v>4816209044</v>
      </c>
      <c r="M17" s="445">
        <f t="shared" si="10"/>
        <v>11191034</v>
      </c>
      <c r="N17" s="444">
        <f t="shared" si="11"/>
        <v>4540</v>
      </c>
      <c r="O17" s="511">
        <f t="shared" si="12"/>
        <v>45273.687685185185</v>
      </c>
      <c r="P17" s="531">
        <v>16</v>
      </c>
      <c r="Q17" s="536">
        <v>0</v>
      </c>
      <c r="R17" s="476">
        <v>0</v>
      </c>
      <c r="S17" s="488">
        <v>0</v>
      </c>
      <c r="T17" s="446">
        <v>0</v>
      </c>
      <c r="U17" s="391">
        <v>0</v>
      </c>
      <c r="V17" s="683">
        <v>0</v>
      </c>
      <c r="W17" s="589">
        <v>0</v>
      </c>
      <c r="X17" s="447">
        <v>0</v>
      </c>
      <c r="Y17" s="690">
        <f>IFERROR(($Y16*($F16*(1-$V$1)/100)/($F17/100)),0)</f>
        <v>103.44964744680851</v>
      </c>
      <c r="Z17" s="608">
        <f>$F17/100*INT($Y17)</f>
        <v>43569</v>
      </c>
      <c r="AA17" s="643"/>
    </row>
    <row r="18" spans="1:29" ht="12.75" customHeight="1">
      <c r="A18" s="686" t="str">
        <f>A14</f>
        <v>GD30D - spot</v>
      </c>
      <c r="B18" s="321">
        <f t="shared" si="16"/>
        <v>500000</v>
      </c>
      <c r="C18" s="323">
        <f t="shared" si="0"/>
        <v>42</v>
      </c>
      <c r="D18" s="323">
        <f t="shared" si="1"/>
        <v>42</v>
      </c>
      <c r="E18" s="321">
        <f t="shared" si="2"/>
        <v>2030</v>
      </c>
      <c r="F18" s="698">
        <f t="shared" si="3"/>
        <v>41.95</v>
      </c>
      <c r="G18" s="325">
        <f t="shared" si="4"/>
        <v>-1.1000000000000001E-3</v>
      </c>
      <c r="H18" s="336">
        <f t="shared" si="5"/>
        <v>43</v>
      </c>
      <c r="I18" s="327">
        <f t="shared" si="6"/>
        <v>45.5</v>
      </c>
      <c r="J18" s="523">
        <f t="shared" si="7"/>
        <v>40.5</v>
      </c>
      <c r="K18" s="331">
        <f t="shared" si="8"/>
        <v>42</v>
      </c>
      <c r="L18" s="426">
        <f t="shared" si="9"/>
        <v>944458</v>
      </c>
      <c r="M18" s="331">
        <f t="shared" si="10"/>
        <v>2167515</v>
      </c>
      <c r="N18" s="426">
        <f t="shared" si="11"/>
        <v>1462</v>
      </c>
      <c r="O18" s="510">
        <f t="shared" si="12"/>
        <v>45273.684305555558</v>
      </c>
      <c r="P18" s="532">
        <v>17</v>
      </c>
      <c r="Q18" s="535">
        <v>0</v>
      </c>
      <c r="R18" s="474">
        <v>0</v>
      </c>
      <c r="S18" s="487">
        <v>0</v>
      </c>
      <c r="T18" s="368">
        <v>0</v>
      </c>
      <c r="U18" s="392">
        <v>0</v>
      </c>
      <c r="V18" s="682">
        <v>0</v>
      </c>
      <c r="W18" s="584">
        <v>0</v>
      </c>
      <c r="X18" s="469">
        <v>0</v>
      </c>
      <c r="Y18" s="691">
        <f>Y14</f>
        <v>100</v>
      </c>
      <c r="Z18" s="692">
        <f>IFERROR($F18*(1-$V$1)/100*$Y18,"")</f>
        <v>41.899660000000004</v>
      </c>
      <c r="AA18" s="557" t="str">
        <f>MID(A18,1,5)</f>
        <v>GD30D</v>
      </c>
      <c r="AC18" s="320"/>
    </row>
    <row r="19" spans="1:29" ht="12.75" customHeight="1">
      <c r="A19" s="684" t="s">
        <v>619</v>
      </c>
      <c r="B19" s="322">
        <f t="shared" si="16"/>
        <v>1824</v>
      </c>
      <c r="C19" s="324">
        <f t="shared" si="0"/>
        <v>75</v>
      </c>
      <c r="D19" s="324">
        <f t="shared" si="1"/>
        <v>75.97</v>
      </c>
      <c r="E19" s="322">
        <f t="shared" si="2"/>
        <v>2368</v>
      </c>
      <c r="F19" s="699">
        <f t="shared" si="3"/>
        <v>75.95</v>
      </c>
      <c r="G19" s="326">
        <f t="shared" si="4"/>
        <v>1.26E-2</v>
      </c>
      <c r="H19" s="337">
        <f t="shared" si="5"/>
        <v>78.89</v>
      </c>
      <c r="I19" s="328">
        <f t="shared" si="6"/>
        <v>78.89</v>
      </c>
      <c r="J19" s="522">
        <f t="shared" si="7"/>
        <v>75</v>
      </c>
      <c r="K19" s="332">
        <f t="shared" si="8"/>
        <v>75</v>
      </c>
      <c r="L19" s="335">
        <f t="shared" si="9"/>
        <v>6624</v>
      </c>
      <c r="M19" s="332">
        <f t="shared" si="10"/>
        <v>8775</v>
      </c>
      <c r="N19" s="335">
        <f t="shared" si="11"/>
        <v>33</v>
      </c>
      <c r="O19" s="509">
        <f t="shared" si="12"/>
        <v>45273.666342592594</v>
      </c>
      <c r="P19" s="531">
        <v>18</v>
      </c>
      <c r="Q19" s="534">
        <v>0</v>
      </c>
      <c r="R19" s="475">
        <v>0</v>
      </c>
      <c r="S19" s="486">
        <v>0</v>
      </c>
      <c r="T19" s="367">
        <v>0</v>
      </c>
      <c r="U19" s="391">
        <v>0</v>
      </c>
      <c r="V19" s="683">
        <v>0</v>
      </c>
      <c r="W19" s="585">
        <v>0</v>
      </c>
      <c r="X19" s="468">
        <v>0</v>
      </c>
      <c r="Y19" s="693">
        <f>IFERROR(ROUND((($F18*(1-$V$1)/100)*$Y18)/($F19/100),0),0)</f>
        <v>55</v>
      </c>
      <c r="Z19" s="694">
        <f>$F19/100*INT($Y19)</f>
        <v>41.772500000000001</v>
      </c>
      <c r="AA19" s="558" t="str">
        <f>MID(A19,1,5)</f>
        <v>MRCAD</v>
      </c>
    </row>
    <row r="20" spans="1:29" ht="12.75" customHeight="1">
      <c r="A20" s="685" t="s">
        <v>615</v>
      </c>
      <c r="B20" s="321">
        <f t="shared" si="16"/>
        <v>88</v>
      </c>
      <c r="C20" s="323">
        <f t="shared" si="0"/>
        <v>76950</v>
      </c>
      <c r="D20" s="323">
        <f t="shared" si="1"/>
        <v>77998</v>
      </c>
      <c r="E20" s="321">
        <f t="shared" si="2"/>
        <v>1</v>
      </c>
      <c r="F20" s="698">
        <f t="shared" si="3"/>
        <v>76950.5</v>
      </c>
      <c r="G20" s="325">
        <f t="shared" si="4"/>
        <v>-2.4399999999999998E-2</v>
      </c>
      <c r="H20" s="336">
        <f t="shared" si="5"/>
        <v>84233</v>
      </c>
      <c r="I20" s="327">
        <f t="shared" si="6"/>
        <v>84233</v>
      </c>
      <c r="J20" s="523">
        <f t="shared" si="7"/>
        <v>74600.5</v>
      </c>
      <c r="K20" s="331">
        <f t="shared" si="8"/>
        <v>78879.5</v>
      </c>
      <c r="L20" s="426">
        <f t="shared" si="9"/>
        <v>33423241</v>
      </c>
      <c r="M20" s="331">
        <f t="shared" si="10"/>
        <v>42862</v>
      </c>
      <c r="N20" s="426">
        <f t="shared" si="11"/>
        <v>242</v>
      </c>
      <c r="O20" s="510">
        <f t="shared" si="12"/>
        <v>45273.687604166669</v>
      </c>
      <c r="P20" s="532">
        <v>19</v>
      </c>
      <c r="Q20" s="535">
        <v>0</v>
      </c>
      <c r="R20" s="474">
        <v>0</v>
      </c>
      <c r="S20" s="487">
        <v>0</v>
      </c>
      <c r="T20" s="368">
        <v>0</v>
      </c>
      <c r="U20" s="392">
        <v>0</v>
      </c>
      <c r="V20" s="682">
        <v>0</v>
      </c>
      <c r="W20" s="584">
        <v>0</v>
      </c>
      <c r="X20" s="469">
        <v>0</v>
      </c>
      <c r="Y20" s="688">
        <f t="shared" ref="Y20" si="18">Y19</f>
        <v>55</v>
      </c>
      <c r="Z20" s="689">
        <f>$F20*(1-$V$1)/100*INT($Y20)</f>
        <v>42271.987670000002</v>
      </c>
      <c r="AA20" s="642">
        <f>IFERROR((Z21/(VLOOKUP($A21,$A$46:$N$157,6,0)/100))*(VLOOKUP($A18,$A$46:$N$157,6,0)/100),"")</f>
        <v>41.530500000000004</v>
      </c>
    </row>
    <row r="21" spans="1:29" ht="12.75" customHeight="1">
      <c r="A21" s="687" t="str">
        <f>A17</f>
        <v>GD30 - spot</v>
      </c>
      <c r="B21" s="448">
        <f t="shared" si="16"/>
        <v>47</v>
      </c>
      <c r="C21" s="440">
        <f t="shared" si="0"/>
        <v>42129</v>
      </c>
      <c r="D21" s="440">
        <f t="shared" si="1"/>
        <v>42300</v>
      </c>
      <c r="E21" s="448">
        <f t="shared" si="2"/>
        <v>5837</v>
      </c>
      <c r="F21" s="700">
        <f t="shared" si="3"/>
        <v>42300</v>
      </c>
      <c r="G21" s="441">
        <f t="shared" si="4"/>
        <v>9.4999999999999998E-3</v>
      </c>
      <c r="H21" s="442">
        <f t="shared" si="5"/>
        <v>42300.5</v>
      </c>
      <c r="I21" s="443">
        <f t="shared" si="6"/>
        <v>49304</v>
      </c>
      <c r="J21" s="524">
        <f t="shared" si="7"/>
        <v>41100</v>
      </c>
      <c r="K21" s="445">
        <f t="shared" si="8"/>
        <v>41900</v>
      </c>
      <c r="L21" s="444">
        <f t="shared" si="9"/>
        <v>4816209044</v>
      </c>
      <c r="M21" s="445">
        <f t="shared" si="10"/>
        <v>11191034</v>
      </c>
      <c r="N21" s="444">
        <f t="shared" si="11"/>
        <v>4540</v>
      </c>
      <c r="O21" s="511">
        <f t="shared" si="12"/>
        <v>45273.687685185185</v>
      </c>
      <c r="P21" s="531">
        <v>20</v>
      </c>
      <c r="Q21" s="536">
        <v>0</v>
      </c>
      <c r="R21" s="476">
        <v>0</v>
      </c>
      <c r="S21" s="488">
        <v>0</v>
      </c>
      <c r="T21" s="446">
        <v>0</v>
      </c>
      <c r="U21" s="391">
        <v>0</v>
      </c>
      <c r="V21" s="683">
        <v>0</v>
      </c>
      <c r="W21" s="589">
        <v>0</v>
      </c>
      <c r="X21" s="470">
        <v>0</v>
      </c>
      <c r="Y21" s="690">
        <f>IFERROR(($Y20*($F20*(1-$V$1)/100)/($F21/100)),0)</f>
        <v>99.933776997635945</v>
      </c>
      <c r="Z21" s="608">
        <f>$F21/100*INT($Y21)</f>
        <v>41877</v>
      </c>
      <c r="AA21" s="643"/>
    </row>
    <row r="22" spans="1:29" ht="12.75" customHeight="1">
      <c r="A22" s="695" t="s">
        <v>13</v>
      </c>
      <c r="B22" s="341">
        <f t="shared" si="16"/>
        <v>1467</v>
      </c>
      <c r="C22" s="323">
        <f t="shared" si="0"/>
        <v>39100</v>
      </c>
      <c r="D22" s="342">
        <f t="shared" si="1"/>
        <v>39200</v>
      </c>
      <c r="E22" s="341">
        <f t="shared" si="2"/>
        <v>1</v>
      </c>
      <c r="F22" s="698">
        <f t="shared" si="3"/>
        <v>39100</v>
      </c>
      <c r="G22" s="339">
        <f t="shared" si="4"/>
        <v>1.0800000000000001E-2</v>
      </c>
      <c r="H22" s="338">
        <f t="shared" si="5"/>
        <v>40000</v>
      </c>
      <c r="I22" s="330">
        <f t="shared" si="6"/>
        <v>42421.5</v>
      </c>
      <c r="J22" s="525">
        <f t="shared" si="7"/>
        <v>37950</v>
      </c>
      <c r="K22" s="334">
        <f t="shared" si="8"/>
        <v>38680</v>
      </c>
      <c r="L22" s="397">
        <f t="shared" si="9"/>
        <v>49916752662</v>
      </c>
      <c r="M22" s="334">
        <f t="shared" si="10"/>
        <v>126156446</v>
      </c>
      <c r="N22" s="397">
        <f t="shared" si="11"/>
        <v>76005</v>
      </c>
      <c r="O22" s="512">
        <f t="shared" si="12"/>
        <v>45273.687754629631</v>
      </c>
      <c r="P22" s="532">
        <v>21</v>
      </c>
      <c r="Q22" s="537">
        <v>0</v>
      </c>
      <c r="R22" s="477">
        <v>0</v>
      </c>
      <c r="S22" s="489">
        <v>0</v>
      </c>
      <c r="T22" s="402">
        <v>0</v>
      </c>
      <c r="U22" s="392">
        <v>0</v>
      </c>
      <c r="V22" s="578">
        <v>0</v>
      </c>
      <c r="W22" s="438">
        <v>0</v>
      </c>
      <c r="X22" s="469">
        <v>0</v>
      </c>
      <c r="Y22" s="592"/>
      <c r="Z22" s="592">
        <v>100</v>
      </c>
      <c r="AA22" s="595" t="str">
        <f>A23</f>
        <v>GD30 - spot</v>
      </c>
      <c r="AB22" s="554">
        <v>93</v>
      </c>
    </row>
    <row r="23" spans="1:29" ht="12.75" customHeight="1">
      <c r="A23" s="696" t="s">
        <v>16</v>
      </c>
      <c r="B23" s="369">
        <f t="shared" si="16"/>
        <v>47</v>
      </c>
      <c r="C23" s="370">
        <f t="shared" si="0"/>
        <v>42129</v>
      </c>
      <c r="D23" s="370">
        <f t="shared" si="1"/>
        <v>42300</v>
      </c>
      <c r="E23" s="369">
        <f t="shared" si="2"/>
        <v>5837</v>
      </c>
      <c r="F23" s="699">
        <f t="shared" si="3"/>
        <v>42300</v>
      </c>
      <c r="G23" s="371">
        <f t="shared" si="4"/>
        <v>9.4999999999999998E-3</v>
      </c>
      <c r="H23" s="372">
        <f t="shared" si="5"/>
        <v>42300.5</v>
      </c>
      <c r="I23" s="373">
        <f t="shared" si="6"/>
        <v>49304</v>
      </c>
      <c r="J23" s="526">
        <f t="shared" si="7"/>
        <v>41100</v>
      </c>
      <c r="K23" s="374">
        <f t="shared" si="8"/>
        <v>41900</v>
      </c>
      <c r="L23" s="429">
        <f t="shared" si="9"/>
        <v>4816209044</v>
      </c>
      <c r="M23" s="374">
        <f t="shared" si="10"/>
        <v>11191034</v>
      </c>
      <c r="N23" s="429">
        <f t="shared" si="11"/>
        <v>4540</v>
      </c>
      <c r="O23" s="513">
        <f t="shared" si="12"/>
        <v>45273.687685185185</v>
      </c>
      <c r="P23" s="531">
        <v>22</v>
      </c>
      <c r="Q23" s="538">
        <v>0</v>
      </c>
      <c r="R23" s="478">
        <v>0</v>
      </c>
      <c r="S23" s="490">
        <v>0</v>
      </c>
      <c r="T23" s="375">
        <v>0</v>
      </c>
      <c r="U23" s="391">
        <v>0</v>
      </c>
      <c r="V23" s="579">
        <v>0</v>
      </c>
      <c r="W23" s="439">
        <v>0</v>
      </c>
      <c r="X23" s="468">
        <v>0</v>
      </c>
      <c r="Y23" s="591"/>
      <c r="Z23" s="591">
        <v>93</v>
      </c>
      <c r="AA23" s="596" t="str">
        <f>A22</f>
        <v>AL30 - spot</v>
      </c>
      <c r="AB23" s="555">
        <f t="shared" ref="AB18:AB25" si="19">IFERROR((IF($Y23&lt;&gt;0,$Y23,VLOOKUP($A23,$A$42:$N$157,6,0))*$Z23/100)/(VLOOKUP($AA23,$A$42:$N$157,6,0)/100),"")</f>
        <v>100.61125319693095</v>
      </c>
    </row>
    <row r="24" spans="1:29" ht="12.75" customHeight="1">
      <c r="A24" s="695" t="s">
        <v>2</v>
      </c>
      <c r="B24" s="321">
        <f t="shared" si="16"/>
        <v>3000</v>
      </c>
      <c r="C24" s="323">
        <f t="shared" si="0"/>
        <v>39670</v>
      </c>
      <c r="D24" s="323">
        <f t="shared" si="1"/>
        <v>39699</v>
      </c>
      <c r="E24" s="321">
        <f t="shared" si="2"/>
        <v>89327</v>
      </c>
      <c r="F24" s="698">
        <f t="shared" si="3"/>
        <v>39699</v>
      </c>
      <c r="G24" s="325">
        <f t="shared" si="4"/>
        <v>2.58E-2</v>
      </c>
      <c r="H24" s="336">
        <f t="shared" si="5"/>
        <v>40615</v>
      </c>
      <c r="I24" s="327">
        <f t="shared" si="6"/>
        <v>42787.5</v>
      </c>
      <c r="J24" s="327">
        <f t="shared" si="7"/>
        <v>38106</v>
      </c>
      <c r="K24" s="331">
        <f t="shared" si="8"/>
        <v>38700</v>
      </c>
      <c r="L24" s="426">
        <f t="shared" si="9"/>
        <v>87965682163</v>
      </c>
      <c r="M24" s="331">
        <f t="shared" si="10"/>
        <v>222094962</v>
      </c>
      <c r="N24" s="426">
        <f t="shared" si="11"/>
        <v>55506</v>
      </c>
      <c r="O24" s="510">
        <f t="shared" si="12"/>
        <v>45273.708564814813</v>
      </c>
      <c r="P24" s="532">
        <v>23</v>
      </c>
      <c r="Q24" s="539">
        <v>0</v>
      </c>
      <c r="R24" s="474">
        <v>0</v>
      </c>
      <c r="S24" s="487">
        <v>0</v>
      </c>
      <c r="T24" s="368">
        <v>0</v>
      </c>
      <c r="U24" s="392">
        <v>0</v>
      </c>
      <c r="V24" s="578">
        <v>0</v>
      </c>
      <c r="W24" s="438">
        <v>0</v>
      </c>
      <c r="X24" s="469">
        <v>0</v>
      </c>
      <c r="Y24" s="592"/>
      <c r="Z24" s="592">
        <v>100</v>
      </c>
      <c r="AA24" s="595" t="str">
        <f>A25</f>
        <v>GD30 - 48hs</v>
      </c>
      <c r="AB24" s="554">
        <v>93</v>
      </c>
    </row>
    <row r="25" spans="1:29" ht="12.75" customHeight="1">
      <c r="A25" s="697" t="s">
        <v>5</v>
      </c>
      <c r="B25" s="448">
        <f t="shared" si="16"/>
        <v>47000</v>
      </c>
      <c r="C25" s="440">
        <f t="shared" si="0"/>
        <v>42960</v>
      </c>
      <c r="D25" s="440">
        <f t="shared" si="1"/>
        <v>43089</v>
      </c>
      <c r="E25" s="448">
        <f t="shared" si="2"/>
        <v>1128</v>
      </c>
      <c r="F25" s="700">
        <f t="shared" si="3"/>
        <v>43089</v>
      </c>
      <c r="G25" s="441">
        <f t="shared" si="4"/>
        <v>2.7699999999999999E-2</v>
      </c>
      <c r="H25" s="442">
        <f t="shared" si="5"/>
        <v>43202</v>
      </c>
      <c r="I25" s="443">
        <f t="shared" si="6"/>
        <v>50000</v>
      </c>
      <c r="J25" s="524">
        <f t="shared" si="7"/>
        <v>41300</v>
      </c>
      <c r="K25" s="445">
        <f t="shared" si="8"/>
        <v>41925</v>
      </c>
      <c r="L25" s="444">
        <f t="shared" si="9"/>
        <v>25194953124</v>
      </c>
      <c r="M25" s="445">
        <f t="shared" si="10"/>
        <v>58660617</v>
      </c>
      <c r="N25" s="444">
        <f t="shared" si="11"/>
        <v>5455</v>
      </c>
      <c r="O25" s="511">
        <f t="shared" si="12"/>
        <v>45273.708587962959</v>
      </c>
      <c r="P25" s="531">
        <v>24</v>
      </c>
      <c r="Q25" s="536">
        <v>0</v>
      </c>
      <c r="R25" s="476">
        <v>0</v>
      </c>
      <c r="S25" s="488">
        <v>0</v>
      </c>
      <c r="T25" s="446">
        <v>0</v>
      </c>
      <c r="U25" s="391">
        <v>0</v>
      </c>
      <c r="V25" s="579">
        <v>0</v>
      </c>
      <c r="W25" s="447">
        <v>0</v>
      </c>
      <c r="X25" s="590">
        <v>0</v>
      </c>
      <c r="Y25" s="593"/>
      <c r="Z25" s="593">
        <v>93</v>
      </c>
      <c r="AA25" s="597" t="str">
        <f>A24</f>
        <v>AL30 - 48hs</v>
      </c>
      <c r="AB25" s="556">
        <f t="shared" si="19"/>
        <v>100.94150986170935</v>
      </c>
    </row>
    <row r="26" spans="1:29" ht="12.75" hidden="1" customHeight="1">
      <c r="A26" s="418" t="s">
        <v>570</v>
      </c>
      <c r="B26" s="341"/>
      <c r="C26" s="395"/>
      <c r="D26" s="395"/>
      <c r="E26" s="341"/>
      <c r="F26" s="396"/>
      <c r="G26" s="339"/>
      <c r="H26" s="338"/>
      <c r="I26" s="330"/>
      <c r="J26" s="525"/>
      <c r="K26" s="530"/>
      <c r="L26" s="397"/>
      <c r="M26" s="397"/>
      <c r="N26" s="397"/>
      <c r="O26" s="514"/>
      <c r="P26" s="532">
        <v>25</v>
      </c>
      <c r="Q26" s="433">
        <v>0</v>
      </c>
      <c r="R26" s="479">
        <v>0</v>
      </c>
      <c r="S26" s="489">
        <v>0</v>
      </c>
      <c r="T26" s="378">
        <v>0</v>
      </c>
      <c r="U26" s="459">
        <v>0</v>
      </c>
      <c r="V26" s="462">
        <v>0</v>
      </c>
      <c r="W26" s="319">
        <v>0</v>
      </c>
      <c r="X26" s="319">
        <v>0</v>
      </c>
      <c r="Y26" s="626">
        <v>0</v>
      </c>
      <c r="Z26" s="601">
        <v>0</v>
      </c>
      <c r="AA26" s="393"/>
    </row>
    <row r="27" spans="1:29" ht="12.75" hidden="1" customHeight="1">
      <c r="A27" s="419" t="s">
        <v>579</v>
      </c>
      <c r="B27" s="322"/>
      <c r="C27" s="343"/>
      <c r="D27" s="343"/>
      <c r="E27" s="322"/>
      <c r="F27" s="340"/>
      <c r="G27" s="326"/>
      <c r="H27" s="337"/>
      <c r="I27" s="328"/>
      <c r="J27" s="522"/>
      <c r="K27" s="332"/>
      <c r="L27" s="335"/>
      <c r="M27" s="335"/>
      <c r="N27" s="335"/>
      <c r="O27" s="515"/>
      <c r="P27" s="531">
        <v>26</v>
      </c>
      <c r="Q27" s="430">
        <v>0</v>
      </c>
      <c r="R27" s="480">
        <v>0</v>
      </c>
      <c r="S27" s="486">
        <v>0</v>
      </c>
      <c r="T27" s="377">
        <v>0</v>
      </c>
      <c r="U27" s="460">
        <v>0</v>
      </c>
      <c r="V27" s="461">
        <v>0</v>
      </c>
      <c r="W27" s="279">
        <v>0</v>
      </c>
      <c r="X27" s="279">
        <v>0</v>
      </c>
      <c r="Y27" s="627">
        <v>0</v>
      </c>
      <c r="Z27" s="602">
        <v>0</v>
      </c>
      <c r="AA27" s="393"/>
    </row>
    <row r="28" spans="1:29" ht="12.75" hidden="1" customHeight="1">
      <c r="A28" s="420" t="s">
        <v>580</v>
      </c>
      <c r="B28" s="379"/>
      <c r="C28" s="380"/>
      <c r="D28" s="380"/>
      <c r="E28" s="379"/>
      <c r="F28" s="381"/>
      <c r="G28" s="356"/>
      <c r="H28" s="357"/>
      <c r="I28" s="329"/>
      <c r="J28" s="528"/>
      <c r="K28" s="333"/>
      <c r="L28" s="382"/>
      <c r="M28" s="382"/>
      <c r="N28" s="382"/>
      <c r="O28" s="517"/>
      <c r="P28" s="532">
        <v>27</v>
      </c>
      <c r="Q28" s="431">
        <v>0</v>
      </c>
      <c r="R28" s="482">
        <v>0</v>
      </c>
      <c r="S28" s="491">
        <v>0</v>
      </c>
      <c r="T28" s="376">
        <v>0</v>
      </c>
      <c r="U28" s="459">
        <v>0</v>
      </c>
      <c r="V28" s="462">
        <v>0</v>
      </c>
      <c r="W28" s="383">
        <v>0</v>
      </c>
      <c r="X28" s="383">
        <v>0</v>
      </c>
      <c r="Y28" s="628">
        <v>0</v>
      </c>
      <c r="Z28" s="603">
        <v>0</v>
      </c>
      <c r="AA28" s="393"/>
    </row>
    <row r="29" spans="1:29" ht="12.75" hidden="1" customHeight="1">
      <c r="A29" s="419" t="s">
        <v>571</v>
      </c>
      <c r="B29" s="322"/>
      <c r="C29" s="343"/>
      <c r="D29" s="343"/>
      <c r="E29" s="322"/>
      <c r="F29" s="340"/>
      <c r="G29" s="326"/>
      <c r="H29" s="337"/>
      <c r="I29" s="328"/>
      <c r="J29" s="522"/>
      <c r="K29" s="332"/>
      <c r="L29" s="335"/>
      <c r="M29" s="335"/>
      <c r="N29" s="335"/>
      <c r="O29" s="515"/>
      <c r="P29" s="531">
        <v>28</v>
      </c>
      <c r="Q29" s="430">
        <v>0</v>
      </c>
      <c r="R29" s="480">
        <v>0</v>
      </c>
      <c r="S29" s="486">
        <v>0</v>
      </c>
      <c r="T29" s="377">
        <v>0</v>
      </c>
      <c r="U29" s="460">
        <v>0</v>
      </c>
      <c r="V29" s="461">
        <v>0</v>
      </c>
      <c r="W29" s="279">
        <v>0</v>
      </c>
      <c r="X29" s="279">
        <v>0</v>
      </c>
      <c r="Y29" s="627">
        <v>0</v>
      </c>
      <c r="Z29" s="602">
        <v>0</v>
      </c>
      <c r="AA29" s="393"/>
    </row>
    <row r="30" spans="1:29" ht="12.75" hidden="1" customHeight="1">
      <c r="A30" s="420" t="s">
        <v>572</v>
      </c>
      <c r="B30" s="379"/>
      <c r="C30" s="380"/>
      <c r="D30" s="380"/>
      <c r="E30" s="379"/>
      <c r="F30" s="381"/>
      <c r="G30" s="356"/>
      <c r="H30" s="357"/>
      <c r="I30" s="329"/>
      <c r="J30" s="528"/>
      <c r="K30" s="333"/>
      <c r="L30" s="382"/>
      <c r="M30" s="382"/>
      <c r="N30" s="382"/>
      <c r="O30" s="517"/>
      <c r="P30" s="532">
        <v>29</v>
      </c>
      <c r="Q30" s="431">
        <v>0</v>
      </c>
      <c r="R30" s="482">
        <v>0</v>
      </c>
      <c r="S30" s="491">
        <v>0</v>
      </c>
      <c r="T30" s="376">
        <v>0</v>
      </c>
      <c r="U30" s="459">
        <v>0</v>
      </c>
      <c r="V30" s="462">
        <v>0</v>
      </c>
      <c r="W30" s="383">
        <v>0</v>
      </c>
      <c r="X30" s="383">
        <v>0</v>
      </c>
      <c r="Y30" s="628">
        <v>0</v>
      </c>
      <c r="Z30" s="603">
        <v>0</v>
      </c>
      <c r="AA30" s="393"/>
    </row>
    <row r="31" spans="1:29" ht="12.75" hidden="1" customHeight="1">
      <c r="A31" s="419" t="s">
        <v>573</v>
      </c>
      <c r="B31" s="322"/>
      <c r="C31" s="343"/>
      <c r="D31" s="343"/>
      <c r="E31" s="322"/>
      <c r="F31" s="340"/>
      <c r="G31" s="326"/>
      <c r="H31" s="337"/>
      <c r="I31" s="328"/>
      <c r="J31" s="522"/>
      <c r="K31" s="332"/>
      <c r="L31" s="335"/>
      <c r="M31" s="335"/>
      <c r="N31" s="335"/>
      <c r="O31" s="515"/>
      <c r="P31" s="531">
        <v>30</v>
      </c>
      <c r="Q31" s="430">
        <v>0</v>
      </c>
      <c r="R31" s="480">
        <v>0</v>
      </c>
      <c r="S31" s="486">
        <v>0</v>
      </c>
      <c r="T31" s="377">
        <v>0</v>
      </c>
      <c r="U31" s="460">
        <v>0</v>
      </c>
      <c r="V31" s="461">
        <v>0</v>
      </c>
      <c r="W31" s="279">
        <v>0</v>
      </c>
      <c r="X31" s="279">
        <v>0</v>
      </c>
      <c r="Y31" s="627">
        <v>0</v>
      </c>
      <c r="Z31" s="602">
        <v>0</v>
      </c>
      <c r="AA31" s="393"/>
    </row>
    <row r="32" spans="1:29" ht="12.75" hidden="1" customHeight="1">
      <c r="A32" s="420" t="s">
        <v>581</v>
      </c>
      <c r="B32" s="379"/>
      <c r="C32" s="380"/>
      <c r="D32" s="380"/>
      <c r="E32" s="379"/>
      <c r="F32" s="381"/>
      <c r="G32" s="356"/>
      <c r="H32" s="357"/>
      <c r="I32" s="329"/>
      <c r="J32" s="528"/>
      <c r="K32" s="333"/>
      <c r="L32" s="382"/>
      <c r="M32" s="382"/>
      <c r="N32" s="382"/>
      <c r="O32" s="517"/>
      <c r="P32" s="532">
        <v>31</v>
      </c>
      <c r="Q32" s="431">
        <v>0</v>
      </c>
      <c r="R32" s="482">
        <v>0</v>
      </c>
      <c r="S32" s="491">
        <v>0</v>
      </c>
      <c r="T32" s="376">
        <v>0</v>
      </c>
      <c r="U32" s="459">
        <v>0</v>
      </c>
      <c r="V32" s="462">
        <v>0</v>
      </c>
      <c r="W32" s="383">
        <v>0</v>
      </c>
      <c r="X32" s="383">
        <v>0</v>
      </c>
      <c r="Y32" s="628">
        <v>0</v>
      </c>
      <c r="Z32" s="603">
        <v>0</v>
      </c>
      <c r="AA32" s="393"/>
    </row>
    <row r="33" spans="1:29" ht="12.75" hidden="1" customHeight="1">
      <c r="A33" s="419" t="s">
        <v>574</v>
      </c>
      <c r="B33" s="322"/>
      <c r="C33" s="343"/>
      <c r="D33" s="343"/>
      <c r="E33" s="322"/>
      <c r="F33" s="340"/>
      <c r="G33" s="326"/>
      <c r="H33" s="337"/>
      <c r="I33" s="328"/>
      <c r="J33" s="522"/>
      <c r="K33" s="332"/>
      <c r="L33" s="335"/>
      <c r="M33" s="335"/>
      <c r="N33" s="335"/>
      <c r="O33" s="515"/>
      <c r="P33" s="531">
        <v>32</v>
      </c>
      <c r="Q33" s="430">
        <v>0</v>
      </c>
      <c r="R33" s="480">
        <v>0</v>
      </c>
      <c r="S33" s="486">
        <v>0</v>
      </c>
      <c r="T33" s="377">
        <v>0</v>
      </c>
      <c r="U33" s="460">
        <v>0</v>
      </c>
      <c r="V33" s="461">
        <v>0</v>
      </c>
      <c r="W33" s="279">
        <v>0</v>
      </c>
      <c r="X33" s="279">
        <v>0</v>
      </c>
      <c r="Y33" s="627">
        <v>0</v>
      </c>
      <c r="Z33" s="602">
        <v>0</v>
      </c>
      <c r="AA33" s="393"/>
    </row>
    <row r="34" spans="1:29" ht="12.75" hidden="1" customHeight="1">
      <c r="A34" s="420" t="s">
        <v>582</v>
      </c>
      <c r="B34" s="379"/>
      <c r="C34" s="380"/>
      <c r="D34" s="380"/>
      <c r="E34" s="379"/>
      <c r="F34" s="381"/>
      <c r="G34" s="356"/>
      <c r="H34" s="357"/>
      <c r="I34" s="329"/>
      <c r="J34" s="528"/>
      <c r="K34" s="333"/>
      <c r="L34" s="382"/>
      <c r="M34" s="382"/>
      <c r="N34" s="382"/>
      <c r="O34" s="517"/>
      <c r="P34" s="532">
        <v>33</v>
      </c>
      <c r="Q34" s="431">
        <v>0</v>
      </c>
      <c r="R34" s="482">
        <v>0</v>
      </c>
      <c r="S34" s="491">
        <v>0</v>
      </c>
      <c r="T34" s="376">
        <v>0</v>
      </c>
      <c r="U34" s="459">
        <v>0</v>
      </c>
      <c r="V34" s="462">
        <v>0</v>
      </c>
      <c r="W34" s="383">
        <v>0</v>
      </c>
      <c r="X34" s="383">
        <v>0</v>
      </c>
      <c r="Y34" s="628">
        <v>0</v>
      </c>
      <c r="Z34" s="603">
        <v>0</v>
      </c>
      <c r="AA34" s="393"/>
    </row>
    <row r="35" spans="1:29" ht="12.75" hidden="1" customHeight="1">
      <c r="A35" s="419" t="s">
        <v>583</v>
      </c>
      <c r="B35" s="322"/>
      <c r="C35" s="343"/>
      <c r="D35" s="343"/>
      <c r="E35" s="322"/>
      <c r="F35" s="340"/>
      <c r="G35" s="326"/>
      <c r="H35" s="337"/>
      <c r="I35" s="328"/>
      <c r="J35" s="522"/>
      <c r="K35" s="332"/>
      <c r="L35" s="335"/>
      <c r="M35" s="335"/>
      <c r="N35" s="335"/>
      <c r="O35" s="515"/>
      <c r="P35" s="531">
        <v>34</v>
      </c>
      <c r="Q35" s="430">
        <v>0</v>
      </c>
      <c r="R35" s="480">
        <v>0</v>
      </c>
      <c r="S35" s="486">
        <v>0</v>
      </c>
      <c r="T35" s="377">
        <v>0</v>
      </c>
      <c r="U35" s="460">
        <v>0</v>
      </c>
      <c r="V35" s="461">
        <v>0</v>
      </c>
      <c r="W35" s="279">
        <v>0</v>
      </c>
      <c r="X35" s="279">
        <v>0</v>
      </c>
      <c r="Y35" s="627">
        <v>0</v>
      </c>
      <c r="Z35" s="602">
        <v>0</v>
      </c>
      <c r="AA35" s="393"/>
    </row>
    <row r="36" spans="1:29" ht="12.75" hidden="1" customHeight="1">
      <c r="A36" s="420" t="s">
        <v>575</v>
      </c>
      <c r="B36" s="379"/>
      <c r="C36" s="380"/>
      <c r="D36" s="380"/>
      <c r="E36" s="379"/>
      <c r="F36" s="381"/>
      <c r="G36" s="356"/>
      <c r="H36" s="357"/>
      <c r="I36" s="329"/>
      <c r="J36" s="528"/>
      <c r="K36" s="333"/>
      <c r="L36" s="382"/>
      <c r="M36" s="382"/>
      <c r="N36" s="382"/>
      <c r="O36" s="517"/>
      <c r="P36" s="532">
        <v>35</v>
      </c>
      <c r="Q36" s="431">
        <v>0</v>
      </c>
      <c r="R36" s="482">
        <v>0</v>
      </c>
      <c r="S36" s="491">
        <v>0</v>
      </c>
      <c r="T36" s="376">
        <v>0</v>
      </c>
      <c r="U36" s="459">
        <v>0</v>
      </c>
      <c r="V36" s="462">
        <v>0</v>
      </c>
      <c r="W36" s="383">
        <v>0</v>
      </c>
      <c r="X36" s="383">
        <v>0</v>
      </c>
      <c r="Y36" s="628">
        <v>0</v>
      </c>
      <c r="Z36" s="603">
        <v>0</v>
      </c>
      <c r="AA36" s="393"/>
    </row>
    <row r="37" spans="1:29" ht="12.75" hidden="1" customHeight="1">
      <c r="A37" s="419" t="s">
        <v>576</v>
      </c>
      <c r="B37" s="322"/>
      <c r="C37" s="343"/>
      <c r="D37" s="343"/>
      <c r="E37" s="322"/>
      <c r="F37" s="340"/>
      <c r="G37" s="326"/>
      <c r="H37" s="337"/>
      <c r="I37" s="328"/>
      <c r="J37" s="522"/>
      <c r="K37" s="332"/>
      <c r="L37" s="335"/>
      <c r="M37" s="335"/>
      <c r="N37" s="335"/>
      <c r="O37" s="515"/>
      <c r="P37" s="531">
        <v>36</v>
      </c>
      <c r="Q37" s="430">
        <v>0</v>
      </c>
      <c r="R37" s="480">
        <v>0</v>
      </c>
      <c r="S37" s="486">
        <v>0</v>
      </c>
      <c r="T37" s="377">
        <v>0</v>
      </c>
      <c r="U37" s="460">
        <v>0</v>
      </c>
      <c r="V37" s="461">
        <v>0</v>
      </c>
      <c r="W37" s="279">
        <v>0</v>
      </c>
      <c r="X37" s="279">
        <v>0</v>
      </c>
      <c r="Y37" s="627">
        <v>0</v>
      </c>
      <c r="Z37" s="602">
        <v>0</v>
      </c>
      <c r="AA37" s="393"/>
    </row>
    <row r="38" spans="1:29" ht="12.75" hidden="1" customHeight="1">
      <c r="A38" s="420" t="s">
        <v>584</v>
      </c>
      <c r="B38" s="379"/>
      <c r="C38" s="380"/>
      <c r="D38" s="380"/>
      <c r="E38" s="379"/>
      <c r="F38" s="381"/>
      <c r="G38" s="356"/>
      <c r="H38" s="357"/>
      <c r="I38" s="329"/>
      <c r="J38" s="528"/>
      <c r="K38" s="333"/>
      <c r="L38" s="382"/>
      <c r="M38" s="382"/>
      <c r="N38" s="382"/>
      <c r="O38" s="517"/>
      <c r="P38" s="532">
        <v>37</v>
      </c>
      <c r="Q38" s="431">
        <v>0</v>
      </c>
      <c r="R38" s="482">
        <v>0</v>
      </c>
      <c r="S38" s="491">
        <v>0</v>
      </c>
      <c r="T38" s="376">
        <v>0</v>
      </c>
      <c r="U38" s="459">
        <v>0</v>
      </c>
      <c r="V38" s="462">
        <v>0</v>
      </c>
      <c r="W38" s="383">
        <v>0</v>
      </c>
      <c r="X38" s="383">
        <v>0</v>
      </c>
      <c r="Y38" s="628">
        <v>0</v>
      </c>
      <c r="Z38" s="603">
        <v>0</v>
      </c>
      <c r="AA38" s="393"/>
    </row>
    <row r="39" spans="1:29" ht="12.75" hidden="1" customHeight="1">
      <c r="A39" s="419" t="s">
        <v>577</v>
      </c>
      <c r="B39" s="322"/>
      <c r="C39" s="343"/>
      <c r="D39" s="343"/>
      <c r="E39" s="322"/>
      <c r="F39" s="340"/>
      <c r="G39" s="326"/>
      <c r="H39" s="337"/>
      <c r="I39" s="328"/>
      <c r="J39" s="522"/>
      <c r="K39" s="332"/>
      <c r="L39" s="335"/>
      <c r="M39" s="335"/>
      <c r="N39" s="335"/>
      <c r="O39" s="515"/>
      <c r="P39" s="531">
        <v>38</v>
      </c>
      <c r="Q39" s="430">
        <v>0</v>
      </c>
      <c r="R39" s="480">
        <v>0</v>
      </c>
      <c r="S39" s="486">
        <v>0</v>
      </c>
      <c r="T39" s="377">
        <v>0</v>
      </c>
      <c r="U39" s="460">
        <v>0</v>
      </c>
      <c r="V39" s="461">
        <v>0</v>
      </c>
      <c r="W39" s="279">
        <v>0</v>
      </c>
      <c r="X39" s="279">
        <v>0</v>
      </c>
      <c r="Y39" s="627">
        <v>0</v>
      </c>
      <c r="Z39" s="602">
        <v>0</v>
      </c>
      <c r="AA39" s="393"/>
    </row>
    <row r="40" spans="1:29" ht="12.75" hidden="1" customHeight="1">
      <c r="A40" s="420" t="s">
        <v>578</v>
      </c>
      <c r="B40" s="379"/>
      <c r="C40" s="380"/>
      <c r="D40" s="380"/>
      <c r="E40" s="379"/>
      <c r="F40" s="381"/>
      <c r="G40" s="356"/>
      <c r="H40" s="357"/>
      <c r="I40" s="329"/>
      <c r="J40" s="528"/>
      <c r="K40" s="333"/>
      <c r="L40" s="382"/>
      <c r="M40" s="382"/>
      <c r="N40" s="382"/>
      <c r="O40" s="517"/>
      <c r="P40" s="532">
        <v>39</v>
      </c>
      <c r="Q40" s="431">
        <v>0</v>
      </c>
      <c r="R40" s="482">
        <v>0</v>
      </c>
      <c r="S40" s="491">
        <v>0</v>
      </c>
      <c r="T40" s="376">
        <v>0</v>
      </c>
      <c r="U40" s="459">
        <v>0</v>
      </c>
      <c r="V40" s="462">
        <v>0</v>
      </c>
      <c r="W40" s="383">
        <v>0</v>
      </c>
      <c r="X40" s="383">
        <v>0</v>
      </c>
      <c r="Y40" s="628">
        <v>0</v>
      </c>
      <c r="Z40" s="603">
        <v>0</v>
      </c>
      <c r="AA40" s="393"/>
    </row>
    <row r="41" spans="1:29" ht="12.75" hidden="1" customHeight="1">
      <c r="A41" s="451" t="s">
        <v>585</v>
      </c>
      <c r="B41" s="448"/>
      <c r="C41" s="452"/>
      <c r="D41" s="452"/>
      <c r="E41" s="448"/>
      <c r="F41" s="453"/>
      <c r="G41" s="441"/>
      <c r="H41" s="442"/>
      <c r="I41" s="443"/>
      <c r="J41" s="524"/>
      <c r="K41" s="445"/>
      <c r="L41" s="444"/>
      <c r="M41" s="444"/>
      <c r="N41" s="444"/>
      <c r="O41" s="516"/>
      <c r="P41" s="531">
        <v>40</v>
      </c>
      <c r="Q41" s="542">
        <v>0</v>
      </c>
      <c r="R41" s="483">
        <v>0</v>
      </c>
      <c r="S41" s="488">
        <v>0</v>
      </c>
      <c r="T41" s="454">
        <v>0</v>
      </c>
      <c r="U41" s="460">
        <v>0</v>
      </c>
      <c r="V41" s="461">
        <v>0</v>
      </c>
      <c r="W41" s="496">
        <v>0</v>
      </c>
      <c r="X41" s="496">
        <v>0</v>
      </c>
      <c r="Y41" s="629">
        <v>0</v>
      </c>
      <c r="Z41" s="604">
        <v>0</v>
      </c>
      <c r="AA41" s="393"/>
    </row>
    <row r="42" spans="1:29" ht="12.75" hidden="1" customHeight="1">
      <c r="A42" s="466" t="s">
        <v>335</v>
      </c>
      <c r="B42" s="387"/>
      <c r="C42" s="323"/>
      <c r="D42" s="403"/>
      <c r="E42" s="387"/>
      <c r="F42" s="404"/>
      <c r="G42" s="339"/>
      <c r="H42" s="338"/>
      <c r="I42" s="330"/>
      <c r="J42" s="525"/>
      <c r="K42" s="334"/>
      <c r="L42" s="397"/>
      <c r="M42" s="334"/>
      <c r="N42" s="397"/>
      <c r="O42" s="514"/>
      <c r="P42" s="532">
        <v>41</v>
      </c>
      <c r="Q42" s="433">
        <v>0</v>
      </c>
      <c r="R42" s="479">
        <v>0</v>
      </c>
      <c r="S42" s="489">
        <v>0</v>
      </c>
      <c r="T42" s="378">
        <v>0</v>
      </c>
      <c r="U42" s="459">
        <v>0</v>
      </c>
      <c r="V42" s="462">
        <v>0</v>
      </c>
      <c r="W42" s="495">
        <v>0</v>
      </c>
      <c r="X42" s="319">
        <v>0</v>
      </c>
      <c r="Y42" s="619">
        <f>(C43*(1-$V$1))-D42</f>
        <v>0</v>
      </c>
      <c r="Z42" s="605">
        <f>($F42/100*$X$1)-($F43/100*$W$1)+($F43/100*$W$1*($AE$1*$AD$1))</f>
        <v>0</v>
      </c>
      <c r="AA42" s="640" t="str">
        <f>MID($A42,1,5)</f>
        <v xml:space="preserve">GGAL </v>
      </c>
    </row>
    <row r="43" spans="1:29" ht="12.75" hidden="1" customHeight="1">
      <c r="A43" s="545" t="s">
        <v>336</v>
      </c>
      <c r="B43" s="456"/>
      <c r="C43" s="457"/>
      <c r="D43" s="457"/>
      <c r="E43" s="456"/>
      <c r="F43" s="408"/>
      <c r="G43" s="398"/>
      <c r="H43" s="399"/>
      <c r="I43" s="400"/>
      <c r="J43" s="527"/>
      <c r="K43" s="401"/>
      <c r="L43" s="405"/>
      <c r="M43" s="401"/>
      <c r="N43" s="405"/>
      <c r="O43" s="518"/>
      <c r="P43" s="531">
        <v>42</v>
      </c>
      <c r="Q43" s="432">
        <v>0</v>
      </c>
      <c r="R43" s="484">
        <v>0</v>
      </c>
      <c r="S43" s="492">
        <v>0</v>
      </c>
      <c r="T43" s="406">
        <v>0</v>
      </c>
      <c r="U43" s="460">
        <v>0</v>
      </c>
      <c r="V43" s="461">
        <v>0</v>
      </c>
      <c r="W43" s="458">
        <v>0</v>
      </c>
      <c r="X43" s="415">
        <v>0</v>
      </c>
      <c r="Y43" s="620">
        <f>IFERROR(((C43-D42)/100)/D42*100,0)</f>
        <v>0</v>
      </c>
      <c r="Z43" s="606">
        <f>$F43/100*$W$1*($AE$1*$AD$1)</f>
        <v>0</v>
      </c>
      <c r="AA43" s="648"/>
    </row>
    <row r="44" spans="1:29" ht="12.75" hidden="1" customHeight="1">
      <c r="A44" s="466" t="s">
        <v>621</v>
      </c>
      <c r="B44" s="387"/>
      <c r="C44" s="323"/>
      <c r="D44" s="403"/>
      <c r="E44" s="387"/>
      <c r="F44" s="499"/>
      <c r="G44" s="339"/>
      <c r="H44" s="338"/>
      <c r="I44" s="330"/>
      <c r="J44" s="525"/>
      <c r="K44" s="334"/>
      <c r="L44" s="397"/>
      <c r="M44" s="334"/>
      <c r="N44" s="397"/>
      <c r="O44" s="514"/>
      <c r="P44" s="532">
        <v>43</v>
      </c>
      <c r="Q44" s="433">
        <v>0</v>
      </c>
      <c r="R44" s="479">
        <v>0</v>
      </c>
      <c r="S44" s="489">
        <v>0</v>
      </c>
      <c r="T44" s="378">
        <v>0</v>
      </c>
      <c r="U44" s="459">
        <v>0</v>
      </c>
      <c r="V44" s="462">
        <v>0</v>
      </c>
      <c r="W44" s="500">
        <v>0</v>
      </c>
      <c r="X44" s="501">
        <v>0</v>
      </c>
      <c r="Y44" s="504">
        <f>($F45*(1-$V$1))-$F44</f>
        <v>0</v>
      </c>
      <c r="Z44" s="607">
        <f>($F44/100*$X$1)-($F45/100*$W$1)+($F45/100*$W$1*($AE$1*$AD$1))</f>
        <v>0</v>
      </c>
      <c r="AA44" s="646" t="str">
        <f>MID($A44,1,5)</f>
        <v xml:space="preserve">PAMP </v>
      </c>
    </row>
    <row r="45" spans="1:29" ht="12.75" hidden="1" customHeight="1">
      <c r="A45" s="465" t="s">
        <v>622</v>
      </c>
      <c r="B45" s="546"/>
      <c r="C45" s="547"/>
      <c r="D45" s="547"/>
      <c r="E45" s="546"/>
      <c r="F45" s="548"/>
      <c r="G45" s="441"/>
      <c r="H45" s="442"/>
      <c r="I45" s="443"/>
      <c r="J45" s="524"/>
      <c r="K45" s="445"/>
      <c r="L45" s="444"/>
      <c r="M45" s="445"/>
      <c r="N45" s="444"/>
      <c r="O45" s="549"/>
      <c r="P45" s="531">
        <v>44</v>
      </c>
      <c r="Q45" s="542">
        <v>0</v>
      </c>
      <c r="R45" s="483">
        <v>0</v>
      </c>
      <c r="S45" s="488">
        <v>0</v>
      </c>
      <c r="T45" s="454">
        <v>0</v>
      </c>
      <c r="U45" s="460">
        <v>0</v>
      </c>
      <c r="V45" s="461">
        <v>0</v>
      </c>
      <c r="W45" s="551">
        <v>0</v>
      </c>
      <c r="X45" s="552">
        <v>0</v>
      </c>
      <c r="Y45" s="621">
        <f>IFERROR((($F45-$F44)/100)/$F44*100,0)</f>
        <v>0</v>
      </c>
      <c r="Z45" s="608">
        <f>$F45/100*$W$1*($AE$1*$AD$1)</f>
        <v>0</v>
      </c>
      <c r="AA45" s="647"/>
    </row>
    <row r="46" spans="1:29" ht="12.75" customHeight="1">
      <c r="A46" s="466" t="s">
        <v>13</v>
      </c>
      <c r="B46" s="385">
        <v>1467</v>
      </c>
      <c r="C46" s="323">
        <v>39100</v>
      </c>
      <c r="D46" s="407">
        <v>39200</v>
      </c>
      <c r="E46" s="572">
        <v>1</v>
      </c>
      <c r="F46" s="575">
        <v>39100</v>
      </c>
      <c r="G46" s="339">
        <v>1.0800000000000001E-2</v>
      </c>
      <c r="H46" s="338">
        <v>40000</v>
      </c>
      <c r="I46" s="330">
        <v>42421.5</v>
      </c>
      <c r="J46" s="525">
        <v>37950</v>
      </c>
      <c r="K46" s="334">
        <v>38680</v>
      </c>
      <c r="L46" s="397">
        <v>49916752662</v>
      </c>
      <c r="M46" s="334">
        <v>126156446</v>
      </c>
      <c r="N46" s="397">
        <v>76005</v>
      </c>
      <c r="O46" s="514">
        <v>45273.687754629631</v>
      </c>
      <c r="P46" s="532">
        <v>45</v>
      </c>
      <c r="Q46" s="433">
        <v>0</v>
      </c>
      <c r="R46" s="479">
        <v>0</v>
      </c>
      <c r="S46" s="489">
        <v>0</v>
      </c>
      <c r="T46" s="378">
        <v>0</v>
      </c>
      <c r="U46" s="459">
        <v>0</v>
      </c>
      <c r="V46" s="580">
        <v>0</v>
      </c>
      <c r="W46" s="584" t="str">
        <f>IF(X46&gt;0,(F46*V46/100)-(V46*X46),"")</f>
        <v/>
      </c>
      <c r="X46" s="584">
        <v>0</v>
      </c>
      <c r="Y46" s="550">
        <f>($C47*(1-$V$1))-$D46</f>
        <v>422.39600000000064</v>
      </c>
      <c r="Z46" s="609">
        <f>($F46/100*$X$1)-($F47/100*$W$1)+($F47/100*$W$1*($AE$1*$AD$1))</f>
        <v>-44.411951780822008</v>
      </c>
      <c r="AA46" s="649" t="str">
        <f>MID($A46,1,5)</f>
        <v xml:space="preserve">AL30 </v>
      </c>
      <c r="AB46" s="38"/>
      <c r="AC46" s="384"/>
    </row>
    <row r="47" spans="1:29" ht="12.75" customHeight="1">
      <c r="A47" s="464" t="s">
        <v>2</v>
      </c>
      <c r="B47" s="346">
        <v>3000</v>
      </c>
      <c r="C47" s="348">
        <v>39670</v>
      </c>
      <c r="D47" s="348">
        <v>39699</v>
      </c>
      <c r="E47" s="573">
        <v>89327</v>
      </c>
      <c r="F47" s="576">
        <v>39699</v>
      </c>
      <c r="G47" s="326">
        <v>2.58E-2</v>
      </c>
      <c r="H47" s="337">
        <v>40615</v>
      </c>
      <c r="I47" s="328">
        <v>42787.5</v>
      </c>
      <c r="J47" s="522">
        <v>38106</v>
      </c>
      <c r="K47" s="332">
        <v>38700</v>
      </c>
      <c r="L47" s="335">
        <v>87965682163</v>
      </c>
      <c r="M47" s="332">
        <v>222094962</v>
      </c>
      <c r="N47" s="335">
        <v>55506</v>
      </c>
      <c r="O47" s="515">
        <v>45273.708564814813</v>
      </c>
      <c r="P47" s="531">
        <v>46</v>
      </c>
      <c r="Q47" s="430">
        <v>0</v>
      </c>
      <c r="R47" s="480">
        <v>0</v>
      </c>
      <c r="S47" s="486">
        <v>0</v>
      </c>
      <c r="T47" s="377">
        <v>0</v>
      </c>
      <c r="U47" s="460">
        <v>0</v>
      </c>
      <c r="V47" s="581">
        <v>0</v>
      </c>
      <c r="W47" s="585" t="str">
        <f>IF(X47&gt;0,(F47*V47/100)-(V47*X47),"")</f>
        <v/>
      </c>
      <c r="X47" s="585">
        <v>0</v>
      </c>
      <c r="Y47" s="622">
        <f>IFERROR((($C47-$D46)/100)/$D46*100,0)</f>
        <v>1.1989795918367347E-2</v>
      </c>
      <c r="Z47" s="610">
        <f>$F47/100*$W$1*($AE$1*$AD$1)</f>
        <v>15.488048219178085</v>
      </c>
      <c r="AA47" s="641"/>
      <c r="AB47" s="38"/>
      <c r="AC47" s="390"/>
    </row>
    <row r="48" spans="1:29" ht="12.75" customHeight="1">
      <c r="A48" s="364" t="s">
        <v>15</v>
      </c>
      <c r="B48" s="353">
        <v>8952</v>
      </c>
      <c r="C48" s="354">
        <v>37.5</v>
      </c>
      <c r="D48" s="354">
        <v>39.9</v>
      </c>
      <c r="E48" s="353">
        <v>29748</v>
      </c>
      <c r="F48" s="355">
        <v>38.700000000000003</v>
      </c>
      <c r="G48" s="356">
        <v>3.8900000000000004E-2</v>
      </c>
      <c r="H48" s="357">
        <v>37.25</v>
      </c>
      <c r="I48" s="329">
        <v>40</v>
      </c>
      <c r="J48" s="528">
        <v>37.25</v>
      </c>
      <c r="K48" s="333">
        <v>37.25</v>
      </c>
      <c r="L48" s="382">
        <v>360686</v>
      </c>
      <c r="M48" s="333">
        <v>939349</v>
      </c>
      <c r="N48" s="382">
        <v>258</v>
      </c>
      <c r="O48" s="517">
        <v>45273.68277777778</v>
      </c>
      <c r="P48" s="532">
        <v>47</v>
      </c>
      <c r="Q48" s="431">
        <v>0</v>
      </c>
      <c r="R48" s="482">
        <v>0</v>
      </c>
      <c r="S48" s="491">
        <v>0</v>
      </c>
      <c r="T48" s="376">
        <v>0</v>
      </c>
      <c r="U48" s="459">
        <v>0</v>
      </c>
      <c r="V48" s="583">
        <v>0</v>
      </c>
      <c r="W48" s="584" t="str">
        <f t="shared" ref="W48:W51" si="20">IF(X48&gt;0,(F48*V48/100)-(V48*X48),"")</f>
        <v/>
      </c>
      <c r="X48" s="586">
        <v>0</v>
      </c>
      <c r="Y48" s="493">
        <f>($F49*(1-$V$1))-$F48</f>
        <v>5.3439999999994825E-2</v>
      </c>
      <c r="Z48" s="598">
        <f>IFERROR(F46/F48,0)</f>
        <v>1010.3359173126614</v>
      </c>
      <c r="AA48" s="559">
        <f>IFERROR($AB$1/(F48/100)*(F46/100),"")</f>
        <v>530426.35658914724</v>
      </c>
      <c r="AB48" s="421">
        <f>IFERROR((AA48/(F46/100))*(F48/100),"")</f>
        <v>525</v>
      </c>
      <c r="AC48" s="390"/>
    </row>
    <row r="49" spans="1:29" ht="12.75" customHeight="1">
      <c r="A49" s="344" t="s">
        <v>3</v>
      </c>
      <c r="B49" s="345">
        <v>145069</v>
      </c>
      <c r="C49" s="347">
        <v>38.799999999999997</v>
      </c>
      <c r="D49" s="347">
        <v>38.99</v>
      </c>
      <c r="E49" s="345">
        <v>3000</v>
      </c>
      <c r="F49" s="349">
        <v>38.799999999999997</v>
      </c>
      <c r="G49" s="326">
        <v>5.57E-2</v>
      </c>
      <c r="H49" s="337">
        <v>37.838000000000001</v>
      </c>
      <c r="I49" s="328">
        <v>39</v>
      </c>
      <c r="J49" s="522">
        <v>37.51</v>
      </c>
      <c r="K49" s="332">
        <v>36.75</v>
      </c>
      <c r="L49" s="335">
        <v>58560</v>
      </c>
      <c r="M49" s="332">
        <v>152708</v>
      </c>
      <c r="N49" s="335">
        <v>33</v>
      </c>
      <c r="O49" s="515">
        <v>45273.696909722225</v>
      </c>
      <c r="P49" s="531">
        <v>48</v>
      </c>
      <c r="Q49" s="430">
        <v>0</v>
      </c>
      <c r="R49" s="480">
        <v>0</v>
      </c>
      <c r="S49" s="486">
        <v>0</v>
      </c>
      <c r="T49" s="377">
        <v>0</v>
      </c>
      <c r="U49" s="460">
        <v>0</v>
      </c>
      <c r="V49" s="582">
        <v>0</v>
      </c>
      <c r="W49" s="585" t="str">
        <f t="shared" si="20"/>
        <v/>
      </c>
      <c r="X49" s="585">
        <v>0</v>
      </c>
      <c r="Y49" s="503">
        <f>IFERROR((($F49-$F48)/100)/$F48*100,0)</f>
        <v>2.5839793281652278E-3</v>
      </c>
      <c r="Z49" s="611">
        <f>IFERROR(F47/F49,0)</f>
        <v>1023.1701030927836</v>
      </c>
      <c r="AA49" s="560">
        <f>IFERROR($AB$1/(F49/100)*(F47/100),"")</f>
        <v>537164.30412371142</v>
      </c>
      <c r="AB49" s="421">
        <f>IFERROR((AA49/(F47/100))*(F49/100),"")</f>
        <v>525</v>
      </c>
      <c r="AC49" s="390"/>
    </row>
    <row r="50" spans="1:29" ht="12.75" customHeight="1">
      <c r="A50" s="364" t="s">
        <v>14</v>
      </c>
      <c r="B50" s="358">
        <v>3806</v>
      </c>
      <c r="C50" s="354">
        <v>38.25</v>
      </c>
      <c r="D50" s="354">
        <v>38.799999999999997</v>
      </c>
      <c r="E50" s="358">
        <v>55373</v>
      </c>
      <c r="F50" s="355">
        <v>38.79</v>
      </c>
      <c r="G50" s="356">
        <v>5.3699999999999998E-2</v>
      </c>
      <c r="H50" s="357">
        <v>37</v>
      </c>
      <c r="I50" s="329">
        <v>38.799999999999997</v>
      </c>
      <c r="J50" s="528">
        <v>37</v>
      </c>
      <c r="K50" s="333">
        <v>36.81</v>
      </c>
      <c r="L50" s="382">
        <v>22235475</v>
      </c>
      <c r="M50" s="333">
        <v>58693292</v>
      </c>
      <c r="N50" s="382">
        <v>25040</v>
      </c>
      <c r="O50" s="517">
        <v>45273.687708333331</v>
      </c>
      <c r="P50" s="532">
        <v>49</v>
      </c>
      <c r="Q50" s="431">
        <v>0</v>
      </c>
      <c r="R50" s="482">
        <v>0</v>
      </c>
      <c r="S50" s="491">
        <v>0</v>
      </c>
      <c r="T50" s="376">
        <v>0</v>
      </c>
      <c r="U50" s="459">
        <v>0</v>
      </c>
      <c r="V50" s="577">
        <v>0</v>
      </c>
      <c r="W50" s="584" t="str">
        <f t="shared" si="20"/>
        <v/>
      </c>
      <c r="X50" s="586">
        <v>0</v>
      </c>
      <c r="Y50" s="494">
        <f>($C51*(1-$V$1))-$D50</f>
        <v>-0.7457199999999915</v>
      </c>
      <c r="Z50" s="612">
        <f>IFERROR(F46/F50,0)</f>
        <v>1007.9917504511473</v>
      </c>
      <c r="AA50" s="559">
        <f>IFERROR($AB$1/(F50/100)*(F46/100),"")</f>
        <v>529195.6689868524</v>
      </c>
      <c r="AB50" s="421">
        <f>IFERROR((AA50/(F46/100))*(F50/100),"")</f>
        <v>525</v>
      </c>
      <c r="AC50" s="390"/>
    </row>
    <row r="51" spans="1:29" ht="12.75" customHeight="1">
      <c r="A51" s="411" t="s">
        <v>4</v>
      </c>
      <c r="B51" s="412">
        <v>665</v>
      </c>
      <c r="C51" s="413">
        <v>38.1</v>
      </c>
      <c r="D51" s="413">
        <v>38.18</v>
      </c>
      <c r="E51" s="412">
        <v>8095</v>
      </c>
      <c r="F51" s="408">
        <v>38.15</v>
      </c>
      <c r="G51" s="398">
        <v>3.49E-2</v>
      </c>
      <c r="H51" s="399">
        <v>37.5</v>
      </c>
      <c r="I51" s="400">
        <v>41.15</v>
      </c>
      <c r="J51" s="527">
        <v>37.25</v>
      </c>
      <c r="K51" s="401">
        <v>36.86</v>
      </c>
      <c r="L51" s="405">
        <v>12717210</v>
      </c>
      <c r="M51" s="401">
        <v>33587826</v>
      </c>
      <c r="N51" s="405">
        <v>15983</v>
      </c>
      <c r="O51" s="518">
        <v>45273.708472222221</v>
      </c>
      <c r="P51" s="531">
        <v>50</v>
      </c>
      <c r="Q51" s="432">
        <v>0</v>
      </c>
      <c r="R51" s="484">
        <v>0</v>
      </c>
      <c r="S51" s="492">
        <v>0</v>
      </c>
      <c r="T51" s="406">
        <v>0</v>
      </c>
      <c r="U51" s="460">
        <v>0</v>
      </c>
      <c r="V51" s="461">
        <v>0</v>
      </c>
      <c r="W51" s="588" t="str">
        <f t="shared" si="20"/>
        <v/>
      </c>
      <c r="X51" s="587">
        <v>0</v>
      </c>
      <c r="Y51" s="502">
        <f>IFERROR((($F51-$F50)/100)/$F50*100,0)</f>
        <v>-1.649909770559424E-2</v>
      </c>
      <c r="Z51" s="613">
        <f>IFERROR(F47/F51,0)</f>
        <v>1040.602883355177</v>
      </c>
      <c r="AA51" s="561">
        <f>IFERROR($AB$1/(F51/100)*(F47/100),"")</f>
        <v>546316.51376146788</v>
      </c>
      <c r="AB51" s="421">
        <f>IFERROR((AA51/(F47/100))*(F51/100),"")</f>
        <v>525</v>
      </c>
      <c r="AC51" s="390"/>
    </row>
    <row r="52" spans="1:29" ht="12.75" customHeight="1">
      <c r="A52" s="466" t="s">
        <v>16</v>
      </c>
      <c r="B52" s="385">
        <v>47</v>
      </c>
      <c r="C52" s="323">
        <v>42129</v>
      </c>
      <c r="D52" s="407">
        <v>42300</v>
      </c>
      <c r="E52" s="385">
        <v>5837</v>
      </c>
      <c r="F52" s="575">
        <v>42300</v>
      </c>
      <c r="G52" s="410">
        <v>9.4999999999999998E-3</v>
      </c>
      <c r="H52" s="338">
        <v>42300.5</v>
      </c>
      <c r="I52" s="330">
        <v>49304</v>
      </c>
      <c r="J52" s="525">
        <v>41100</v>
      </c>
      <c r="K52" s="334">
        <v>41900</v>
      </c>
      <c r="L52" s="397">
        <v>4816209044</v>
      </c>
      <c r="M52" s="334">
        <v>11191034</v>
      </c>
      <c r="N52" s="397">
        <v>4540</v>
      </c>
      <c r="O52" s="514">
        <v>45273.687685185185</v>
      </c>
      <c r="P52" s="532">
        <v>51</v>
      </c>
      <c r="Q52" s="433">
        <v>0</v>
      </c>
      <c r="R52" s="479">
        <v>0</v>
      </c>
      <c r="S52" s="489">
        <v>0</v>
      </c>
      <c r="T52" s="378">
        <v>0</v>
      </c>
      <c r="U52" s="459">
        <v>0</v>
      </c>
      <c r="V52" s="580">
        <v>0</v>
      </c>
      <c r="W52" s="584" t="str">
        <f>IF(X52&gt;0,(F52*V52/100)-(V52*X52),"")</f>
        <v/>
      </c>
      <c r="X52" s="584">
        <v>0</v>
      </c>
      <c r="Y52" s="550">
        <f>($C53*(1-$V$1))-$D52</f>
        <v>608.44800000000396</v>
      </c>
      <c r="Z52" s="609">
        <f>($F52/100*$X$1)-($F53/100*$W$1)+($F53/100*$W$1*($AE$1*$AD$1))</f>
        <v>-62.089387397259912</v>
      </c>
      <c r="AA52" s="640" t="str">
        <f>MID($A52,1,5)</f>
        <v xml:space="preserve">GD30 </v>
      </c>
      <c r="AB52" s="38"/>
      <c r="AC52" s="390"/>
    </row>
    <row r="53" spans="1:29" ht="12.75" customHeight="1">
      <c r="A53" s="464" t="s">
        <v>5</v>
      </c>
      <c r="B53" s="346">
        <v>47000</v>
      </c>
      <c r="C53" s="348">
        <v>42960</v>
      </c>
      <c r="D53" s="348">
        <v>43089</v>
      </c>
      <c r="E53" s="346">
        <v>1128</v>
      </c>
      <c r="F53" s="576">
        <v>43089</v>
      </c>
      <c r="G53" s="350">
        <v>2.7699999999999999E-2</v>
      </c>
      <c r="H53" s="337">
        <v>43202</v>
      </c>
      <c r="I53" s="328">
        <v>50000</v>
      </c>
      <c r="J53" s="522">
        <v>41300</v>
      </c>
      <c r="K53" s="332">
        <v>41925</v>
      </c>
      <c r="L53" s="335">
        <v>25194953124</v>
      </c>
      <c r="M53" s="332">
        <v>58660617</v>
      </c>
      <c r="N53" s="335">
        <v>5455</v>
      </c>
      <c r="O53" s="515">
        <v>45273.708587962959</v>
      </c>
      <c r="P53" s="531">
        <v>52</v>
      </c>
      <c r="Q53" s="430">
        <v>0</v>
      </c>
      <c r="R53" s="480">
        <v>0</v>
      </c>
      <c r="S53" s="486">
        <v>0</v>
      </c>
      <c r="T53" s="377">
        <v>0</v>
      </c>
      <c r="U53" s="460">
        <v>0</v>
      </c>
      <c r="V53" s="581">
        <v>0</v>
      </c>
      <c r="W53" s="585" t="str">
        <f>IF(X53&gt;0,(F53*V53/100)-(V53*X53),"")</f>
        <v/>
      </c>
      <c r="X53" s="585">
        <v>0</v>
      </c>
      <c r="Y53" s="622">
        <f>IFERROR((($C53-$D52)/100)/$D52*100,0)</f>
        <v>1.5602836879432624E-2</v>
      </c>
      <c r="Z53" s="610">
        <f>$F53/100*$W$1*($AE$1*$AD$1)</f>
        <v>16.810612602739727</v>
      </c>
      <c r="AA53" s="641"/>
      <c r="AB53" s="38"/>
      <c r="AC53" s="390"/>
    </row>
    <row r="54" spans="1:29" ht="12.75" customHeight="1">
      <c r="A54" s="364" t="s">
        <v>17</v>
      </c>
      <c r="B54" s="353">
        <v>493854</v>
      </c>
      <c r="C54" s="354">
        <v>40.5</v>
      </c>
      <c r="D54" s="354">
        <v>43</v>
      </c>
      <c r="E54" s="353">
        <v>7674</v>
      </c>
      <c r="F54" s="355">
        <v>40.5</v>
      </c>
      <c r="G54" s="356">
        <v>-5.4800000000000001E-2</v>
      </c>
      <c r="H54" s="357">
        <v>45.99</v>
      </c>
      <c r="I54" s="329">
        <v>45.99</v>
      </c>
      <c r="J54" s="528">
        <v>40.5</v>
      </c>
      <c r="K54" s="333">
        <v>42.85</v>
      </c>
      <c r="L54" s="382">
        <v>66906</v>
      </c>
      <c r="M54" s="333">
        <v>156493</v>
      </c>
      <c r="N54" s="382">
        <v>58</v>
      </c>
      <c r="O54" s="517">
        <v>45273.682604166665</v>
      </c>
      <c r="P54" s="532">
        <v>53</v>
      </c>
      <c r="Q54" s="431">
        <v>0</v>
      </c>
      <c r="R54" s="482">
        <v>0</v>
      </c>
      <c r="S54" s="491">
        <v>0</v>
      </c>
      <c r="T54" s="376">
        <v>0</v>
      </c>
      <c r="U54" s="459">
        <v>0</v>
      </c>
      <c r="V54" s="583">
        <v>0</v>
      </c>
      <c r="W54" s="584" t="str">
        <f t="shared" ref="W54:W117" si="21">IF(X54&gt;0,(F54*V54/100)-(V54*X54),"")</f>
        <v/>
      </c>
      <c r="X54" s="586">
        <v>0</v>
      </c>
      <c r="Y54" s="493">
        <f>($F55*(1-$V$1))-$F54</f>
        <v>2.8928659999999979</v>
      </c>
      <c r="Z54" s="598">
        <f>IFERROR(F52/F54,0)</f>
        <v>1044.4444444444443</v>
      </c>
      <c r="AA54" s="559">
        <f>IFERROR($AB$1/(F54/100)*(F52/100),"")</f>
        <v>548333.33333333337</v>
      </c>
      <c r="AB54" s="421">
        <f>IFERROR((AA54/(F52/100))*(F54/100),"")</f>
        <v>525</v>
      </c>
      <c r="AC54" s="390"/>
    </row>
    <row r="55" spans="1:29" ht="12.75" customHeight="1">
      <c r="A55" s="544" t="s">
        <v>6</v>
      </c>
      <c r="B55" s="345">
        <v>5423</v>
      </c>
      <c r="C55" s="347">
        <v>42</v>
      </c>
      <c r="D55" s="347">
        <v>43</v>
      </c>
      <c r="E55" s="345">
        <v>66138</v>
      </c>
      <c r="F55" s="349">
        <v>43.445</v>
      </c>
      <c r="G55" s="326">
        <v>4.5999999999999999E-3</v>
      </c>
      <c r="H55" s="337">
        <v>43.5</v>
      </c>
      <c r="I55" s="328">
        <v>43.5</v>
      </c>
      <c r="J55" s="522">
        <v>42</v>
      </c>
      <c r="K55" s="332">
        <v>43.244999999999997</v>
      </c>
      <c r="L55" s="335">
        <v>18800</v>
      </c>
      <c r="M55" s="332">
        <v>44122</v>
      </c>
      <c r="N55" s="335">
        <v>5</v>
      </c>
      <c r="O55" s="515">
        <v>45273.659097222226</v>
      </c>
      <c r="P55" s="531">
        <v>54</v>
      </c>
      <c r="Q55" s="430">
        <v>0</v>
      </c>
      <c r="R55" s="480">
        <v>0</v>
      </c>
      <c r="S55" s="486">
        <v>0</v>
      </c>
      <c r="T55" s="377">
        <v>0</v>
      </c>
      <c r="U55" s="460">
        <v>0</v>
      </c>
      <c r="V55" s="582">
        <v>0</v>
      </c>
      <c r="W55" s="585" t="str">
        <f t="shared" si="21"/>
        <v/>
      </c>
      <c r="X55" s="585">
        <v>0</v>
      </c>
      <c r="Y55" s="503">
        <f>IFERROR((($F55-$F54)/100)/$F54*100,0)</f>
        <v>7.2716049382716058E-2</v>
      </c>
      <c r="Z55" s="611">
        <f>IFERROR(F53/F55,0)</f>
        <v>991.80573138450916</v>
      </c>
      <c r="AA55" s="560">
        <f>IFERROR($AB$1/(F55/100)*(F53/100),"")</f>
        <v>520698.00897686731</v>
      </c>
      <c r="AB55" s="421">
        <f>IFERROR((AA55/(F53/100))*(F55/100),"")</f>
        <v>525</v>
      </c>
      <c r="AC55" s="390"/>
    </row>
    <row r="56" spans="1:29" ht="12.75" customHeight="1">
      <c r="A56" s="364" t="s">
        <v>18</v>
      </c>
      <c r="B56" s="358">
        <v>500000</v>
      </c>
      <c r="C56" s="354">
        <v>42</v>
      </c>
      <c r="D56" s="354">
        <v>42</v>
      </c>
      <c r="E56" s="358">
        <v>2030</v>
      </c>
      <c r="F56" s="355">
        <v>41.95</v>
      </c>
      <c r="G56" s="356">
        <v>-1.1000000000000001E-3</v>
      </c>
      <c r="H56" s="357">
        <v>43</v>
      </c>
      <c r="I56" s="329">
        <v>45.5</v>
      </c>
      <c r="J56" s="528">
        <v>40.5</v>
      </c>
      <c r="K56" s="333">
        <v>42</v>
      </c>
      <c r="L56" s="382">
        <v>944458</v>
      </c>
      <c r="M56" s="333">
        <v>2167515</v>
      </c>
      <c r="N56" s="382">
        <v>1462</v>
      </c>
      <c r="O56" s="517">
        <v>45273.684305555558</v>
      </c>
      <c r="P56" s="532">
        <v>55</v>
      </c>
      <c r="Q56" s="431">
        <v>0</v>
      </c>
      <c r="R56" s="482">
        <v>0</v>
      </c>
      <c r="S56" s="491">
        <v>0</v>
      </c>
      <c r="T56" s="376">
        <v>0</v>
      </c>
      <c r="U56" s="459">
        <v>0</v>
      </c>
      <c r="V56" s="577">
        <v>23</v>
      </c>
      <c r="W56" s="584">
        <f t="shared" si="21"/>
        <v>1.2190000000000012</v>
      </c>
      <c r="X56" s="586">
        <v>0.36649999999999999</v>
      </c>
      <c r="Y56" s="494">
        <f>($F57*(1-$V$1))-$F56</f>
        <v>-0.45984800000000092</v>
      </c>
      <c r="Z56" s="612">
        <f>IFERROR(F52/F56,0)</f>
        <v>1008.3432657926102</v>
      </c>
      <c r="AA56" s="559">
        <f>IFERROR($AB$1/(F56/100)*(F52/100),"")</f>
        <v>529380.21454112034</v>
      </c>
      <c r="AB56" s="421">
        <f>IFERROR((AA56/(F52/100))*(F56/100),"")</f>
        <v>525</v>
      </c>
    </row>
    <row r="57" spans="1:29" ht="12.75" customHeight="1">
      <c r="A57" s="467" t="s">
        <v>7</v>
      </c>
      <c r="B57" s="414">
        <v>166</v>
      </c>
      <c r="C57" s="413">
        <v>41.55</v>
      </c>
      <c r="D57" s="413">
        <v>42.12</v>
      </c>
      <c r="E57" s="412">
        <v>300</v>
      </c>
      <c r="F57" s="408">
        <v>41.54</v>
      </c>
      <c r="G57" s="398">
        <v>2.0999999999999999E-3</v>
      </c>
      <c r="H57" s="399">
        <v>42.9</v>
      </c>
      <c r="I57" s="400">
        <v>44.85</v>
      </c>
      <c r="J57" s="527">
        <v>40.799999999999997</v>
      </c>
      <c r="K57" s="401">
        <v>41.45</v>
      </c>
      <c r="L57" s="434">
        <v>690673</v>
      </c>
      <c r="M57" s="401">
        <v>1623495</v>
      </c>
      <c r="N57" s="405">
        <v>647</v>
      </c>
      <c r="O57" s="518">
        <v>45273.705428240741</v>
      </c>
      <c r="P57" s="531">
        <v>56</v>
      </c>
      <c r="Q57" s="432">
        <v>0</v>
      </c>
      <c r="R57" s="484">
        <v>0</v>
      </c>
      <c r="S57" s="492">
        <v>0</v>
      </c>
      <c r="T57" s="406">
        <v>0</v>
      </c>
      <c r="U57" s="460">
        <v>0</v>
      </c>
      <c r="V57" s="461">
        <v>23</v>
      </c>
      <c r="W57" s="588">
        <f t="shared" si="21"/>
        <v>1.1247000000000007</v>
      </c>
      <c r="X57" s="587">
        <v>0.36649999999999999</v>
      </c>
      <c r="Y57" s="502">
        <f>IFERROR((($F57-$F56)/100)/$F56*100,0)</f>
        <v>-9.7735399284863793E-3</v>
      </c>
      <c r="Z57" s="613">
        <f>IFERROR(F53/F57,0)</f>
        <v>1037.2893596533461</v>
      </c>
      <c r="AA57" s="561">
        <f>IFERROR($AB$1/(F57/100)*(F53/100),"")</f>
        <v>544576.91381800675</v>
      </c>
      <c r="AB57" s="421">
        <f>IFERROR((AA57/(F53/100))*(F57/100),"")</f>
        <v>525</v>
      </c>
    </row>
    <row r="58" spans="1:29" ht="12.75" customHeight="1">
      <c r="A58" s="466" t="s">
        <v>615</v>
      </c>
      <c r="B58" s="385">
        <v>88</v>
      </c>
      <c r="C58" s="323">
        <v>76950</v>
      </c>
      <c r="D58" s="407">
        <v>77998</v>
      </c>
      <c r="E58" s="385">
        <v>1</v>
      </c>
      <c r="F58" s="499">
        <v>76950.5</v>
      </c>
      <c r="G58" s="339">
        <v>-2.4399999999999998E-2</v>
      </c>
      <c r="H58" s="338">
        <v>84233</v>
      </c>
      <c r="I58" s="330">
        <v>84233</v>
      </c>
      <c r="J58" s="525">
        <v>74600.5</v>
      </c>
      <c r="K58" s="334">
        <v>78879.5</v>
      </c>
      <c r="L58" s="397">
        <v>33423241</v>
      </c>
      <c r="M58" s="334">
        <v>42862</v>
      </c>
      <c r="N58" s="397">
        <v>242</v>
      </c>
      <c r="O58" s="514">
        <v>45273.687604166669</v>
      </c>
      <c r="P58" s="532">
        <v>57</v>
      </c>
      <c r="Q58" s="433">
        <v>0</v>
      </c>
      <c r="R58" s="479">
        <v>0</v>
      </c>
      <c r="S58" s="489">
        <v>0</v>
      </c>
      <c r="T58" s="378">
        <v>0</v>
      </c>
      <c r="U58" s="459">
        <v>0</v>
      </c>
      <c r="V58" s="580">
        <v>0</v>
      </c>
      <c r="W58" s="584" t="str">
        <f t="shared" si="21"/>
        <v/>
      </c>
      <c r="X58" s="584">
        <v>0</v>
      </c>
      <c r="Y58" s="550">
        <f>($C59*(1-$V$1))-$D58</f>
        <v>-1289.6606000000029</v>
      </c>
      <c r="Z58" s="609">
        <f>($F58/100*$X$1)-($F59/100*$W$1)+($F59/100*$W$1*($AE$1*$AD$1))</f>
        <v>-60.37471452054794</v>
      </c>
      <c r="AA58" s="640" t="str">
        <f>MID($A58,1,5)</f>
        <v>MRCAO</v>
      </c>
      <c r="AB58" s="38"/>
      <c r="AC58"/>
    </row>
    <row r="59" spans="1:29" ht="12.75" customHeight="1">
      <c r="A59" s="464" t="s">
        <v>616</v>
      </c>
      <c r="B59" s="386">
        <v>800</v>
      </c>
      <c r="C59" s="348">
        <v>76800.5</v>
      </c>
      <c r="D59" s="348">
        <v>77858</v>
      </c>
      <c r="E59" s="346">
        <v>681</v>
      </c>
      <c r="F59" s="349">
        <v>77858</v>
      </c>
      <c r="G59" s="326">
        <v>7.000000000000001E-4</v>
      </c>
      <c r="H59" s="337">
        <v>86300</v>
      </c>
      <c r="I59" s="328">
        <v>86399</v>
      </c>
      <c r="J59" s="522">
        <v>73000</v>
      </c>
      <c r="K59" s="332">
        <v>77798</v>
      </c>
      <c r="L59" s="335">
        <v>248402782</v>
      </c>
      <c r="M59" s="332">
        <v>317942</v>
      </c>
      <c r="N59" s="335">
        <v>1300</v>
      </c>
      <c r="O59" s="515">
        <v>45273.708391203705</v>
      </c>
      <c r="P59" s="531">
        <v>58</v>
      </c>
      <c r="Q59" s="430">
        <v>0</v>
      </c>
      <c r="R59" s="480">
        <v>0</v>
      </c>
      <c r="S59" s="486">
        <v>0</v>
      </c>
      <c r="T59" s="377">
        <v>0</v>
      </c>
      <c r="U59" s="460">
        <v>0</v>
      </c>
      <c r="V59" s="581">
        <v>0</v>
      </c>
      <c r="W59" s="585" t="str">
        <f t="shared" si="21"/>
        <v/>
      </c>
      <c r="X59" s="585">
        <v>0</v>
      </c>
      <c r="Y59" s="622">
        <f>IFERROR((($C59-$D58)/100)/$D58*100,0)</f>
        <v>-1.53529577681479E-2</v>
      </c>
      <c r="Z59" s="610">
        <f>$F59/100*$W$1*($AE$1*$AD$1)</f>
        <v>30.37528547945206</v>
      </c>
      <c r="AA59" s="641"/>
      <c r="AB59" s="38"/>
      <c r="AC59"/>
    </row>
    <row r="60" spans="1:29" ht="12.75" customHeight="1">
      <c r="A60" s="364" t="s">
        <v>617</v>
      </c>
      <c r="B60" s="387"/>
      <c r="C60" s="354"/>
      <c r="D60" s="354"/>
      <c r="E60" s="353"/>
      <c r="F60" s="355"/>
      <c r="G60" s="356"/>
      <c r="H60" s="357"/>
      <c r="I60" s="329"/>
      <c r="J60" s="528"/>
      <c r="K60" s="333">
        <v>72.757000000000005</v>
      </c>
      <c r="L60" s="382"/>
      <c r="M60" s="333"/>
      <c r="N60" s="382"/>
      <c r="O60" s="517"/>
      <c r="P60" s="532">
        <v>59</v>
      </c>
      <c r="Q60" s="431">
        <v>0</v>
      </c>
      <c r="R60" s="482">
        <v>0</v>
      </c>
      <c r="S60" s="491">
        <v>0</v>
      </c>
      <c r="T60" s="376">
        <v>0</v>
      </c>
      <c r="U60" s="459">
        <v>0</v>
      </c>
      <c r="V60" s="583">
        <v>0</v>
      </c>
      <c r="W60" s="584" t="str">
        <f t="shared" si="21"/>
        <v/>
      </c>
      <c r="X60" s="586">
        <v>0</v>
      </c>
      <c r="Y60" s="493">
        <f>($F61*(1-$V$1))-$F60</f>
        <v>0</v>
      </c>
      <c r="Z60" s="598">
        <f>IFERROR(F58/F60,0)</f>
        <v>0</v>
      </c>
      <c r="AA60" s="559" t="str">
        <f>IFERROR($AB$1/(F60/100)*(F58/100),"")</f>
        <v/>
      </c>
      <c r="AB60" s="421" t="str">
        <f>IFERROR((AA60/(F58/100))*(F60/100),"")</f>
        <v/>
      </c>
      <c r="AC60"/>
    </row>
    <row r="61" spans="1:29" ht="12.75" customHeight="1">
      <c r="A61" s="544" t="s">
        <v>618</v>
      </c>
      <c r="B61" s="345"/>
      <c r="C61" s="347"/>
      <c r="D61" s="347"/>
      <c r="E61" s="345"/>
      <c r="F61" s="349"/>
      <c r="G61" s="326"/>
      <c r="H61" s="337"/>
      <c r="I61" s="328"/>
      <c r="J61" s="522"/>
      <c r="K61" s="332"/>
      <c r="L61" s="335"/>
      <c r="M61" s="332"/>
      <c r="N61" s="335"/>
      <c r="O61" s="515"/>
      <c r="P61" s="531">
        <v>60</v>
      </c>
      <c r="Q61" s="430">
        <v>0</v>
      </c>
      <c r="R61" s="480">
        <v>0</v>
      </c>
      <c r="S61" s="486">
        <v>0</v>
      </c>
      <c r="T61" s="377">
        <v>0</v>
      </c>
      <c r="U61" s="460">
        <v>0</v>
      </c>
      <c r="V61" s="582">
        <v>0</v>
      </c>
      <c r="W61" s="585" t="str">
        <f t="shared" si="21"/>
        <v/>
      </c>
      <c r="X61" s="585">
        <v>0</v>
      </c>
      <c r="Y61" s="503">
        <f>IFERROR((($F61-$F60)/100)/$F60*100,0)</f>
        <v>0</v>
      </c>
      <c r="Z61" s="611">
        <f>IFERROR(F59/F61,0)</f>
        <v>0</v>
      </c>
      <c r="AA61" s="560" t="str">
        <f>IFERROR($AB$1/(F61/100)*(F59/100),"")</f>
        <v/>
      </c>
      <c r="AB61" s="421" t="str">
        <f>IFERROR((AA61/(F59/100))*(F61/100),"")</f>
        <v/>
      </c>
      <c r="AC61"/>
    </row>
    <row r="62" spans="1:29" ht="12.75" customHeight="1">
      <c r="A62" s="364" t="s">
        <v>619</v>
      </c>
      <c r="B62" s="358">
        <v>1824</v>
      </c>
      <c r="C62" s="354">
        <v>75</v>
      </c>
      <c r="D62" s="354">
        <v>75.97</v>
      </c>
      <c r="E62" s="358">
        <v>2368</v>
      </c>
      <c r="F62" s="355">
        <v>75.95</v>
      </c>
      <c r="G62" s="356">
        <v>1.26E-2</v>
      </c>
      <c r="H62" s="357">
        <v>78.89</v>
      </c>
      <c r="I62" s="329">
        <v>78.89</v>
      </c>
      <c r="J62" s="528">
        <v>75</v>
      </c>
      <c r="K62" s="333">
        <v>75</v>
      </c>
      <c r="L62" s="382">
        <v>6624</v>
      </c>
      <c r="M62" s="333">
        <v>8775</v>
      </c>
      <c r="N62" s="382">
        <v>33</v>
      </c>
      <c r="O62" s="517">
        <v>45273.666342592594</v>
      </c>
      <c r="P62" s="532">
        <v>61</v>
      </c>
      <c r="Q62" s="431">
        <v>0</v>
      </c>
      <c r="R62" s="482">
        <v>0</v>
      </c>
      <c r="S62" s="491">
        <v>0</v>
      </c>
      <c r="T62" s="376">
        <v>0</v>
      </c>
      <c r="U62" s="459">
        <v>0</v>
      </c>
      <c r="V62" s="577">
        <v>0</v>
      </c>
      <c r="W62" s="584" t="str">
        <f t="shared" si="21"/>
        <v/>
      </c>
      <c r="X62" s="586">
        <v>0</v>
      </c>
      <c r="Y62" s="494">
        <f>($F63*(1-$V$1))-$F62</f>
        <v>-0.61051599999998984</v>
      </c>
      <c r="Z62" s="612">
        <f>IFERROR(F58/F62,0)</f>
        <v>1013.1731402238314</v>
      </c>
      <c r="AA62" s="559">
        <f>IFERROR($AB$1/(F62/100)*(F58/100),"")</f>
        <v>531915.8986175115</v>
      </c>
      <c r="AB62" s="421">
        <f>IFERROR((AA62/(F58/100))*(F62/100),"")</f>
        <v>525.00000000000011</v>
      </c>
      <c r="AC62"/>
    </row>
    <row r="63" spans="1:29" ht="12.75" customHeight="1">
      <c r="A63" s="467" t="s">
        <v>620</v>
      </c>
      <c r="B63" s="412">
        <v>8</v>
      </c>
      <c r="C63" s="413">
        <v>75.430000000000007</v>
      </c>
      <c r="D63" s="413">
        <v>75.489999999999995</v>
      </c>
      <c r="E63" s="412">
        <v>711</v>
      </c>
      <c r="F63" s="408">
        <v>75.430000000000007</v>
      </c>
      <c r="G63" s="398">
        <v>-2.0000000000000001E-4</v>
      </c>
      <c r="H63" s="399">
        <v>77.7</v>
      </c>
      <c r="I63" s="400">
        <v>77.7</v>
      </c>
      <c r="J63" s="527">
        <v>75</v>
      </c>
      <c r="K63" s="401">
        <v>75.45</v>
      </c>
      <c r="L63" s="405">
        <v>235097</v>
      </c>
      <c r="M63" s="401">
        <v>311734</v>
      </c>
      <c r="N63" s="405">
        <v>494</v>
      </c>
      <c r="O63" s="518">
        <v>45273.708599537036</v>
      </c>
      <c r="P63" s="531">
        <v>62</v>
      </c>
      <c r="Q63" s="432">
        <v>0</v>
      </c>
      <c r="R63" s="484">
        <v>0</v>
      </c>
      <c r="S63" s="492">
        <v>0</v>
      </c>
      <c r="T63" s="406">
        <v>0</v>
      </c>
      <c r="U63" s="460">
        <v>0</v>
      </c>
      <c r="V63" s="461">
        <v>0</v>
      </c>
      <c r="W63" s="588" t="str">
        <f t="shared" si="21"/>
        <v/>
      </c>
      <c r="X63" s="587">
        <v>0</v>
      </c>
      <c r="Y63" s="502">
        <f>IFERROR((($F63-$F62)/100)/$F62*100,0)</f>
        <v>-6.8466096115865176E-3</v>
      </c>
      <c r="Z63" s="613">
        <f>IFERROR(F59/F63,0)</f>
        <v>1032.1887843033276</v>
      </c>
      <c r="AA63" s="561">
        <f>IFERROR($AB$1/(F63/100)*(F59/100),"")</f>
        <v>541899.11175924703</v>
      </c>
      <c r="AB63" s="421">
        <f>IFERROR((AA63/(F59/100))*(F63/100),"")</f>
        <v>525.00000000000011</v>
      </c>
      <c r="AC63"/>
    </row>
    <row r="64" spans="1:29" ht="12.75" customHeight="1">
      <c r="A64" s="466" t="s">
        <v>623</v>
      </c>
      <c r="B64" s="385">
        <v>150</v>
      </c>
      <c r="C64" s="323">
        <v>25530</v>
      </c>
      <c r="D64" s="407">
        <v>25850</v>
      </c>
      <c r="E64" s="385">
        <v>900</v>
      </c>
      <c r="F64" s="499">
        <v>25850</v>
      </c>
      <c r="G64" s="410">
        <v>-2.4700000000000003E-2</v>
      </c>
      <c r="H64" s="338">
        <v>29000</v>
      </c>
      <c r="I64" s="330">
        <v>29000</v>
      </c>
      <c r="J64" s="525">
        <v>25510.5</v>
      </c>
      <c r="K64" s="334">
        <v>26505</v>
      </c>
      <c r="L64" s="397">
        <v>689448</v>
      </c>
      <c r="M64" s="334">
        <v>2546</v>
      </c>
      <c r="N64" s="397">
        <v>9</v>
      </c>
      <c r="O64" s="514">
        <v>45273.684965277775</v>
      </c>
      <c r="P64" s="532">
        <v>63</v>
      </c>
      <c r="Q64" s="543">
        <v>0</v>
      </c>
      <c r="R64" s="479">
        <v>0</v>
      </c>
      <c r="S64" s="489">
        <v>0</v>
      </c>
      <c r="T64" s="378">
        <v>0</v>
      </c>
      <c r="U64" s="459">
        <v>0</v>
      </c>
      <c r="V64" s="580">
        <v>0</v>
      </c>
      <c r="W64" s="584" t="str">
        <f t="shared" si="21"/>
        <v/>
      </c>
      <c r="X64" s="584">
        <v>0</v>
      </c>
      <c r="Y64" s="550">
        <f>($C65*(1-$V$1))-$D64</f>
        <v>-357.1281999999992</v>
      </c>
      <c r="Z64" s="609">
        <f>($F64/100*$X$1)-($F65/100*$W$1)+($F65/100*$W$1*($AE$1*$AD$1))</f>
        <v>42.607661369862655</v>
      </c>
      <c r="AA64" s="640" t="str">
        <f>MID($A64,1,5)</f>
        <v>CLSIO</v>
      </c>
      <c r="AB64" s="38"/>
      <c r="AC64"/>
    </row>
    <row r="65" spans="1:29" ht="12.75" customHeight="1">
      <c r="A65" s="464" t="s">
        <v>624</v>
      </c>
      <c r="B65" s="346">
        <v>29</v>
      </c>
      <c r="C65" s="348">
        <v>25523.5</v>
      </c>
      <c r="D65" s="348">
        <v>26000</v>
      </c>
      <c r="E65" s="346">
        <v>1000</v>
      </c>
      <c r="F65" s="349">
        <v>25523.5</v>
      </c>
      <c r="G65" s="350">
        <v>-5.4600000000000003E-2</v>
      </c>
      <c r="H65" s="337">
        <v>27700</v>
      </c>
      <c r="I65" s="328">
        <v>29400</v>
      </c>
      <c r="J65" s="522">
        <v>25500</v>
      </c>
      <c r="K65" s="332">
        <v>27000</v>
      </c>
      <c r="L65" s="335">
        <v>21262952</v>
      </c>
      <c r="M65" s="332">
        <v>80004</v>
      </c>
      <c r="N65" s="335">
        <v>143</v>
      </c>
      <c r="O65" s="515">
        <v>45273.708599537036</v>
      </c>
      <c r="P65" s="531">
        <v>64</v>
      </c>
      <c r="Q65" s="430">
        <v>0</v>
      </c>
      <c r="R65" s="480">
        <v>0</v>
      </c>
      <c r="S65" s="486">
        <v>0</v>
      </c>
      <c r="T65" s="377">
        <v>0</v>
      </c>
      <c r="U65" s="460">
        <v>0</v>
      </c>
      <c r="V65" s="581">
        <v>0</v>
      </c>
      <c r="W65" s="585" t="str">
        <f t="shared" si="21"/>
        <v/>
      </c>
      <c r="X65" s="585">
        <v>0</v>
      </c>
      <c r="Y65" s="622">
        <f>IFERROR((($C65-$D64)/100)/$D64*100,0)</f>
        <v>-1.2630560928433269E-2</v>
      </c>
      <c r="Z65" s="610">
        <f>$F65/100*$W$1*($AE$1*$AD$1)</f>
        <v>9.9576613698630165</v>
      </c>
      <c r="AA65" s="641"/>
      <c r="AB65" s="38"/>
      <c r="AC65"/>
    </row>
    <row r="66" spans="1:29" ht="12.75" customHeight="1">
      <c r="A66" s="364" t="s">
        <v>625</v>
      </c>
      <c r="B66" s="353"/>
      <c r="C66" s="354"/>
      <c r="D66" s="354"/>
      <c r="E66" s="353"/>
      <c r="F66" s="355"/>
      <c r="G66" s="356"/>
      <c r="H66" s="357"/>
      <c r="I66" s="329"/>
      <c r="J66" s="528"/>
      <c r="K66" s="333">
        <v>30.7</v>
      </c>
      <c r="L66" s="382"/>
      <c r="M66" s="333"/>
      <c r="N66" s="382"/>
      <c r="O66" s="517"/>
      <c r="P66" s="532">
        <v>65</v>
      </c>
      <c r="Q66" s="431">
        <v>0</v>
      </c>
      <c r="R66" s="482">
        <v>0</v>
      </c>
      <c r="S66" s="491">
        <v>0</v>
      </c>
      <c r="T66" s="376">
        <v>0</v>
      </c>
      <c r="U66" s="459">
        <v>0</v>
      </c>
      <c r="V66" s="583">
        <v>0</v>
      </c>
      <c r="W66" s="584" t="str">
        <f t="shared" si="21"/>
        <v/>
      </c>
      <c r="X66" s="586">
        <v>0</v>
      </c>
      <c r="Y66" s="493">
        <f>($F67*(1-$V$1))-$F66</f>
        <v>0</v>
      </c>
      <c r="Z66" s="598">
        <f>IFERROR(F64/F66,0)</f>
        <v>0</v>
      </c>
      <c r="AA66" s="559" t="str">
        <f>IFERROR($AB$1/(F66/100)*(F64/100),"")</f>
        <v/>
      </c>
      <c r="AB66" s="421" t="str">
        <f>IFERROR((AA66/(F64/100))*(F66/100),"")</f>
        <v/>
      </c>
      <c r="AC66"/>
    </row>
    <row r="67" spans="1:29" ht="12.75" customHeight="1">
      <c r="A67" s="544" t="s">
        <v>626</v>
      </c>
      <c r="B67" s="345"/>
      <c r="C67" s="347"/>
      <c r="D67" s="347"/>
      <c r="E67" s="345"/>
      <c r="F67" s="349"/>
      <c r="G67" s="326"/>
      <c r="H67" s="337"/>
      <c r="I67" s="328"/>
      <c r="J67" s="522"/>
      <c r="K67" s="332">
        <v>30</v>
      </c>
      <c r="L67" s="335"/>
      <c r="M67" s="332"/>
      <c r="N67" s="335"/>
      <c r="O67" s="515"/>
      <c r="P67" s="531">
        <v>66</v>
      </c>
      <c r="Q67" s="430">
        <v>0</v>
      </c>
      <c r="R67" s="480">
        <v>0</v>
      </c>
      <c r="S67" s="486">
        <v>0</v>
      </c>
      <c r="T67" s="377">
        <v>0</v>
      </c>
      <c r="U67" s="460">
        <v>0</v>
      </c>
      <c r="V67" s="582">
        <v>0</v>
      </c>
      <c r="W67" s="585" t="str">
        <f t="shared" si="21"/>
        <v/>
      </c>
      <c r="X67" s="585">
        <v>0</v>
      </c>
      <c r="Y67" s="503">
        <f>IFERROR((($F67-$F66)/100)/$F66*100,0)</f>
        <v>0</v>
      </c>
      <c r="Z67" s="611">
        <f>IFERROR(F65/F67,0)</f>
        <v>0</v>
      </c>
      <c r="AA67" s="560" t="str">
        <f>IFERROR($AB$1/(F67/100)*(F65/100),"")</f>
        <v/>
      </c>
      <c r="AB67" s="421" t="str">
        <f>IFERROR((AA67/(F65/100))*(F67/100),"")</f>
        <v/>
      </c>
      <c r="AC67"/>
    </row>
    <row r="68" spans="1:29" ht="12.75" customHeight="1">
      <c r="A68" s="364" t="s">
        <v>627</v>
      </c>
      <c r="B68" s="358">
        <v>4000</v>
      </c>
      <c r="C68" s="354">
        <v>25</v>
      </c>
      <c r="D68" s="354">
        <v>27.4</v>
      </c>
      <c r="E68" s="358">
        <v>5798</v>
      </c>
      <c r="F68" s="355">
        <v>27.4</v>
      </c>
      <c r="G68" s="356">
        <v>3.39E-2</v>
      </c>
      <c r="H68" s="357">
        <v>27</v>
      </c>
      <c r="I68" s="329">
        <v>27.4</v>
      </c>
      <c r="J68" s="528">
        <v>27</v>
      </c>
      <c r="K68" s="333">
        <v>26.5</v>
      </c>
      <c r="L68" s="382">
        <v>134</v>
      </c>
      <c r="M68" s="333">
        <v>493</v>
      </c>
      <c r="N68" s="382">
        <v>2</v>
      </c>
      <c r="O68" s="517">
        <v>45273.617407407408</v>
      </c>
      <c r="P68" s="532">
        <v>67</v>
      </c>
      <c r="Q68" s="431">
        <v>0</v>
      </c>
      <c r="R68" s="482">
        <v>0</v>
      </c>
      <c r="S68" s="491">
        <v>0</v>
      </c>
      <c r="T68" s="376">
        <v>0</v>
      </c>
      <c r="U68" s="459">
        <v>0</v>
      </c>
      <c r="V68" s="577">
        <v>0</v>
      </c>
      <c r="W68" s="584" t="str">
        <f t="shared" si="21"/>
        <v/>
      </c>
      <c r="X68" s="586">
        <v>0</v>
      </c>
      <c r="Y68" s="494">
        <f>($F69*(1-$V$1))-$F68</f>
        <v>-2.0304800000000007</v>
      </c>
      <c r="Z68" s="612">
        <f>IFERROR(F64/F68,0)</f>
        <v>943.43065693430663</v>
      </c>
      <c r="AA68" s="559">
        <f>IFERROR($AB$1/(F68/100)*(F64/100),"")</f>
        <v>495301.09489051101</v>
      </c>
      <c r="AB68" s="421">
        <f>IFERROR((AA68/(F64/100))*(F68/100),"")</f>
        <v>525</v>
      </c>
      <c r="AC68"/>
    </row>
    <row r="69" spans="1:29" ht="12.75" customHeight="1">
      <c r="A69" s="467" t="s">
        <v>628</v>
      </c>
      <c r="B69" s="412">
        <v>9</v>
      </c>
      <c r="C69" s="413">
        <v>25.4</v>
      </c>
      <c r="D69" s="413">
        <v>25.55</v>
      </c>
      <c r="E69" s="412">
        <v>1015</v>
      </c>
      <c r="F69" s="408">
        <v>25.4</v>
      </c>
      <c r="G69" s="398">
        <v>-4.1100000000000005E-2</v>
      </c>
      <c r="H69" s="399">
        <v>26.9</v>
      </c>
      <c r="I69" s="400">
        <v>27.8</v>
      </c>
      <c r="J69" s="527">
        <v>25.4</v>
      </c>
      <c r="K69" s="401">
        <v>26.49</v>
      </c>
      <c r="L69" s="405">
        <v>8109</v>
      </c>
      <c r="M69" s="401">
        <v>31159</v>
      </c>
      <c r="N69" s="405">
        <v>50</v>
      </c>
      <c r="O69" s="518">
        <v>45273.704571759263</v>
      </c>
      <c r="P69" s="531">
        <v>68</v>
      </c>
      <c r="Q69" s="432">
        <v>0</v>
      </c>
      <c r="R69" s="484">
        <v>0</v>
      </c>
      <c r="S69" s="492">
        <v>0</v>
      </c>
      <c r="T69" s="406">
        <v>0</v>
      </c>
      <c r="U69" s="460">
        <v>0</v>
      </c>
      <c r="V69" s="461">
        <v>0</v>
      </c>
      <c r="W69" s="588" t="str">
        <f t="shared" si="21"/>
        <v/>
      </c>
      <c r="X69" s="587">
        <v>0</v>
      </c>
      <c r="Y69" s="502">
        <f>IFERROR((($F69-$F68)/100)/$F68*100,0)</f>
        <v>-7.2992700729927015E-2</v>
      </c>
      <c r="Z69" s="613">
        <f>IFERROR(F65/F69,0)</f>
        <v>1004.8622047244095</v>
      </c>
      <c r="AA69" s="561">
        <f>IFERROR($AB$1/(F69/100)*(F65/100),"")</f>
        <v>527552.65748031496</v>
      </c>
      <c r="AB69" s="421">
        <f>IFERROR((AA69/(F65/100))*(F69/100),"")</f>
        <v>525</v>
      </c>
      <c r="AC69"/>
    </row>
    <row r="70" spans="1:29" ht="12.75" customHeight="1">
      <c r="A70" s="466" t="s">
        <v>629</v>
      </c>
      <c r="B70" s="385">
        <v>9949</v>
      </c>
      <c r="C70" s="323">
        <v>110</v>
      </c>
      <c r="D70" s="407">
        <v>112120.5</v>
      </c>
      <c r="E70" s="385">
        <v>2028</v>
      </c>
      <c r="F70" s="499">
        <v>109640</v>
      </c>
      <c r="G70" s="339">
        <v>-1.3600000000000001E-2</v>
      </c>
      <c r="H70" s="338">
        <v>117000</v>
      </c>
      <c r="I70" s="330">
        <v>117500</v>
      </c>
      <c r="J70" s="525">
        <v>105550.5</v>
      </c>
      <c r="K70" s="334">
        <v>111161.5</v>
      </c>
      <c r="L70" s="397">
        <v>30424937</v>
      </c>
      <c r="M70" s="334">
        <v>27957</v>
      </c>
      <c r="N70" s="397">
        <v>55</v>
      </c>
      <c r="O70" s="514">
        <v>45273.657581018517</v>
      </c>
      <c r="P70" s="532">
        <v>69</v>
      </c>
      <c r="Q70" s="433">
        <v>0</v>
      </c>
      <c r="R70" s="479">
        <v>0</v>
      </c>
      <c r="S70" s="489">
        <v>0</v>
      </c>
      <c r="T70" s="378">
        <v>0</v>
      </c>
      <c r="U70" s="459">
        <v>0</v>
      </c>
      <c r="V70" s="580">
        <v>0</v>
      </c>
      <c r="W70" s="584" t="str">
        <f t="shared" si="21"/>
        <v/>
      </c>
      <c r="X70" s="584">
        <v>0</v>
      </c>
      <c r="Y70" s="550">
        <f>($C71*(1-$V$1))-$D70</f>
        <v>-2851.7799999999988</v>
      </c>
      <c r="Z70" s="609">
        <f>($F70/100*$X$1)-($F71/100*$W$1)+($F71/100*$W$1*($AE$1*$AD$1))</f>
        <v>66.68098630136987</v>
      </c>
      <c r="AA70" s="640" t="str">
        <f>MID($A70,1,5)</f>
        <v>MGC9O</v>
      </c>
      <c r="AB70" s="38"/>
      <c r="AC70"/>
    </row>
    <row r="71" spans="1:29" ht="12.75" customHeight="1">
      <c r="A71" s="464" t="s">
        <v>630</v>
      </c>
      <c r="B71" s="346">
        <v>2012</v>
      </c>
      <c r="C71" s="348">
        <v>109400</v>
      </c>
      <c r="D71" s="348">
        <v>109700</v>
      </c>
      <c r="E71" s="346">
        <v>349</v>
      </c>
      <c r="F71" s="349">
        <v>109400</v>
      </c>
      <c r="G71" s="326">
        <v>-5.4000000000000003E-3</v>
      </c>
      <c r="H71" s="337">
        <v>110001</v>
      </c>
      <c r="I71" s="328">
        <v>120000</v>
      </c>
      <c r="J71" s="522">
        <v>99000</v>
      </c>
      <c r="K71" s="332">
        <v>110000</v>
      </c>
      <c r="L71" s="335">
        <v>346716961</v>
      </c>
      <c r="M71" s="332">
        <v>314653</v>
      </c>
      <c r="N71" s="335">
        <v>378</v>
      </c>
      <c r="O71" s="515">
        <v>45273.708344907405</v>
      </c>
      <c r="P71" s="531">
        <v>70</v>
      </c>
      <c r="Q71" s="430">
        <v>0</v>
      </c>
      <c r="R71" s="480">
        <v>0</v>
      </c>
      <c r="S71" s="486">
        <v>0</v>
      </c>
      <c r="T71" s="377">
        <v>0</v>
      </c>
      <c r="U71" s="460">
        <v>0</v>
      </c>
      <c r="V71" s="581">
        <v>0</v>
      </c>
      <c r="W71" s="585" t="str">
        <f t="shared" si="21"/>
        <v/>
      </c>
      <c r="X71" s="585">
        <v>0</v>
      </c>
      <c r="Y71" s="622">
        <f>IFERROR((($C71-$D70)/100)/$D70*100,0)</f>
        <v>-2.4264073028571937E-2</v>
      </c>
      <c r="Z71" s="610">
        <f>$F71/100*$W$1*($AE$1*$AD$1)</f>
        <v>42.68098630136987</v>
      </c>
      <c r="AA71" s="641"/>
      <c r="AB71" s="38"/>
      <c r="AC71"/>
    </row>
    <row r="72" spans="1:29" ht="12.75" customHeight="1">
      <c r="A72" s="364" t="s">
        <v>631</v>
      </c>
      <c r="B72" s="353"/>
      <c r="C72" s="354"/>
      <c r="D72" s="354"/>
      <c r="E72" s="353"/>
      <c r="F72" s="355"/>
      <c r="G72" s="356"/>
      <c r="H72" s="357"/>
      <c r="I72" s="329"/>
      <c r="J72" s="329"/>
      <c r="K72" s="428">
        <v>105.25</v>
      </c>
      <c r="L72" s="382"/>
      <c r="M72" s="333"/>
      <c r="N72" s="382"/>
      <c r="O72" s="517"/>
      <c r="P72" s="532">
        <v>71</v>
      </c>
      <c r="Q72" s="431">
        <v>0</v>
      </c>
      <c r="R72" s="482">
        <v>0</v>
      </c>
      <c r="S72" s="491">
        <v>0</v>
      </c>
      <c r="T72" s="376">
        <v>0</v>
      </c>
      <c r="U72" s="459">
        <v>0</v>
      </c>
      <c r="V72" s="583">
        <v>0</v>
      </c>
      <c r="W72" s="584" t="str">
        <f t="shared" si="21"/>
        <v/>
      </c>
      <c r="X72" s="586">
        <v>0</v>
      </c>
      <c r="Y72" s="493">
        <f>($F73*(1-$V$1))-$F72</f>
        <v>0</v>
      </c>
      <c r="Z72" s="598">
        <f>IFERROR(F70/F72,0)</f>
        <v>0</v>
      </c>
      <c r="AA72" s="559" t="str">
        <f>IFERROR($AB$1/(F72/100)*(F70/100),"")</f>
        <v/>
      </c>
      <c r="AB72" s="421" t="str">
        <f>IFERROR((AA72/(F70/100))*(F72/100),"")</f>
        <v/>
      </c>
      <c r="AC72"/>
    </row>
    <row r="73" spans="1:29" ht="12.75" customHeight="1">
      <c r="A73" s="544" t="s">
        <v>632</v>
      </c>
      <c r="B73" s="345"/>
      <c r="C73" s="347"/>
      <c r="D73" s="347"/>
      <c r="E73" s="345"/>
      <c r="F73" s="349"/>
      <c r="G73" s="326"/>
      <c r="H73" s="337"/>
      <c r="I73" s="328"/>
      <c r="J73" s="328"/>
      <c r="K73" s="423">
        <v>99.95</v>
      </c>
      <c r="L73" s="335"/>
      <c r="M73" s="332"/>
      <c r="N73" s="335"/>
      <c r="O73" s="515"/>
      <c r="P73" s="531">
        <v>72</v>
      </c>
      <c r="Q73" s="430">
        <v>0</v>
      </c>
      <c r="R73" s="480">
        <v>0</v>
      </c>
      <c r="S73" s="486">
        <v>0</v>
      </c>
      <c r="T73" s="377">
        <v>0</v>
      </c>
      <c r="U73" s="460">
        <v>0</v>
      </c>
      <c r="V73" s="582">
        <v>0</v>
      </c>
      <c r="W73" s="585" t="str">
        <f t="shared" si="21"/>
        <v/>
      </c>
      <c r="X73" s="585">
        <v>0</v>
      </c>
      <c r="Y73" s="503">
        <f>IFERROR((($F73-$F72)/100)/$F72*100,0)</f>
        <v>0</v>
      </c>
      <c r="Z73" s="611">
        <f>IFERROR(F71/F73,0)</f>
        <v>0</v>
      </c>
      <c r="AA73" s="560" t="str">
        <f>IFERROR($AB$1/(F73/100)*(F71/100),"")</f>
        <v/>
      </c>
      <c r="AB73" s="421" t="str">
        <f>IFERROR((AA73/(F71/100))*(F73/100),"")</f>
        <v/>
      </c>
      <c r="AC73"/>
    </row>
    <row r="74" spans="1:29" ht="12.75" customHeight="1">
      <c r="A74" s="364" t="s">
        <v>633</v>
      </c>
      <c r="B74" s="358">
        <v>93</v>
      </c>
      <c r="C74" s="354">
        <v>106</v>
      </c>
      <c r="D74" s="354">
        <v>113</v>
      </c>
      <c r="E74" s="358">
        <v>10300</v>
      </c>
      <c r="F74" s="355">
        <v>112</v>
      </c>
      <c r="G74" s="356">
        <v>3.4599999999999999E-2</v>
      </c>
      <c r="H74" s="357">
        <v>107.5</v>
      </c>
      <c r="I74" s="329">
        <v>114</v>
      </c>
      <c r="J74" s="329">
        <v>106</v>
      </c>
      <c r="K74" s="428">
        <v>108.25</v>
      </c>
      <c r="L74" s="382">
        <v>4067</v>
      </c>
      <c r="M74" s="333">
        <v>3800</v>
      </c>
      <c r="N74" s="382">
        <v>12</v>
      </c>
      <c r="O74" s="517">
        <v>45273.664768518516</v>
      </c>
      <c r="P74" s="532">
        <v>73</v>
      </c>
      <c r="Q74" s="431">
        <v>0</v>
      </c>
      <c r="R74" s="482">
        <v>0</v>
      </c>
      <c r="S74" s="491">
        <v>0</v>
      </c>
      <c r="T74" s="376">
        <v>0</v>
      </c>
      <c r="U74" s="459">
        <v>0</v>
      </c>
      <c r="V74" s="577">
        <v>0</v>
      </c>
      <c r="W74" s="584" t="str">
        <f t="shared" si="21"/>
        <v/>
      </c>
      <c r="X74" s="586">
        <v>0</v>
      </c>
      <c r="Y74" s="494">
        <f>($F75*(1-$V$1))-$F74</f>
        <v>-7.1260000000000048</v>
      </c>
      <c r="Z74" s="612">
        <f>IFERROR(F70/F74,0)</f>
        <v>978.92857142857144</v>
      </c>
      <c r="AA74" s="559">
        <f>IFERROR($AB$1/(F74/100)*(F70/100),"")</f>
        <v>513937.5</v>
      </c>
      <c r="AB74" s="421">
        <f>IFERROR((AA74/(F70/100))*(F74/100),"")</f>
        <v>525</v>
      </c>
      <c r="AC74"/>
    </row>
    <row r="75" spans="1:29" ht="12.75" customHeight="1">
      <c r="A75" s="467" t="s">
        <v>634</v>
      </c>
      <c r="B75" s="412">
        <v>14892</v>
      </c>
      <c r="C75" s="413">
        <v>105</v>
      </c>
      <c r="D75" s="413">
        <v>107.5</v>
      </c>
      <c r="E75" s="412">
        <v>2968</v>
      </c>
      <c r="F75" s="408">
        <v>105</v>
      </c>
      <c r="G75" s="398">
        <v>-4.0999999999999995E-2</v>
      </c>
      <c r="H75" s="399">
        <v>111.5</v>
      </c>
      <c r="I75" s="400">
        <v>111.5</v>
      </c>
      <c r="J75" s="400">
        <v>105</v>
      </c>
      <c r="K75" s="424">
        <v>109.5</v>
      </c>
      <c r="L75" s="405">
        <v>86167</v>
      </c>
      <c r="M75" s="401">
        <v>80566</v>
      </c>
      <c r="N75" s="405">
        <v>96</v>
      </c>
      <c r="O75" s="518">
        <v>45273.708344907405</v>
      </c>
      <c r="P75" s="531">
        <v>74</v>
      </c>
      <c r="Q75" s="432">
        <v>0</v>
      </c>
      <c r="R75" s="484">
        <v>0</v>
      </c>
      <c r="S75" s="492">
        <v>0</v>
      </c>
      <c r="T75" s="406">
        <v>0</v>
      </c>
      <c r="U75" s="460">
        <v>0</v>
      </c>
      <c r="V75" s="461">
        <v>0</v>
      </c>
      <c r="W75" s="588" t="str">
        <f t="shared" si="21"/>
        <v/>
      </c>
      <c r="X75" s="587">
        <v>0</v>
      </c>
      <c r="Y75" s="502">
        <f>IFERROR((($F75-$F74)/100)/$F74*100,0)</f>
        <v>-6.25E-2</v>
      </c>
      <c r="Z75" s="613">
        <f>IFERROR(F71/F75,0)</f>
        <v>1041.9047619047619</v>
      </c>
      <c r="AA75" s="561">
        <f>IFERROR($AB$1/(F75/100)*(F71/100),"")</f>
        <v>547000</v>
      </c>
      <c r="AB75" s="421">
        <f>IFERROR((AA75/(F71/100))*(F75/100),"")</f>
        <v>525</v>
      </c>
      <c r="AC75"/>
    </row>
    <row r="76" spans="1:29" ht="12.75" customHeight="1">
      <c r="A76" s="466" t="s">
        <v>549</v>
      </c>
      <c r="B76" s="385">
        <v>25000000</v>
      </c>
      <c r="C76" s="323">
        <v>147.55000000000001</v>
      </c>
      <c r="D76" s="407">
        <v>147.80000000000001</v>
      </c>
      <c r="E76" s="385">
        <v>4387241</v>
      </c>
      <c r="F76" s="499">
        <v>147.80000000000001</v>
      </c>
      <c r="G76" s="339">
        <v>4.0099999999999997E-2</v>
      </c>
      <c r="H76" s="338">
        <v>142.6</v>
      </c>
      <c r="I76" s="330">
        <v>149</v>
      </c>
      <c r="J76" s="330">
        <v>142.6</v>
      </c>
      <c r="K76" s="427">
        <v>142.1</v>
      </c>
      <c r="L76" s="397">
        <v>13264291409</v>
      </c>
      <c r="M76" s="334">
        <v>9097478309</v>
      </c>
      <c r="N76" s="435">
        <v>4849</v>
      </c>
      <c r="O76" s="514">
        <v>45273.687789351854</v>
      </c>
      <c r="P76" s="532">
        <v>75</v>
      </c>
      <c r="Q76" s="433">
        <v>0</v>
      </c>
      <c r="R76" s="479">
        <v>0</v>
      </c>
      <c r="S76" s="489">
        <v>0</v>
      </c>
      <c r="T76" s="378">
        <v>0</v>
      </c>
      <c r="U76" s="459">
        <v>0</v>
      </c>
      <c r="V76" s="580">
        <v>0</v>
      </c>
      <c r="W76" s="584" t="str">
        <f t="shared" si="21"/>
        <v/>
      </c>
      <c r="X76" s="584">
        <v>0</v>
      </c>
      <c r="Y76" s="550">
        <f>($C77*(1-$V$1))-$D76</f>
        <v>0.57174000000000547</v>
      </c>
      <c r="Z76" s="609">
        <f>($F76/100*$X$1)-($F77/100*$W$1)+($F77/100*$W$1*($AE$1*$AD$1))</f>
        <v>-1.7045150684930788E-2</v>
      </c>
      <c r="AA76" s="640" t="str">
        <f>MID($A76,1,5)</f>
        <v>X18E4</v>
      </c>
      <c r="AB76" s="38"/>
      <c r="AC76"/>
    </row>
    <row r="77" spans="1:29" ht="12.75" customHeight="1">
      <c r="A77" s="464" t="s">
        <v>550</v>
      </c>
      <c r="B77" s="346">
        <v>120598907</v>
      </c>
      <c r="C77" s="348">
        <v>148.55000000000001</v>
      </c>
      <c r="D77" s="348">
        <v>148.75</v>
      </c>
      <c r="E77" s="346">
        <v>47969764</v>
      </c>
      <c r="F77" s="349">
        <v>148.55000000000001</v>
      </c>
      <c r="G77" s="326">
        <v>2.0899999999999998E-2</v>
      </c>
      <c r="H77" s="337">
        <v>145.5</v>
      </c>
      <c r="I77" s="328">
        <v>150</v>
      </c>
      <c r="J77" s="328">
        <v>144.15</v>
      </c>
      <c r="K77" s="423">
        <v>145.5</v>
      </c>
      <c r="L77" s="335">
        <v>1972574215</v>
      </c>
      <c r="M77" s="332">
        <v>1342633937</v>
      </c>
      <c r="N77" s="335">
        <v>1683</v>
      </c>
      <c r="O77" s="515">
        <v>45273.708425925928</v>
      </c>
      <c r="P77" s="531">
        <v>76</v>
      </c>
      <c r="Q77" s="430">
        <v>0</v>
      </c>
      <c r="R77" s="480">
        <v>0</v>
      </c>
      <c r="S77" s="486">
        <v>0</v>
      </c>
      <c r="T77" s="377">
        <v>0</v>
      </c>
      <c r="U77" s="460">
        <v>0</v>
      </c>
      <c r="V77" s="581">
        <v>0</v>
      </c>
      <c r="W77" s="585" t="str">
        <f t="shared" si="21"/>
        <v/>
      </c>
      <c r="X77" s="585">
        <v>0</v>
      </c>
      <c r="Y77" s="622">
        <f>IFERROR((($C77-$D76)/100)/$D76*100,0)</f>
        <v>5.0744248985115014E-3</v>
      </c>
      <c r="Z77" s="610">
        <f>$F77/100*$W$1*($AE$1*$AD$1)</f>
        <v>5.7954849315068502E-2</v>
      </c>
      <c r="AA77" s="641"/>
      <c r="AB77" s="38"/>
      <c r="AC77"/>
    </row>
    <row r="78" spans="1:29" ht="12.75" customHeight="1">
      <c r="A78" s="365" t="s">
        <v>551</v>
      </c>
      <c r="B78" s="353">
        <v>69570</v>
      </c>
      <c r="C78" s="354">
        <v>0.14199999999999999</v>
      </c>
      <c r="D78" s="354">
        <v>0.14399999999999999</v>
      </c>
      <c r="E78" s="353">
        <v>111739567</v>
      </c>
      <c r="F78" s="355">
        <v>0.14199999999999999</v>
      </c>
      <c r="G78" s="356">
        <v>3.6400000000000002E-2</v>
      </c>
      <c r="H78" s="357">
        <v>0.13600000000000001</v>
      </c>
      <c r="I78" s="329">
        <v>0.14899999999999999</v>
      </c>
      <c r="J78" s="329">
        <v>0.13</v>
      </c>
      <c r="K78" s="428">
        <v>0.13700000000000001</v>
      </c>
      <c r="L78" s="382">
        <v>8099663</v>
      </c>
      <c r="M78" s="333">
        <v>5794617081</v>
      </c>
      <c r="N78" s="382">
        <v>2164</v>
      </c>
      <c r="O78" s="517">
        <v>45273.687627314815</v>
      </c>
      <c r="P78" s="532">
        <v>77</v>
      </c>
      <c r="Q78" s="431">
        <v>0</v>
      </c>
      <c r="R78" s="482">
        <v>0</v>
      </c>
      <c r="S78" s="491">
        <v>0</v>
      </c>
      <c r="T78" s="376">
        <v>0</v>
      </c>
      <c r="U78" s="459">
        <v>0</v>
      </c>
      <c r="V78" s="583">
        <v>0</v>
      </c>
      <c r="W78" s="584" t="str">
        <f t="shared" si="21"/>
        <v/>
      </c>
      <c r="X78" s="586">
        <v>0</v>
      </c>
      <c r="Y78" s="493">
        <f>($F79*(1-$V$1))-$F78</f>
        <v>7.8200000000000214E-3</v>
      </c>
      <c r="Z78" s="598">
        <f>IFERROR(F76/F78,0)</f>
        <v>1040.8450704225354</v>
      </c>
      <c r="AA78" s="559">
        <f>IFERROR($AB$1/(F78/100)*(F76/100),"")</f>
        <v>546443.66197183111</v>
      </c>
      <c r="AB78" s="421">
        <f>IFERROR((AA78/(F76/100))*(F78/100),"")</f>
        <v>525</v>
      </c>
      <c r="AC78"/>
    </row>
    <row r="79" spans="1:29" ht="12.75" customHeight="1">
      <c r="A79" s="544" t="s">
        <v>552</v>
      </c>
      <c r="B79" s="345">
        <v>400000</v>
      </c>
      <c r="C79" s="347">
        <v>0.15</v>
      </c>
      <c r="D79" s="347">
        <v>0.15</v>
      </c>
      <c r="E79" s="345">
        <v>25000000</v>
      </c>
      <c r="F79" s="349">
        <v>0.15</v>
      </c>
      <c r="G79" s="326">
        <v>2.0400000000000001E-2</v>
      </c>
      <c r="H79" s="337">
        <v>0.14099999999999999</v>
      </c>
      <c r="I79" s="328">
        <v>0.155</v>
      </c>
      <c r="J79" s="328">
        <v>0.14000000000000001</v>
      </c>
      <c r="K79" s="423">
        <v>0.14699999999999999</v>
      </c>
      <c r="L79" s="335">
        <v>72442</v>
      </c>
      <c r="M79" s="332">
        <v>51344478</v>
      </c>
      <c r="N79" s="335">
        <v>6</v>
      </c>
      <c r="O79" s="515">
        <v>45273.700682870367</v>
      </c>
      <c r="P79" s="531">
        <v>78</v>
      </c>
      <c r="Q79" s="430">
        <v>0</v>
      </c>
      <c r="R79" s="480">
        <v>0</v>
      </c>
      <c r="S79" s="486">
        <v>0</v>
      </c>
      <c r="T79" s="377">
        <v>0</v>
      </c>
      <c r="U79" s="460">
        <v>0</v>
      </c>
      <c r="V79" s="582">
        <v>0</v>
      </c>
      <c r="W79" s="585" t="str">
        <f t="shared" si="21"/>
        <v/>
      </c>
      <c r="X79" s="585">
        <v>0</v>
      </c>
      <c r="Y79" s="503">
        <f>IFERROR((($F79-$F78)/100)/$F78*100,0)</f>
        <v>5.6338028169014141E-2</v>
      </c>
      <c r="Z79" s="611">
        <f>IFERROR(F77/F79,0)</f>
        <v>990.33333333333348</v>
      </c>
      <c r="AA79" s="560">
        <f>IFERROR($AB$1/(F79/100)*(F77/100),"")</f>
        <v>519925</v>
      </c>
      <c r="AB79" s="421">
        <f>IFERROR((AA79/(F77/100))*(F79/100),"")</f>
        <v>525</v>
      </c>
    </row>
    <row r="80" spans="1:29" ht="12.75" customHeight="1">
      <c r="A80" s="365" t="s">
        <v>553</v>
      </c>
      <c r="B80" s="358">
        <v>176100</v>
      </c>
      <c r="C80" s="354">
        <v>0.14000000000000001</v>
      </c>
      <c r="D80" s="354">
        <v>0.14499999999999999</v>
      </c>
      <c r="E80" s="358">
        <v>193706678</v>
      </c>
      <c r="F80" s="355">
        <v>0.14399999999999999</v>
      </c>
      <c r="G80" s="356">
        <v>5.0999999999999997E-2</v>
      </c>
      <c r="H80" s="357">
        <v>0.13300000000000001</v>
      </c>
      <c r="I80" s="329">
        <v>0.14599999999999999</v>
      </c>
      <c r="J80" s="329">
        <v>0.127</v>
      </c>
      <c r="K80" s="428">
        <v>0.13700000000000001</v>
      </c>
      <c r="L80" s="382">
        <v>4962313</v>
      </c>
      <c r="M80" s="333">
        <v>3556513013</v>
      </c>
      <c r="N80" s="382">
        <v>1695</v>
      </c>
      <c r="O80" s="517">
        <v>45273.687685185185</v>
      </c>
      <c r="P80" s="532">
        <v>79</v>
      </c>
      <c r="Q80" s="431">
        <v>0</v>
      </c>
      <c r="R80" s="482">
        <v>0</v>
      </c>
      <c r="S80" s="491">
        <v>0</v>
      </c>
      <c r="T80" s="376">
        <v>0</v>
      </c>
      <c r="U80" s="459">
        <v>0</v>
      </c>
      <c r="V80" s="577">
        <v>0</v>
      </c>
      <c r="W80" s="584" t="str">
        <f t="shared" si="21"/>
        <v/>
      </c>
      <c r="X80" s="586">
        <v>0</v>
      </c>
      <c r="Y80" s="494">
        <f>($F81*(1-$V$1))-$F80</f>
        <v>8.2599999999999341E-4</v>
      </c>
      <c r="Z80" s="612">
        <f>IFERROR(F76/F80,0)</f>
        <v>1026.3888888888891</v>
      </c>
      <c r="AA80" s="559">
        <f>IFERROR($AB$1/(F80/100)*(F76/100),"")</f>
        <v>538854.16666666674</v>
      </c>
      <c r="AB80" s="421">
        <f>IFERROR((AA80/(F76/100))*(F80/100),"")</f>
        <v>524.99999999999989</v>
      </c>
      <c r="AC80" s="11"/>
    </row>
    <row r="81" spans="1:29" ht="12.75" customHeight="1">
      <c r="A81" s="467" t="s">
        <v>554</v>
      </c>
      <c r="B81" s="412">
        <v>417136</v>
      </c>
      <c r="C81" s="413">
        <v>0.14099999999999999</v>
      </c>
      <c r="D81" s="413">
        <v>0.15</v>
      </c>
      <c r="E81" s="412">
        <v>4486380</v>
      </c>
      <c r="F81" s="408">
        <v>0.14499999999999999</v>
      </c>
      <c r="G81" s="398">
        <v>4.3099999999999999E-2</v>
      </c>
      <c r="H81" s="399">
        <v>0.14000000000000001</v>
      </c>
      <c r="I81" s="400">
        <v>0.15</v>
      </c>
      <c r="J81" s="400">
        <v>0.13800000000000001</v>
      </c>
      <c r="K81" s="424">
        <v>0.13900000000000001</v>
      </c>
      <c r="L81" s="405">
        <v>40356</v>
      </c>
      <c r="M81" s="401">
        <v>28435586</v>
      </c>
      <c r="N81" s="405">
        <v>84</v>
      </c>
      <c r="O81" s="518">
        <v>45273.701944444445</v>
      </c>
      <c r="P81" s="531">
        <v>80</v>
      </c>
      <c r="Q81" s="432">
        <v>0</v>
      </c>
      <c r="R81" s="484">
        <v>0</v>
      </c>
      <c r="S81" s="492">
        <v>0</v>
      </c>
      <c r="T81" s="406">
        <v>0</v>
      </c>
      <c r="U81" s="460">
        <v>0</v>
      </c>
      <c r="V81" s="461">
        <v>0</v>
      </c>
      <c r="W81" s="588" t="str">
        <f t="shared" si="21"/>
        <v/>
      </c>
      <c r="X81" s="587">
        <v>0</v>
      </c>
      <c r="Y81" s="502">
        <f>IFERROR((($F81-$F80)/100)/$F80*100,0)</f>
        <v>6.944444444444451E-3</v>
      </c>
      <c r="Z81" s="613">
        <f>IFERROR(F77/F81,0)</f>
        <v>1024.4827586206898</v>
      </c>
      <c r="AA81" s="561">
        <f>IFERROR($AB$1/(F81/100)*(F77/100),"")</f>
        <v>537853.44827586215</v>
      </c>
      <c r="AB81" s="421">
        <f>IFERROR((AA81/(F77/100))*(F81/100),"")</f>
        <v>525</v>
      </c>
      <c r="AC81" s="11"/>
    </row>
    <row r="82" spans="1:29" ht="12.75" customHeight="1">
      <c r="A82" s="466" t="s">
        <v>543</v>
      </c>
      <c r="B82" s="385">
        <v>59</v>
      </c>
      <c r="C82" s="323">
        <v>41700</v>
      </c>
      <c r="D82" s="407">
        <v>43140</v>
      </c>
      <c r="E82" s="385">
        <v>3916</v>
      </c>
      <c r="F82" s="499">
        <v>41725.5</v>
      </c>
      <c r="G82" s="339">
        <v>9.8999999999999991E-3</v>
      </c>
      <c r="H82" s="338">
        <v>42722</v>
      </c>
      <c r="I82" s="330">
        <v>44600</v>
      </c>
      <c r="J82" s="330">
        <v>40050</v>
      </c>
      <c r="K82" s="427">
        <v>41316</v>
      </c>
      <c r="L82" s="397">
        <v>13125774</v>
      </c>
      <c r="M82" s="334">
        <v>31655</v>
      </c>
      <c r="N82" s="397">
        <v>73</v>
      </c>
      <c r="O82" s="514">
        <v>45273.683472222219</v>
      </c>
      <c r="P82" s="532">
        <v>81</v>
      </c>
      <c r="Q82" s="433">
        <v>0</v>
      </c>
      <c r="R82" s="479">
        <v>0</v>
      </c>
      <c r="S82" s="489">
        <v>0</v>
      </c>
      <c r="T82" s="378">
        <v>0</v>
      </c>
      <c r="U82" s="459">
        <v>0</v>
      </c>
      <c r="V82" s="580">
        <v>0</v>
      </c>
      <c r="W82" s="584" t="str">
        <f t="shared" si="21"/>
        <v/>
      </c>
      <c r="X82" s="584">
        <v>0</v>
      </c>
      <c r="Y82" s="550">
        <f>($C83*(1-$V$1))-$D82</f>
        <v>-1686.3041999999987</v>
      </c>
      <c r="Z82" s="609">
        <f>($F82/100*$X$1)-($F83/100*$W$1)+($F83/100*$W$1*($AE$1*$AD$1))</f>
        <v>38.342245479451691</v>
      </c>
      <c r="AA82" s="640" t="str">
        <f>MID($A82,1,5)</f>
        <v>BA37D</v>
      </c>
      <c r="AB82" s="38"/>
      <c r="AC82" s="11"/>
    </row>
    <row r="83" spans="1:29" ht="12.75" customHeight="1">
      <c r="A83" s="464" t="s">
        <v>544</v>
      </c>
      <c r="B83" s="346">
        <v>2509</v>
      </c>
      <c r="C83" s="348">
        <v>41503.5</v>
      </c>
      <c r="D83" s="348">
        <v>41504</v>
      </c>
      <c r="E83" s="346">
        <v>99</v>
      </c>
      <c r="F83" s="349">
        <v>41504</v>
      </c>
      <c r="G83" s="326">
        <v>9.5999999999999992E-3</v>
      </c>
      <c r="H83" s="337">
        <v>42000</v>
      </c>
      <c r="I83" s="328">
        <v>46000</v>
      </c>
      <c r="J83" s="328">
        <v>40300</v>
      </c>
      <c r="K83" s="423">
        <v>41500</v>
      </c>
      <c r="L83" s="335">
        <v>413140668</v>
      </c>
      <c r="M83" s="332">
        <v>972976</v>
      </c>
      <c r="N83" s="335">
        <v>502</v>
      </c>
      <c r="O83" s="515">
        <v>45273.708391203705</v>
      </c>
      <c r="P83" s="531">
        <v>82</v>
      </c>
      <c r="Q83" s="430">
        <v>0</v>
      </c>
      <c r="R83" s="480">
        <v>0</v>
      </c>
      <c r="S83" s="486">
        <v>0</v>
      </c>
      <c r="T83" s="377">
        <v>0</v>
      </c>
      <c r="U83" s="460">
        <v>0</v>
      </c>
      <c r="V83" s="581">
        <v>0</v>
      </c>
      <c r="W83" s="585" t="str">
        <f t="shared" si="21"/>
        <v/>
      </c>
      <c r="X83" s="585">
        <v>0</v>
      </c>
      <c r="Y83" s="622">
        <f>IFERROR((($C83-$D82)/100)/$D82*100,0)</f>
        <v>-3.7934631432545197E-2</v>
      </c>
      <c r="Z83" s="610">
        <f>$F83/100*$W$1*($AE$1*$AD$1)</f>
        <v>16.192245479452058</v>
      </c>
      <c r="AA83" s="641"/>
      <c r="AB83" s="38"/>
      <c r="AC83" s="11"/>
    </row>
    <row r="84" spans="1:29" ht="12.75" customHeight="1">
      <c r="A84" s="364" t="s">
        <v>545</v>
      </c>
      <c r="B84" s="353"/>
      <c r="C84" s="354"/>
      <c r="D84" s="354"/>
      <c r="E84" s="353"/>
      <c r="F84" s="355"/>
      <c r="G84" s="356"/>
      <c r="H84" s="357"/>
      <c r="I84" s="329"/>
      <c r="J84" s="329"/>
      <c r="K84" s="428">
        <v>41.8</v>
      </c>
      <c r="L84" s="382"/>
      <c r="M84" s="333"/>
      <c r="N84" s="382"/>
      <c r="O84" s="517"/>
      <c r="P84" s="532">
        <v>83</v>
      </c>
      <c r="Q84" s="431">
        <v>0</v>
      </c>
      <c r="R84" s="482">
        <v>0</v>
      </c>
      <c r="S84" s="491">
        <v>0</v>
      </c>
      <c r="T84" s="376">
        <v>0</v>
      </c>
      <c r="U84" s="459">
        <v>0</v>
      </c>
      <c r="V84" s="583">
        <v>0</v>
      </c>
      <c r="W84" s="584" t="str">
        <f t="shared" si="21"/>
        <v/>
      </c>
      <c r="X84" s="586">
        <v>0</v>
      </c>
      <c r="Y84" s="493">
        <f>($F85*(1-$V$1))-$F84</f>
        <v>0</v>
      </c>
      <c r="Z84" s="598">
        <f>IFERROR(F82/F84,0)</f>
        <v>0</v>
      </c>
      <c r="AA84" s="559" t="str">
        <f>IFERROR($AB$1/(F84/100)*(F82/100),"")</f>
        <v/>
      </c>
      <c r="AB84" s="421" t="str">
        <f>IFERROR((AA84/(F82/100))*(F84/100),"")</f>
        <v/>
      </c>
      <c r="AC84" s="11"/>
    </row>
    <row r="85" spans="1:29" ht="12.75" customHeight="1">
      <c r="A85" s="544" t="s">
        <v>546</v>
      </c>
      <c r="B85" s="345"/>
      <c r="C85" s="347"/>
      <c r="D85" s="347"/>
      <c r="E85" s="345"/>
      <c r="F85" s="349"/>
      <c r="G85" s="326"/>
      <c r="H85" s="337"/>
      <c r="I85" s="328"/>
      <c r="J85" s="328"/>
      <c r="K85" s="423">
        <v>36.005000000000003</v>
      </c>
      <c r="L85" s="335"/>
      <c r="M85" s="332"/>
      <c r="N85" s="335"/>
      <c r="O85" s="515"/>
      <c r="P85" s="531">
        <v>84</v>
      </c>
      <c r="Q85" s="430">
        <v>0</v>
      </c>
      <c r="R85" s="480">
        <v>0</v>
      </c>
      <c r="S85" s="486">
        <v>0</v>
      </c>
      <c r="T85" s="377">
        <v>0</v>
      </c>
      <c r="U85" s="460">
        <v>0</v>
      </c>
      <c r="V85" s="582">
        <v>0</v>
      </c>
      <c r="W85" s="585" t="str">
        <f t="shared" si="21"/>
        <v/>
      </c>
      <c r="X85" s="585">
        <v>0</v>
      </c>
      <c r="Y85" s="503">
        <f>IFERROR((($F85-$F84)/100)/$F84*100,0)</f>
        <v>0</v>
      </c>
      <c r="Z85" s="611">
        <f>IFERROR(F83/F85,0)</f>
        <v>0</v>
      </c>
      <c r="AA85" s="560" t="str">
        <f>IFERROR($AB$1/(F85/100)*(F83/100),"")</f>
        <v/>
      </c>
      <c r="AB85" s="421" t="str">
        <f>IFERROR((AA85/(F83/100))*(F85/100),"")</f>
        <v/>
      </c>
      <c r="AC85" s="11"/>
    </row>
    <row r="86" spans="1:29" ht="12.75" customHeight="1">
      <c r="A86" s="364" t="s">
        <v>547</v>
      </c>
      <c r="B86" s="358">
        <v>12</v>
      </c>
      <c r="C86" s="354">
        <v>40</v>
      </c>
      <c r="D86" s="354">
        <v>42.65</v>
      </c>
      <c r="E86" s="358">
        <v>1158</v>
      </c>
      <c r="F86" s="355">
        <v>40.01</v>
      </c>
      <c r="G86" s="356">
        <v>3.3799999999999997E-2</v>
      </c>
      <c r="H86" s="357">
        <v>42.1</v>
      </c>
      <c r="I86" s="329">
        <v>42.7</v>
      </c>
      <c r="J86" s="329">
        <v>40.01</v>
      </c>
      <c r="K86" s="428">
        <v>38.700000000000003</v>
      </c>
      <c r="L86" s="382">
        <v>517</v>
      </c>
      <c r="M86" s="333">
        <v>1260</v>
      </c>
      <c r="N86" s="382">
        <v>9</v>
      </c>
      <c r="O86" s="517">
        <v>45273.6565162037</v>
      </c>
      <c r="P86" s="532">
        <v>85</v>
      </c>
      <c r="Q86" s="431">
        <v>0</v>
      </c>
      <c r="R86" s="482">
        <v>0</v>
      </c>
      <c r="S86" s="491">
        <v>0</v>
      </c>
      <c r="T86" s="376">
        <v>0</v>
      </c>
      <c r="U86" s="459">
        <v>0</v>
      </c>
      <c r="V86" s="577">
        <v>0</v>
      </c>
      <c r="W86" s="584" t="str">
        <f t="shared" si="21"/>
        <v/>
      </c>
      <c r="X86" s="586">
        <v>0</v>
      </c>
      <c r="Y86" s="494">
        <f>($F87*(1-$V$1))-$F86</f>
        <v>0.94080000000000297</v>
      </c>
      <c r="Z86" s="612">
        <f>IFERROR(F82/F86,0)</f>
        <v>1042.876780804799</v>
      </c>
      <c r="AA86" s="559">
        <f>IFERROR($AB$1/(F86/100)*(F82/100),"")</f>
        <v>547510.30992251949</v>
      </c>
      <c r="AB86" s="421">
        <f>IFERROR((AA86/(F82/100))*(F86/100),"")</f>
        <v>525</v>
      </c>
      <c r="AC86" s="11"/>
    </row>
    <row r="87" spans="1:29" ht="12.75" customHeight="1">
      <c r="A87" s="467" t="s">
        <v>548</v>
      </c>
      <c r="B87" s="412">
        <v>277</v>
      </c>
      <c r="C87" s="413">
        <v>41</v>
      </c>
      <c r="D87" s="413">
        <v>41.6</v>
      </c>
      <c r="E87" s="412">
        <v>300</v>
      </c>
      <c r="F87" s="408">
        <v>41</v>
      </c>
      <c r="G87" s="398">
        <v>2.5000000000000001E-2</v>
      </c>
      <c r="H87" s="399">
        <v>42</v>
      </c>
      <c r="I87" s="400">
        <v>42.5</v>
      </c>
      <c r="J87" s="400">
        <v>40.01</v>
      </c>
      <c r="K87" s="424">
        <v>40</v>
      </c>
      <c r="L87" s="405">
        <v>13940</v>
      </c>
      <c r="M87" s="401">
        <v>33390</v>
      </c>
      <c r="N87" s="405">
        <v>37</v>
      </c>
      <c r="O87" s="518">
        <v>45273.697337962964</v>
      </c>
      <c r="P87" s="531">
        <v>86</v>
      </c>
      <c r="Q87" s="432">
        <v>0</v>
      </c>
      <c r="R87" s="484">
        <v>0</v>
      </c>
      <c r="S87" s="492">
        <v>0</v>
      </c>
      <c r="T87" s="406">
        <v>0</v>
      </c>
      <c r="U87" s="460">
        <v>0</v>
      </c>
      <c r="V87" s="461">
        <v>0</v>
      </c>
      <c r="W87" s="588" t="str">
        <f t="shared" si="21"/>
        <v/>
      </c>
      <c r="X87" s="587">
        <v>0</v>
      </c>
      <c r="Y87" s="502">
        <f>IFERROR((($F87-$F86)/100)/$F86*100,0)</f>
        <v>2.4743814046488431E-2</v>
      </c>
      <c r="Z87" s="613">
        <f>IFERROR(F83/F87,0)</f>
        <v>1012.2926829268292</v>
      </c>
      <c r="AA87" s="561">
        <f>IFERROR($AB$1/(F87/100)*(F83/100),"")</f>
        <v>531453.6585365854</v>
      </c>
      <c r="AB87" s="421">
        <f>IFERROR((AA87/(F83/100))*(F87/100),"")</f>
        <v>525</v>
      </c>
    </row>
    <row r="88" spans="1:29" ht="12.75" customHeight="1">
      <c r="A88" s="466" t="s">
        <v>594</v>
      </c>
      <c r="B88" s="385">
        <v>200</v>
      </c>
      <c r="C88" s="323">
        <v>38701</v>
      </c>
      <c r="D88" s="407">
        <v>39000</v>
      </c>
      <c r="E88" s="385">
        <v>51016</v>
      </c>
      <c r="F88" s="499">
        <v>38701.5</v>
      </c>
      <c r="G88" s="339">
        <v>1.1000000000000001E-2</v>
      </c>
      <c r="H88" s="338">
        <v>39600</v>
      </c>
      <c r="I88" s="330">
        <v>42246</v>
      </c>
      <c r="J88" s="330">
        <v>36058</v>
      </c>
      <c r="K88" s="427">
        <v>38279.5</v>
      </c>
      <c r="L88" s="397">
        <v>229571344</v>
      </c>
      <c r="M88" s="334">
        <v>588474</v>
      </c>
      <c r="N88" s="397">
        <v>536</v>
      </c>
      <c r="O88" s="514">
        <v>45273.684594907405</v>
      </c>
      <c r="P88" s="532">
        <v>87</v>
      </c>
      <c r="Q88" s="433">
        <v>0</v>
      </c>
      <c r="R88" s="479">
        <v>0</v>
      </c>
      <c r="S88" s="489">
        <v>0</v>
      </c>
      <c r="T88" s="378">
        <v>0</v>
      </c>
      <c r="U88" s="459">
        <v>0</v>
      </c>
      <c r="V88" s="580">
        <v>0</v>
      </c>
      <c r="W88" s="584" t="str">
        <f t="shared" si="21"/>
        <v/>
      </c>
      <c r="X88" s="584">
        <v>0</v>
      </c>
      <c r="Y88" s="550">
        <f>($C89*(1-$V$1))-$D88</f>
        <v>-46.799999999995634</v>
      </c>
      <c r="Z88" s="609">
        <f>($F88/100*$X$1)-($F89/100*$W$1)+($F89/100*$W$1*($AE$1*$AD$1))</f>
        <v>-14.734267397260545</v>
      </c>
      <c r="AA88" s="640" t="str">
        <f>MID($A88,1,5)</f>
        <v xml:space="preserve">AE38 </v>
      </c>
    </row>
    <row r="89" spans="1:29" ht="12.75" customHeight="1">
      <c r="A89" s="464" t="s">
        <v>183</v>
      </c>
      <c r="B89" s="346">
        <v>24621</v>
      </c>
      <c r="C89" s="348">
        <v>39000</v>
      </c>
      <c r="D89" s="348">
        <v>39300</v>
      </c>
      <c r="E89" s="346">
        <v>11718</v>
      </c>
      <c r="F89" s="349">
        <v>39001</v>
      </c>
      <c r="G89" s="326">
        <v>1.6899999999999998E-2</v>
      </c>
      <c r="H89" s="337">
        <v>39420</v>
      </c>
      <c r="I89" s="328">
        <v>42400</v>
      </c>
      <c r="J89" s="328">
        <v>36000</v>
      </c>
      <c r="K89" s="423">
        <v>38350</v>
      </c>
      <c r="L89" s="335">
        <v>1594356578</v>
      </c>
      <c r="M89" s="332">
        <v>4085831</v>
      </c>
      <c r="N89" s="335">
        <v>1418</v>
      </c>
      <c r="O89" s="515">
        <v>45273.708668981482</v>
      </c>
      <c r="P89" s="531">
        <v>88</v>
      </c>
      <c r="Q89" s="430">
        <v>0</v>
      </c>
      <c r="R89" s="480">
        <v>0</v>
      </c>
      <c r="S89" s="486">
        <v>0</v>
      </c>
      <c r="T89" s="377">
        <v>0</v>
      </c>
      <c r="U89" s="460">
        <v>0</v>
      </c>
      <c r="V89" s="581">
        <v>0</v>
      </c>
      <c r="W89" s="585" t="str">
        <f t="shared" si="21"/>
        <v/>
      </c>
      <c r="X89" s="585">
        <v>0</v>
      </c>
      <c r="Y89" s="622">
        <f>IFERROR((($C89-$D88)/100)/$D88*100,0)</f>
        <v>0</v>
      </c>
      <c r="Z89" s="610">
        <f>$F89/100*$W$1*($AE$1*$AD$1)</f>
        <v>15.215732602739727</v>
      </c>
      <c r="AA89" s="641"/>
    </row>
    <row r="90" spans="1:29" ht="12.75" customHeight="1">
      <c r="A90" s="364" t="s">
        <v>595</v>
      </c>
      <c r="B90" s="353"/>
      <c r="C90" s="354"/>
      <c r="D90" s="354"/>
      <c r="E90" s="353"/>
      <c r="F90" s="355"/>
      <c r="G90" s="356"/>
      <c r="H90" s="357"/>
      <c r="I90" s="329"/>
      <c r="J90" s="329"/>
      <c r="K90" s="428">
        <v>33</v>
      </c>
      <c r="L90" s="382"/>
      <c r="M90" s="333"/>
      <c r="N90" s="382"/>
      <c r="O90" s="517"/>
      <c r="P90" s="532">
        <v>89</v>
      </c>
      <c r="Q90" s="431">
        <v>0</v>
      </c>
      <c r="R90" s="482">
        <v>0</v>
      </c>
      <c r="S90" s="491">
        <v>0</v>
      </c>
      <c r="T90" s="376">
        <v>0</v>
      </c>
      <c r="U90" s="459">
        <v>0</v>
      </c>
      <c r="V90" s="583">
        <v>0</v>
      </c>
      <c r="W90" s="584" t="str">
        <f t="shared" si="21"/>
        <v/>
      </c>
      <c r="X90" s="586">
        <v>0</v>
      </c>
      <c r="Y90" s="493">
        <f>($F91*(1-$V$1))-$F90</f>
        <v>0</v>
      </c>
      <c r="Z90" s="598">
        <f>IFERROR(F88/F90,0)</f>
        <v>0</v>
      </c>
      <c r="AA90" s="559" t="str">
        <f>IFERROR($AB$1/(F90/100)*(F88/100),"")</f>
        <v/>
      </c>
      <c r="AB90" s="421" t="str">
        <f>IFERROR((AA90/(F88/100))*(F90/100),"")</f>
        <v/>
      </c>
    </row>
    <row r="91" spans="1:29" ht="12.75" customHeight="1">
      <c r="A91" s="544" t="s">
        <v>230</v>
      </c>
      <c r="B91" s="345"/>
      <c r="C91" s="347"/>
      <c r="D91" s="347"/>
      <c r="E91" s="345"/>
      <c r="F91" s="349"/>
      <c r="G91" s="326"/>
      <c r="H91" s="337"/>
      <c r="I91" s="328"/>
      <c r="J91" s="328"/>
      <c r="K91" s="423">
        <v>35</v>
      </c>
      <c r="L91" s="335"/>
      <c r="M91" s="332"/>
      <c r="N91" s="335"/>
      <c r="O91" s="515"/>
      <c r="P91" s="531">
        <v>90</v>
      </c>
      <c r="Q91" s="430">
        <v>0</v>
      </c>
      <c r="R91" s="480">
        <v>0</v>
      </c>
      <c r="S91" s="486">
        <v>0</v>
      </c>
      <c r="T91" s="377">
        <v>0</v>
      </c>
      <c r="U91" s="460">
        <v>0</v>
      </c>
      <c r="V91" s="582">
        <v>0</v>
      </c>
      <c r="W91" s="585" t="str">
        <f t="shared" si="21"/>
        <v/>
      </c>
      <c r="X91" s="585">
        <v>0</v>
      </c>
      <c r="Y91" s="503">
        <f>IFERROR((($F91-$F90)/100)/$F90*100,0)</f>
        <v>0</v>
      </c>
      <c r="Z91" s="611">
        <f>IFERROR(F89/F91,0)</f>
        <v>0</v>
      </c>
      <c r="AA91" s="560" t="str">
        <f>IFERROR($AB$1/(F91/100)*(F89/100),"")</f>
        <v/>
      </c>
      <c r="AB91" s="421" t="str">
        <f>IFERROR((AA91/(F89/100))*(F91/100),"")</f>
        <v/>
      </c>
    </row>
    <row r="92" spans="1:29" ht="12.75" customHeight="1">
      <c r="A92" s="364" t="s">
        <v>596</v>
      </c>
      <c r="B92" s="358">
        <v>1551</v>
      </c>
      <c r="C92" s="354">
        <v>38</v>
      </c>
      <c r="D92" s="354">
        <v>38.5</v>
      </c>
      <c r="E92" s="358">
        <v>100</v>
      </c>
      <c r="F92" s="355">
        <v>38</v>
      </c>
      <c r="G92" s="356">
        <v>2.0099999999999996E-2</v>
      </c>
      <c r="H92" s="357">
        <v>37.299999999999997</v>
      </c>
      <c r="I92" s="329">
        <v>39</v>
      </c>
      <c r="J92" s="329">
        <v>37.299999999999997</v>
      </c>
      <c r="K92" s="428">
        <v>37.25</v>
      </c>
      <c r="L92" s="382">
        <v>12461</v>
      </c>
      <c r="M92" s="333">
        <v>32853</v>
      </c>
      <c r="N92" s="382">
        <v>27</v>
      </c>
      <c r="O92" s="517">
        <v>45273.656192129631</v>
      </c>
      <c r="P92" s="532">
        <v>91</v>
      </c>
      <c r="Q92" s="431">
        <v>0</v>
      </c>
      <c r="R92" s="482">
        <v>0</v>
      </c>
      <c r="S92" s="491">
        <v>0</v>
      </c>
      <c r="T92" s="376">
        <v>0</v>
      </c>
      <c r="U92" s="459">
        <v>0</v>
      </c>
      <c r="V92" s="577">
        <v>0</v>
      </c>
      <c r="W92" s="584" t="str">
        <f t="shared" si="21"/>
        <v/>
      </c>
      <c r="X92" s="586">
        <v>0</v>
      </c>
      <c r="Y92" s="494">
        <f>($F93*(1-$V$1))-$F92</f>
        <v>0.43382399999999421</v>
      </c>
      <c r="Z92" s="612">
        <f>IFERROR(F88/F92,0)</f>
        <v>1018.4605263157895</v>
      </c>
      <c r="AA92" s="559">
        <f>IFERROR($AB$1/(F92/100)*(F88/100),"")</f>
        <v>534691.77631578944</v>
      </c>
      <c r="AB92" s="421">
        <f>IFERROR((AA92/(F88/100))*(F92/100),"")</f>
        <v>525</v>
      </c>
    </row>
    <row r="93" spans="1:29" ht="12.75" customHeight="1">
      <c r="A93" s="467" t="s">
        <v>231</v>
      </c>
      <c r="B93" s="412">
        <v>100</v>
      </c>
      <c r="C93" s="413">
        <v>38.450000000000003</v>
      </c>
      <c r="D93" s="413">
        <v>38.479999999999997</v>
      </c>
      <c r="E93" s="412">
        <v>1072</v>
      </c>
      <c r="F93" s="408">
        <v>38.479999999999997</v>
      </c>
      <c r="G93" s="398">
        <v>1.5300000000000001E-2</v>
      </c>
      <c r="H93" s="399">
        <v>38.700000000000003</v>
      </c>
      <c r="I93" s="400">
        <v>39.5</v>
      </c>
      <c r="J93" s="400">
        <v>37.11</v>
      </c>
      <c r="K93" s="424">
        <v>37.9</v>
      </c>
      <c r="L93" s="405">
        <v>144986</v>
      </c>
      <c r="M93" s="401">
        <v>378782</v>
      </c>
      <c r="N93" s="405">
        <v>174</v>
      </c>
      <c r="O93" s="518">
        <v>45273.708368055559</v>
      </c>
      <c r="P93" s="531">
        <v>92</v>
      </c>
      <c r="Q93" s="432">
        <v>0</v>
      </c>
      <c r="R93" s="484">
        <v>0</v>
      </c>
      <c r="S93" s="492">
        <v>0</v>
      </c>
      <c r="T93" s="406">
        <v>0</v>
      </c>
      <c r="U93" s="460">
        <v>0</v>
      </c>
      <c r="V93" s="461">
        <v>0</v>
      </c>
      <c r="W93" s="588" t="str">
        <f t="shared" si="21"/>
        <v/>
      </c>
      <c r="X93" s="587">
        <v>0</v>
      </c>
      <c r="Y93" s="502">
        <f>IFERROR((($F93-$F92)/100)/$F92*100,0)</f>
        <v>1.2631578947368338E-2</v>
      </c>
      <c r="Z93" s="613">
        <f>IFERROR(F89/F93,0)</f>
        <v>1013.5395010395011</v>
      </c>
      <c r="AA93" s="561">
        <f>IFERROR($AB$1/(F93/100)*(F89/100),"")</f>
        <v>532108.23804573808</v>
      </c>
      <c r="AB93" s="421">
        <f>IFERROR((AA93/(F89/100))*(F93/100),"")</f>
        <v>525</v>
      </c>
    </row>
    <row r="94" spans="1:29" ht="12.75" customHeight="1">
      <c r="A94" s="466" t="s">
        <v>588</v>
      </c>
      <c r="B94" s="385">
        <v>61</v>
      </c>
      <c r="C94" s="323">
        <v>39120</v>
      </c>
      <c r="D94" s="407">
        <v>39900</v>
      </c>
      <c r="E94" s="385">
        <v>800</v>
      </c>
      <c r="F94" s="499">
        <v>39120</v>
      </c>
      <c r="G94" s="339">
        <v>1.0800000000000001E-2</v>
      </c>
      <c r="H94" s="338">
        <v>42324.5</v>
      </c>
      <c r="I94" s="330">
        <v>42799.5</v>
      </c>
      <c r="J94" s="330">
        <v>37001</v>
      </c>
      <c r="K94" s="427">
        <v>38700</v>
      </c>
      <c r="L94" s="397">
        <v>207297425</v>
      </c>
      <c r="M94" s="334">
        <v>537997</v>
      </c>
      <c r="N94" s="397">
        <v>334</v>
      </c>
      <c r="O94" s="514">
        <v>45273.687604166669</v>
      </c>
      <c r="P94" s="532">
        <v>93</v>
      </c>
      <c r="Q94" s="433">
        <v>0</v>
      </c>
      <c r="R94" s="479">
        <v>0</v>
      </c>
      <c r="S94" s="489">
        <v>0</v>
      </c>
      <c r="T94" s="378">
        <v>0</v>
      </c>
      <c r="U94" s="459">
        <v>0</v>
      </c>
      <c r="V94" s="580">
        <v>0</v>
      </c>
      <c r="W94" s="584" t="str">
        <f t="shared" si="21"/>
        <v/>
      </c>
      <c r="X94" s="584">
        <v>0</v>
      </c>
      <c r="Y94" s="550">
        <f>($C95*(1-$V$1))-$D94</f>
        <v>-247.63999999999942</v>
      </c>
      <c r="Z94" s="609">
        <f>($F94/100*$X$1)-($F95/100*$W$1)+($F95/100*$W$1*($AE$1*$AD$1))</f>
        <v>-56.357332602739362</v>
      </c>
      <c r="AA94" s="640" t="str">
        <f>MID($A94,1,5)</f>
        <v xml:space="preserve">AL29 </v>
      </c>
    </row>
    <row r="95" spans="1:29" ht="12.75" customHeight="1">
      <c r="A95" s="464" t="s">
        <v>186</v>
      </c>
      <c r="B95" s="346">
        <v>5</v>
      </c>
      <c r="C95" s="348">
        <v>39700</v>
      </c>
      <c r="D95" s="348">
        <v>39839</v>
      </c>
      <c r="E95" s="346">
        <v>2917</v>
      </c>
      <c r="F95" s="349">
        <v>39839</v>
      </c>
      <c r="G95" s="326">
        <v>2.6699999999999998E-2</v>
      </c>
      <c r="H95" s="337">
        <v>39500</v>
      </c>
      <c r="I95" s="328">
        <v>43164</v>
      </c>
      <c r="J95" s="328">
        <v>38200</v>
      </c>
      <c r="K95" s="423">
        <v>38800</v>
      </c>
      <c r="L95" s="335">
        <v>860442785</v>
      </c>
      <c r="M95" s="332">
        <v>2184362</v>
      </c>
      <c r="N95" s="335">
        <v>1011</v>
      </c>
      <c r="O95" s="515">
        <v>45273.708402777775</v>
      </c>
      <c r="P95" s="531">
        <v>94</v>
      </c>
      <c r="Q95" s="430">
        <v>0</v>
      </c>
      <c r="R95" s="480">
        <v>0</v>
      </c>
      <c r="S95" s="486">
        <v>0</v>
      </c>
      <c r="T95" s="377">
        <v>0</v>
      </c>
      <c r="U95" s="460">
        <v>0</v>
      </c>
      <c r="V95" s="581">
        <v>0</v>
      </c>
      <c r="W95" s="585" t="str">
        <f t="shared" si="21"/>
        <v/>
      </c>
      <c r="X95" s="585">
        <v>0</v>
      </c>
      <c r="Y95" s="622">
        <f>IFERROR((($C95-$D94)/100)/$D94*100,0)</f>
        <v>-5.0125313283208026E-3</v>
      </c>
      <c r="Z95" s="610">
        <f>$F95/100*$W$1*($AE$1*$AD$1)</f>
        <v>15.542667397260274</v>
      </c>
      <c r="AA95" s="641"/>
    </row>
    <row r="96" spans="1:29" ht="12.75" customHeight="1">
      <c r="A96" s="364" t="s">
        <v>589</v>
      </c>
      <c r="B96" s="353"/>
      <c r="C96" s="354"/>
      <c r="D96" s="354"/>
      <c r="E96" s="353"/>
      <c r="F96" s="355"/>
      <c r="G96" s="356"/>
      <c r="H96" s="357"/>
      <c r="I96" s="329"/>
      <c r="J96" s="329"/>
      <c r="K96" s="428">
        <v>22.5</v>
      </c>
      <c r="L96" s="382"/>
      <c r="M96" s="333"/>
      <c r="N96" s="382"/>
      <c r="O96" s="517"/>
      <c r="P96" s="532">
        <v>95</v>
      </c>
      <c r="Q96" s="431">
        <v>0</v>
      </c>
      <c r="R96" s="482">
        <v>0</v>
      </c>
      <c r="S96" s="491">
        <v>0</v>
      </c>
      <c r="T96" s="376">
        <v>0</v>
      </c>
      <c r="U96" s="459">
        <v>0</v>
      </c>
      <c r="V96" s="583">
        <v>0</v>
      </c>
      <c r="W96" s="584" t="str">
        <f t="shared" si="21"/>
        <v/>
      </c>
      <c r="X96" s="586">
        <v>0</v>
      </c>
      <c r="Y96" s="493">
        <f>($F97*(1-$V$1))-$F96</f>
        <v>0</v>
      </c>
      <c r="Z96" s="598">
        <f>IFERROR(F94/F96,0)</f>
        <v>0</v>
      </c>
      <c r="AA96" s="559" t="str">
        <f>IFERROR($AB$1/(F96/100)*(F94/100),"")</f>
        <v/>
      </c>
      <c r="AB96" s="421" t="str">
        <f>IFERROR((AA96/(F94/100))*(F96/100),"")</f>
        <v/>
      </c>
    </row>
    <row r="97" spans="1:28" ht="12.75" customHeight="1">
      <c r="A97" s="544" t="s">
        <v>238</v>
      </c>
      <c r="B97" s="345"/>
      <c r="C97" s="347"/>
      <c r="D97" s="347"/>
      <c r="E97" s="345"/>
      <c r="F97" s="349"/>
      <c r="G97" s="326"/>
      <c r="H97" s="337"/>
      <c r="I97" s="328"/>
      <c r="J97" s="328"/>
      <c r="K97" s="423">
        <v>27.25</v>
      </c>
      <c r="L97" s="335"/>
      <c r="M97" s="332"/>
      <c r="N97" s="335"/>
      <c r="O97" s="515"/>
      <c r="P97" s="531">
        <v>96</v>
      </c>
      <c r="Q97" s="430">
        <v>0</v>
      </c>
      <c r="R97" s="480">
        <v>0</v>
      </c>
      <c r="S97" s="486">
        <v>0</v>
      </c>
      <c r="T97" s="377">
        <v>0</v>
      </c>
      <c r="U97" s="460">
        <v>0</v>
      </c>
      <c r="V97" s="582">
        <v>0</v>
      </c>
      <c r="W97" s="585" t="str">
        <f t="shared" si="21"/>
        <v/>
      </c>
      <c r="X97" s="585">
        <v>0</v>
      </c>
      <c r="Y97" s="503">
        <f>IFERROR((($F97-$F96)/100)/$F96*100,0)</f>
        <v>0</v>
      </c>
      <c r="Z97" s="611">
        <f>IFERROR(F95/F97,0)</f>
        <v>0</v>
      </c>
      <c r="AA97" s="560" t="str">
        <f>IFERROR($AB$1/(F97/100)*(F95/100),"")</f>
        <v/>
      </c>
      <c r="AB97" s="421" t="str">
        <f>IFERROR((AA97/(F95/100))*(F97/100),"")</f>
        <v/>
      </c>
    </row>
    <row r="98" spans="1:28" ht="12.75" customHeight="1">
      <c r="A98" s="364" t="s">
        <v>590</v>
      </c>
      <c r="B98" s="358">
        <v>33</v>
      </c>
      <c r="C98" s="354">
        <v>37.6</v>
      </c>
      <c r="D98" s="354">
        <v>39</v>
      </c>
      <c r="E98" s="358">
        <v>5116</v>
      </c>
      <c r="F98" s="355">
        <v>39</v>
      </c>
      <c r="G98" s="356">
        <v>2.63E-2</v>
      </c>
      <c r="H98" s="357">
        <v>38</v>
      </c>
      <c r="I98" s="329">
        <v>40</v>
      </c>
      <c r="J98" s="329">
        <v>37.5</v>
      </c>
      <c r="K98" s="428">
        <v>38</v>
      </c>
      <c r="L98" s="382">
        <v>23006</v>
      </c>
      <c r="M98" s="333">
        <v>59891</v>
      </c>
      <c r="N98" s="382">
        <v>47</v>
      </c>
      <c r="O98" s="517">
        <v>45273.666307870371</v>
      </c>
      <c r="P98" s="532">
        <v>97</v>
      </c>
      <c r="Q98" s="431">
        <v>0</v>
      </c>
      <c r="R98" s="482">
        <v>0</v>
      </c>
      <c r="S98" s="491">
        <v>0</v>
      </c>
      <c r="T98" s="376">
        <v>0</v>
      </c>
      <c r="U98" s="459">
        <v>0</v>
      </c>
      <c r="V98" s="577">
        <v>0</v>
      </c>
      <c r="W98" s="584" t="str">
        <f t="shared" si="21"/>
        <v/>
      </c>
      <c r="X98" s="586">
        <v>0</v>
      </c>
      <c r="Y98" s="494">
        <f>($F99*(1-$V$1))-$F98</f>
        <v>-4.679999999999751E-2</v>
      </c>
      <c r="Z98" s="612">
        <f>IFERROR(F94/F98,0)</f>
        <v>1003.0769230769231</v>
      </c>
      <c r="AA98" s="559">
        <f>IFERROR($AB$1/(F98/100)*(F94/100),"")</f>
        <v>526615.38461538462</v>
      </c>
      <c r="AB98" s="421">
        <f>IFERROR((AA98/(F94/100))*(F98/100),"")</f>
        <v>525</v>
      </c>
    </row>
    <row r="99" spans="1:28" ht="12.75" customHeight="1">
      <c r="A99" s="467" t="s">
        <v>239</v>
      </c>
      <c r="B99" s="412">
        <v>3075</v>
      </c>
      <c r="C99" s="413">
        <v>39</v>
      </c>
      <c r="D99" s="413">
        <v>39.29</v>
      </c>
      <c r="E99" s="412">
        <v>1550</v>
      </c>
      <c r="F99" s="408">
        <v>39</v>
      </c>
      <c r="G99" s="398">
        <v>1.29E-2</v>
      </c>
      <c r="H99" s="399">
        <v>39.9</v>
      </c>
      <c r="I99" s="400">
        <v>39.9</v>
      </c>
      <c r="J99" s="400">
        <v>37.5</v>
      </c>
      <c r="K99" s="424">
        <v>38.5</v>
      </c>
      <c r="L99" s="405">
        <v>59497</v>
      </c>
      <c r="M99" s="401">
        <v>153560</v>
      </c>
      <c r="N99" s="405">
        <v>105</v>
      </c>
      <c r="O99" s="518">
        <v>45273.708599537036</v>
      </c>
      <c r="P99" s="531">
        <v>98</v>
      </c>
      <c r="Q99" s="432">
        <v>0</v>
      </c>
      <c r="R99" s="484">
        <v>0</v>
      </c>
      <c r="S99" s="492">
        <v>0</v>
      </c>
      <c r="T99" s="406">
        <v>0</v>
      </c>
      <c r="U99" s="460">
        <v>0</v>
      </c>
      <c r="V99" s="461">
        <v>0</v>
      </c>
      <c r="W99" s="588" t="str">
        <f t="shared" si="21"/>
        <v/>
      </c>
      <c r="X99" s="587">
        <v>0</v>
      </c>
      <c r="Y99" s="502">
        <f>IFERROR((($F99-$F98)/100)/$F98*100,0)</f>
        <v>0</v>
      </c>
      <c r="Z99" s="613">
        <f>IFERROR(F95/F99,0)</f>
        <v>1021.5128205128206</v>
      </c>
      <c r="AA99" s="561">
        <f>IFERROR($AB$1/(F99/100)*(F95/100),"")</f>
        <v>536294.23076923075</v>
      </c>
      <c r="AB99" s="421">
        <f>IFERROR((AA99/(F95/100))*(F99/100),"")</f>
        <v>525</v>
      </c>
    </row>
    <row r="100" spans="1:28" ht="12.75" customHeight="1">
      <c r="A100" s="466" t="s">
        <v>591</v>
      </c>
      <c r="B100" s="385">
        <v>555</v>
      </c>
      <c r="C100" s="323">
        <v>35851</v>
      </c>
      <c r="D100" s="407">
        <v>36410</v>
      </c>
      <c r="E100" s="385">
        <v>2521</v>
      </c>
      <c r="F100" s="499">
        <v>35851</v>
      </c>
      <c r="G100" s="339">
        <v>8.3999999999999995E-3</v>
      </c>
      <c r="H100" s="338">
        <v>38859</v>
      </c>
      <c r="I100" s="330">
        <v>39519.5</v>
      </c>
      <c r="J100" s="330">
        <v>34675</v>
      </c>
      <c r="K100" s="427">
        <v>35550</v>
      </c>
      <c r="L100" s="397">
        <v>234556774</v>
      </c>
      <c r="M100" s="334">
        <v>644118</v>
      </c>
      <c r="N100" s="397">
        <v>643</v>
      </c>
      <c r="O100" s="514">
        <v>45273.685358796298</v>
      </c>
      <c r="P100" s="532">
        <v>99</v>
      </c>
      <c r="Q100" s="433">
        <v>0</v>
      </c>
      <c r="R100" s="479">
        <v>0</v>
      </c>
      <c r="S100" s="489">
        <v>0</v>
      </c>
      <c r="T100" s="378">
        <v>0</v>
      </c>
      <c r="U100" s="459">
        <v>0</v>
      </c>
      <c r="V100" s="580">
        <v>0</v>
      </c>
      <c r="W100" s="584" t="str">
        <f t="shared" si="21"/>
        <v/>
      </c>
      <c r="X100" s="584">
        <v>0</v>
      </c>
      <c r="Y100" s="550">
        <f>($C101*(1-$V$1))-$D100</f>
        <v>-353.31999999999971</v>
      </c>
      <c r="Z100" s="609">
        <f>($F100/100*$X$1)-($F101/100*$W$1)+($F101/100*$W$1*($AE$1*$AD$1))</f>
        <v>-15.796547945205569</v>
      </c>
      <c r="AA100" s="640" t="str">
        <f>MID($A100,1,5)</f>
        <v xml:space="preserve">AL35 </v>
      </c>
    </row>
    <row r="101" spans="1:28" ht="12.75" customHeight="1">
      <c r="A101" s="464" t="s">
        <v>184</v>
      </c>
      <c r="B101" s="346">
        <v>239</v>
      </c>
      <c r="C101" s="348">
        <v>36100</v>
      </c>
      <c r="D101" s="348">
        <v>36350</v>
      </c>
      <c r="E101" s="346">
        <v>27531</v>
      </c>
      <c r="F101" s="349">
        <v>36150</v>
      </c>
      <c r="G101" s="326">
        <v>2.69E-2</v>
      </c>
      <c r="H101" s="337">
        <v>35600</v>
      </c>
      <c r="I101" s="328">
        <v>39998</v>
      </c>
      <c r="J101" s="328">
        <v>34500</v>
      </c>
      <c r="K101" s="423">
        <v>35200</v>
      </c>
      <c r="L101" s="335">
        <v>3558867087</v>
      </c>
      <c r="M101" s="332">
        <v>9934356</v>
      </c>
      <c r="N101" s="335">
        <v>1497</v>
      </c>
      <c r="O101" s="515">
        <v>45273.708564814813</v>
      </c>
      <c r="P101" s="531">
        <v>100</v>
      </c>
      <c r="Q101" s="430">
        <v>0</v>
      </c>
      <c r="R101" s="480">
        <v>0</v>
      </c>
      <c r="S101" s="486">
        <v>0</v>
      </c>
      <c r="T101" s="377">
        <v>0</v>
      </c>
      <c r="U101" s="460">
        <v>0</v>
      </c>
      <c r="V101" s="581">
        <v>0</v>
      </c>
      <c r="W101" s="585" t="str">
        <f t="shared" si="21"/>
        <v/>
      </c>
      <c r="X101" s="585">
        <v>0</v>
      </c>
      <c r="Y101" s="622">
        <f>IFERROR((($C101-$D100)/100)/$D100*100,0)</f>
        <v>-8.5141444658060964E-3</v>
      </c>
      <c r="Z101" s="610">
        <f>$F101/100*$W$1*($AE$1*$AD$1)</f>
        <v>14.103452054794522</v>
      </c>
      <c r="AA101" s="641"/>
    </row>
    <row r="102" spans="1:28" ht="12.75" customHeight="1">
      <c r="A102" s="364" t="s">
        <v>592</v>
      </c>
      <c r="B102" s="353">
        <v>1230</v>
      </c>
      <c r="C102" s="354">
        <v>28.2</v>
      </c>
      <c r="D102" s="354"/>
      <c r="E102" s="353"/>
      <c r="F102" s="355"/>
      <c r="G102" s="356"/>
      <c r="H102" s="357"/>
      <c r="I102" s="329"/>
      <c r="J102" s="329"/>
      <c r="K102" s="428">
        <v>28.25</v>
      </c>
      <c r="L102" s="382"/>
      <c r="M102" s="333"/>
      <c r="N102" s="382"/>
      <c r="O102" s="517"/>
      <c r="P102" s="532">
        <v>101</v>
      </c>
      <c r="Q102" s="431">
        <v>0</v>
      </c>
      <c r="R102" s="482">
        <v>0</v>
      </c>
      <c r="S102" s="491">
        <v>0</v>
      </c>
      <c r="T102" s="376">
        <v>0</v>
      </c>
      <c r="U102" s="459">
        <v>0</v>
      </c>
      <c r="V102" s="583">
        <v>0</v>
      </c>
      <c r="W102" s="584" t="str">
        <f t="shared" si="21"/>
        <v/>
      </c>
      <c r="X102" s="586">
        <v>0</v>
      </c>
      <c r="Y102" s="493">
        <f>($F103*(1-$V$1))-$F102</f>
        <v>0</v>
      </c>
      <c r="Z102" s="598">
        <f>IFERROR(F100/F102,0)</f>
        <v>0</v>
      </c>
      <c r="AA102" s="559" t="str">
        <f>IFERROR($AB$1/(F102/100)*(F100/100),"")</f>
        <v/>
      </c>
      <c r="AB102" s="421" t="str">
        <f>IFERROR((AA102/(F100/100))*(F102/100),"")</f>
        <v/>
      </c>
    </row>
    <row r="103" spans="1:28" ht="12.75" customHeight="1">
      <c r="A103" s="544" t="s">
        <v>240</v>
      </c>
      <c r="B103" s="345"/>
      <c r="C103" s="347"/>
      <c r="D103" s="347"/>
      <c r="E103" s="345"/>
      <c r="F103" s="349"/>
      <c r="G103" s="326"/>
      <c r="H103" s="337"/>
      <c r="I103" s="328"/>
      <c r="J103" s="328"/>
      <c r="K103" s="423">
        <v>25.5</v>
      </c>
      <c r="L103" s="335"/>
      <c r="M103" s="332"/>
      <c r="N103" s="335"/>
      <c r="O103" s="515"/>
      <c r="P103" s="531">
        <v>102</v>
      </c>
      <c r="Q103" s="430">
        <v>0</v>
      </c>
      <c r="R103" s="480">
        <v>0</v>
      </c>
      <c r="S103" s="486">
        <v>0</v>
      </c>
      <c r="T103" s="377">
        <v>0</v>
      </c>
      <c r="U103" s="460">
        <v>0</v>
      </c>
      <c r="V103" s="582">
        <v>0</v>
      </c>
      <c r="W103" s="585" t="str">
        <f t="shared" si="21"/>
        <v/>
      </c>
      <c r="X103" s="585">
        <v>0</v>
      </c>
      <c r="Y103" s="503">
        <f>IFERROR((($F103-$F102)/100)/$F102*100,0)</f>
        <v>0</v>
      </c>
      <c r="Z103" s="611">
        <f>IFERROR(F101/F103,0)</f>
        <v>0</v>
      </c>
      <c r="AA103" s="560" t="str">
        <f>IFERROR($AB$1/(F103/100)*(F101/100),"")</f>
        <v/>
      </c>
      <c r="AB103" s="421" t="str">
        <f>IFERROR((AA103/(F101/100))*(F103/100),"")</f>
        <v/>
      </c>
    </row>
    <row r="104" spans="1:28" ht="12.75" customHeight="1">
      <c r="A104" s="364" t="s">
        <v>593</v>
      </c>
      <c r="B104" s="358">
        <v>51442</v>
      </c>
      <c r="C104" s="354">
        <v>34.97</v>
      </c>
      <c r="D104" s="354">
        <v>35.091999999999999</v>
      </c>
      <c r="E104" s="358">
        <v>17</v>
      </c>
      <c r="F104" s="355">
        <v>35.091999999999999</v>
      </c>
      <c r="G104" s="356">
        <v>2.5999999999999999E-3</v>
      </c>
      <c r="H104" s="357">
        <v>35.1</v>
      </c>
      <c r="I104" s="329">
        <v>36</v>
      </c>
      <c r="J104" s="329">
        <v>34.58</v>
      </c>
      <c r="K104" s="428">
        <v>35</v>
      </c>
      <c r="L104" s="382">
        <v>48882</v>
      </c>
      <c r="M104" s="333">
        <v>139253</v>
      </c>
      <c r="N104" s="382">
        <v>62</v>
      </c>
      <c r="O104" s="517">
        <v>45273.683194444442</v>
      </c>
      <c r="P104" s="532">
        <v>103</v>
      </c>
      <c r="Q104" s="431">
        <v>0</v>
      </c>
      <c r="R104" s="482">
        <v>0</v>
      </c>
      <c r="S104" s="491">
        <v>0</v>
      </c>
      <c r="T104" s="376">
        <v>0</v>
      </c>
      <c r="U104" s="459">
        <v>0</v>
      </c>
      <c r="V104" s="577">
        <v>0</v>
      </c>
      <c r="W104" s="584" t="str">
        <f t="shared" si="21"/>
        <v/>
      </c>
      <c r="X104" s="586">
        <v>0</v>
      </c>
      <c r="Y104" s="494">
        <f>($F105*(1-$V$1))-$F104</f>
        <v>0.66503999999999763</v>
      </c>
      <c r="Z104" s="612">
        <f>IFERROR(F100/F104,0)</f>
        <v>1021.628861278924</v>
      </c>
      <c r="AA104" s="559">
        <f>IFERROR($AB$1/(F104/100)*(F100/100),"")</f>
        <v>536355.15217143507</v>
      </c>
      <c r="AB104" s="421">
        <f>IFERROR((AA104/(F100/100))*(F104/100),"")</f>
        <v>525</v>
      </c>
    </row>
    <row r="105" spans="1:28" ht="12.75" customHeight="1">
      <c r="A105" s="467" t="s">
        <v>241</v>
      </c>
      <c r="B105" s="412">
        <v>13418</v>
      </c>
      <c r="C105" s="413">
        <v>35.421999999999997</v>
      </c>
      <c r="D105" s="413">
        <v>35.799999999999997</v>
      </c>
      <c r="E105" s="412">
        <v>254</v>
      </c>
      <c r="F105" s="408">
        <v>35.799999999999997</v>
      </c>
      <c r="G105" s="398">
        <v>1.9900000000000001E-2</v>
      </c>
      <c r="H105" s="399">
        <v>35.299999999999997</v>
      </c>
      <c r="I105" s="400">
        <v>36.28</v>
      </c>
      <c r="J105" s="400">
        <v>35.299999999999997</v>
      </c>
      <c r="K105" s="424">
        <v>35.1</v>
      </c>
      <c r="L105" s="405">
        <v>111040</v>
      </c>
      <c r="M105" s="401">
        <v>311099</v>
      </c>
      <c r="N105" s="405">
        <v>162</v>
      </c>
      <c r="O105" s="518">
        <v>45273.708634259259</v>
      </c>
      <c r="P105" s="531">
        <v>104</v>
      </c>
      <c r="Q105" s="432">
        <v>0</v>
      </c>
      <c r="R105" s="484">
        <v>0</v>
      </c>
      <c r="S105" s="492">
        <v>0</v>
      </c>
      <c r="T105" s="406">
        <v>0</v>
      </c>
      <c r="U105" s="460">
        <v>0</v>
      </c>
      <c r="V105" s="461">
        <v>0</v>
      </c>
      <c r="W105" s="588" t="str">
        <f t="shared" si="21"/>
        <v/>
      </c>
      <c r="X105" s="587">
        <v>0</v>
      </c>
      <c r="Y105" s="502">
        <f>IFERROR((($F105-$F104)/100)/$F104*100,0)</f>
        <v>2.0175538584292673E-2</v>
      </c>
      <c r="Z105" s="613">
        <f>IFERROR(F101/F105,0)</f>
        <v>1009.7765363128492</v>
      </c>
      <c r="AA105" s="561">
        <f>IFERROR($AB$1/(F105/100)*(F101/100),"")</f>
        <v>530132.68156424584</v>
      </c>
      <c r="AB105" s="421">
        <f>IFERROR((AA105/(F101/100))*(F105/100),"")</f>
        <v>525</v>
      </c>
    </row>
    <row r="106" spans="1:28" ht="12.75" customHeight="1">
      <c r="A106" s="466" t="s">
        <v>597</v>
      </c>
      <c r="B106" s="385">
        <v>174</v>
      </c>
      <c r="C106" s="323">
        <v>36200</v>
      </c>
      <c r="D106" s="407">
        <v>36899</v>
      </c>
      <c r="E106" s="385">
        <v>1000</v>
      </c>
      <c r="F106" s="499">
        <v>36999.5</v>
      </c>
      <c r="G106" s="339">
        <v>5.7099999999999998E-2</v>
      </c>
      <c r="H106" s="338">
        <v>38500</v>
      </c>
      <c r="I106" s="330">
        <v>39663.5</v>
      </c>
      <c r="J106" s="330">
        <v>35000</v>
      </c>
      <c r="K106" s="427">
        <v>35000</v>
      </c>
      <c r="L106" s="397">
        <v>75652266</v>
      </c>
      <c r="M106" s="334">
        <v>210480</v>
      </c>
      <c r="N106" s="397">
        <v>250</v>
      </c>
      <c r="O106" s="514">
        <v>45273.684467592589</v>
      </c>
      <c r="P106" s="532">
        <v>105</v>
      </c>
      <c r="Q106" s="433">
        <v>0</v>
      </c>
      <c r="R106" s="479">
        <v>0</v>
      </c>
      <c r="S106" s="489">
        <v>0</v>
      </c>
      <c r="T106" s="378">
        <v>0</v>
      </c>
      <c r="U106" s="459">
        <v>0</v>
      </c>
      <c r="V106" s="580">
        <v>0</v>
      </c>
      <c r="W106" s="584" t="str">
        <f t="shared" si="21"/>
        <v/>
      </c>
      <c r="X106" s="584">
        <v>0</v>
      </c>
      <c r="Y106" s="550">
        <f>($C107*(1-$V$1))-$D106</f>
        <v>-692.5</v>
      </c>
      <c r="Z106" s="609">
        <f>($F106/100*$X$1)-($F107/100*$W$1)+($F107/100*$W$1*($AE$1*$AD$1))</f>
        <v>89.092465753424477</v>
      </c>
      <c r="AA106" s="640" t="str">
        <f>MID($A106,1,5)</f>
        <v xml:space="preserve">AL41 </v>
      </c>
    </row>
    <row r="107" spans="1:28" ht="12.75" customHeight="1">
      <c r="A107" s="464" t="s">
        <v>185</v>
      </c>
      <c r="B107" s="346">
        <v>39789</v>
      </c>
      <c r="C107" s="348">
        <v>36250</v>
      </c>
      <c r="D107" s="348">
        <v>36620</v>
      </c>
      <c r="E107" s="346">
        <v>2074</v>
      </c>
      <c r="F107" s="349">
        <v>36250</v>
      </c>
      <c r="G107" s="326">
        <v>2.8300000000000002E-2</v>
      </c>
      <c r="H107" s="337">
        <v>36006</v>
      </c>
      <c r="I107" s="328">
        <v>41371.5</v>
      </c>
      <c r="J107" s="328">
        <v>34200</v>
      </c>
      <c r="K107" s="423">
        <v>35251</v>
      </c>
      <c r="L107" s="335">
        <v>208557761</v>
      </c>
      <c r="M107" s="332">
        <v>579626</v>
      </c>
      <c r="N107" s="335">
        <v>504</v>
      </c>
      <c r="O107" s="515">
        <v>45273.708599537036</v>
      </c>
      <c r="P107" s="531">
        <v>106</v>
      </c>
      <c r="Q107" s="430">
        <v>0</v>
      </c>
      <c r="R107" s="480">
        <v>0</v>
      </c>
      <c r="S107" s="486">
        <v>0</v>
      </c>
      <c r="T107" s="377">
        <v>0</v>
      </c>
      <c r="U107" s="460">
        <v>0</v>
      </c>
      <c r="V107" s="581">
        <v>0</v>
      </c>
      <c r="W107" s="585" t="str">
        <f t="shared" si="21"/>
        <v/>
      </c>
      <c r="X107" s="585">
        <v>0</v>
      </c>
      <c r="Y107" s="622">
        <f>IFERROR((($C107-$D106)/100)/$D106*100,0)</f>
        <v>-1.7588552535299059E-2</v>
      </c>
      <c r="Z107" s="610">
        <f>$F107/100*$W$1*($AE$1*$AD$1)</f>
        <v>14.142465753424659</v>
      </c>
      <c r="AA107" s="641"/>
    </row>
    <row r="108" spans="1:28" ht="12.75" customHeight="1">
      <c r="A108" s="364" t="s">
        <v>598</v>
      </c>
      <c r="B108" s="353"/>
      <c r="C108" s="354"/>
      <c r="D108" s="354"/>
      <c r="E108" s="353"/>
      <c r="F108" s="355"/>
      <c r="G108" s="356"/>
      <c r="H108" s="357"/>
      <c r="I108" s="329"/>
      <c r="J108" s="329"/>
      <c r="K108" s="428">
        <v>24.97</v>
      </c>
      <c r="L108" s="382"/>
      <c r="M108" s="333"/>
      <c r="N108" s="382"/>
      <c r="O108" s="517"/>
      <c r="P108" s="532">
        <v>107</v>
      </c>
      <c r="Q108" s="431">
        <v>0</v>
      </c>
      <c r="R108" s="482">
        <v>0</v>
      </c>
      <c r="S108" s="491">
        <v>0</v>
      </c>
      <c r="T108" s="376">
        <v>0</v>
      </c>
      <c r="U108" s="459">
        <v>0</v>
      </c>
      <c r="V108" s="583">
        <v>0</v>
      </c>
      <c r="W108" s="584" t="str">
        <f t="shared" si="21"/>
        <v/>
      </c>
      <c r="X108" s="586">
        <v>0</v>
      </c>
      <c r="Y108" s="493">
        <f>($F109*(1-$V$1))-$F108</f>
        <v>0</v>
      </c>
      <c r="Z108" s="598">
        <f>IFERROR(F106/F108,0)</f>
        <v>0</v>
      </c>
      <c r="AA108" s="559" t="str">
        <f>IFERROR($AB$1/(F108/100)*(F106/100),"")</f>
        <v/>
      </c>
      <c r="AB108" s="421" t="str">
        <f>IFERROR((AA108/(F106/100))*(F108/100),"")</f>
        <v/>
      </c>
    </row>
    <row r="109" spans="1:28" ht="12.75" customHeight="1">
      <c r="A109" s="544" t="s">
        <v>242</v>
      </c>
      <c r="B109" s="345"/>
      <c r="C109" s="347"/>
      <c r="D109" s="347"/>
      <c r="E109" s="345"/>
      <c r="F109" s="349"/>
      <c r="G109" s="326"/>
      <c r="H109" s="337"/>
      <c r="I109" s="328"/>
      <c r="J109" s="328"/>
      <c r="K109" s="423">
        <v>27.75</v>
      </c>
      <c r="L109" s="335"/>
      <c r="M109" s="332"/>
      <c r="N109" s="335"/>
      <c r="O109" s="515"/>
      <c r="P109" s="531">
        <v>108</v>
      </c>
      <c r="Q109" s="430">
        <v>0</v>
      </c>
      <c r="R109" s="480">
        <v>0</v>
      </c>
      <c r="S109" s="486">
        <v>0</v>
      </c>
      <c r="T109" s="377">
        <v>0</v>
      </c>
      <c r="U109" s="460">
        <v>0</v>
      </c>
      <c r="V109" s="582">
        <v>0</v>
      </c>
      <c r="W109" s="585" t="str">
        <f t="shared" si="21"/>
        <v/>
      </c>
      <c r="X109" s="585">
        <v>0</v>
      </c>
      <c r="Y109" s="503">
        <f>IFERROR((($F109-$F108)/100)/$F108*100,0)</f>
        <v>0</v>
      </c>
      <c r="Z109" s="611">
        <f>IFERROR(F107/F109,0)</f>
        <v>0</v>
      </c>
      <c r="AA109" s="560" t="str">
        <f>IFERROR($AB$1/(F109/100)*(F107/100),"")</f>
        <v/>
      </c>
      <c r="AB109" s="421" t="str">
        <f>IFERROR((AA109/(F107/100))*(F109/100),"")</f>
        <v/>
      </c>
    </row>
    <row r="110" spans="1:28" ht="12.75" customHeight="1">
      <c r="A110" s="364" t="s">
        <v>599</v>
      </c>
      <c r="B110" s="358">
        <v>576</v>
      </c>
      <c r="C110" s="354">
        <v>34.700000000000003</v>
      </c>
      <c r="D110" s="354">
        <v>36</v>
      </c>
      <c r="E110" s="358">
        <v>200</v>
      </c>
      <c r="F110" s="355">
        <v>36.39</v>
      </c>
      <c r="G110" s="356">
        <v>7.0199999999999999E-2</v>
      </c>
      <c r="H110" s="357">
        <v>35</v>
      </c>
      <c r="I110" s="329">
        <v>36.4</v>
      </c>
      <c r="J110" s="329">
        <v>34.26</v>
      </c>
      <c r="K110" s="428">
        <v>34</v>
      </c>
      <c r="L110" s="382">
        <v>2745</v>
      </c>
      <c r="M110" s="333">
        <v>7892</v>
      </c>
      <c r="N110" s="382">
        <v>22</v>
      </c>
      <c r="O110" s="517">
        <v>45273.59412037037</v>
      </c>
      <c r="P110" s="532">
        <v>109</v>
      </c>
      <c r="Q110" s="431">
        <v>0</v>
      </c>
      <c r="R110" s="482">
        <v>0</v>
      </c>
      <c r="S110" s="491">
        <v>0</v>
      </c>
      <c r="T110" s="376">
        <v>0</v>
      </c>
      <c r="U110" s="459">
        <v>0</v>
      </c>
      <c r="V110" s="577">
        <v>0</v>
      </c>
      <c r="W110" s="584" t="str">
        <f t="shared" si="21"/>
        <v/>
      </c>
      <c r="X110" s="586">
        <v>0</v>
      </c>
      <c r="Y110" s="494">
        <f>($F111*(1-$V$1))-$F110</f>
        <v>-0.43319999999999936</v>
      </c>
      <c r="Z110" s="612">
        <f>IFERROR(F106/F110,0)</f>
        <v>1016.7491068974992</v>
      </c>
      <c r="AA110" s="559">
        <f>IFERROR($AB$1/(F110/100)*(F106/100),"")</f>
        <v>533793.28112118714</v>
      </c>
      <c r="AB110" s="421">
        <f>IFERROR((AA110/(F106/100))*(F110/100),"")</f>
        <v>525</v>
      </c>
    </row>
    <row r="111" spans="1:28" ht="12.75" customHeight="1">
      <c r="A111" s="467" t="s">
        <v>243</v>
      </c>
      <c r="B111" s="412">
        <v>101</v>
      </c>
      <c r="C111" s="413">
        <v>35.840000000000003</v>
      </c>
      <c r="D111" s="413">
        <v>36</v>
      </c>
      <c r="E111" s="412">
        <v>1537</v>
      </c>
      <c r="F111" s="408">
        <v>36</v>
      </c>
      <c r="G111" s="398">
        <v>6.8999999999999999E-3</v>
      </c>
      <c r="H111" s="399">
        <v>36</v>
      </c>
      <c r="I111" s="400">
        <v>36.9</v>
      </c>
      <c r="J111" s="400">
        <v>35.46</v>
      </c>
      <c r="K111" s="424">
        <v>35.75</v>
      </c>
      <c r="L111" s="405">
        <v>16023</v>
      </c>
      <c r="M111" s="401">
        <v>44529</v>
      </c>
      <c r="N111" s="405">
        <v>57</v>
      </c>
      <c r="O111" s="519">
        <v>45273.700300925928</v>
      </c>
      <c r="P111" s="531">
        <v>110</v>
      </c>
      <c r="Q111" s="432">
        <v>0</v>
      </c>
      <c r="R111" s="484">
        <v>0</v>
      </c>
      <c r="S111" s="492">
        <v>0</v>
      </c>
      <c r="T111" s="406">
        <v>0</v>
      </c>
      <c r="U111" s="460">
        <v>0</v>
      </c>
      <c r="V111" s="461">
        <v>0</v>
      </c>
      <c r="W111" s="588" t="str">
        <f t="shared" si="21"/>
        <v/>
      </c>
      <c r="X111" s="587">
        <v>0</v>
      </c>
      <c r="Y111" s="502">
        <f>IFERROR((($F111-$F110)/100)/$F110*100,0)</f>
        <v>-1.0717230008244039E-2</v>
      </c>
      <c r="Z111" s="613">
        <f>IFERROR(F107/F111,0)</f>
        <v>1006.9444444444445</v>
      </c>
      <c r="AA111" s="561">
        <f>IFERROR($AB$1/(F111/100)*(F107/100),"")</f>
        <v>528645.83333333337</v>
      </c>
      <c r="AB111" s="421">
        <f>IFERROR((AA111/(F107/100))*(F111/100),"")</f>
        <v>525</v>
      </c>
    </row>
    <row r="112" spans="1:28" ht="12.75" customHeight="1">
      <c r="A112" s="466" t="s">
        <v>600</v>
      </c>
      <c r="B112" s="385">
        <v>2000</v>
      </c>
      <c r="C112" s="323">
        <v>38101</v>
      </c>
      <c r="D112" s="407">
        <v>42670</v>
      </c>
      <c r="E112" s="385">
        <v>1914</v>
      </c>
      <c r="F112" s="499">
        <v>42235.5</v>
      </c>
      <c r="G112" s="339">
        <v>3.0099999999999998E-2</v>
      </c>
      <c r="H112" s="338">
        <v>43815</v>
      </c>
      <c r="I112" s="330">
        <v>45634.5</v>
      </c>
      <c r="J112" s="330">
        <v>40635.5</v>
      </c>
      <c r="K112" s="427">
        <v>41000</v>
      </c>
      <c r="L112" s="397">
        <v>26343658</v>
      </c>
      <c r="M112" s="334">
        <v>61694</v>
      </c>
      <c r="N112" s="435">
        <v>57</v>
      </c>
      <c r="O112" s="520">
        <v>45273.68310185185</v>
      </c>
      <c r="P112" s="532">
        <v>111</v>
      </c>
      <c r="Q112" s="433">
        <v>0</v>
      </c>
      <c r="R112" s="479">
        <v>0</v>
      </c>
      <c r="S112" s="489">
        <v>0</v>
      </c>
      <c r="T112" s="378">
        <v>0</v>
      </c>
      <c r="U112" s="459">
        <v>0</v>
      </c>
      <c r="V112" s="580">
        <v>0</v>
      </c>
      <c r="W112" s="584" t="str">
        <f t="shared" si="21"/>
        <v/>
      </c>
      <c r="X112" s="584">
        <v>0</v>
      </c>
      <c r="Y112" s="550">
        <f>($C113*(1-$V$1))-$D112</f>
        <v>-420.76000000000204</v>
      </c>
      <c r="Z112" s="609">
        <f>($F112/100*$X$1)-($F113/100*$W$1)+($F113/100*$W$1*($AE$1*$AD$1))</f>
        <v>-15.845769863013516</v>
      </c>
      <c r="AA112" s="640" t="str">
        <f>MID($A112,1,5)</f>
        <v xml:space="preserve">GD29 </v>
      </c>
    </row>
    <row r="113" spans="1:28" ht="12.75" customHeight="1">
      <c r="A113" s="464" t="s">
        <v>187</v>
      </c>
      <c r="B113" s="346">
        <v>5000</v>
      </c>
      <c r="C113" s="348">
        <v>42300</v>
      </c>
      <c r="D113" s="348">
        <v>42560</v>
      </c>
      <c r="E113" s="346">
        <v>3278</v>
      </c>
      <c r="F113" s="349">
        <v>42560</v>
      </c>
      <c r="G113" s="326">
        <v>1.8100000000000002E-2</v>
      </c>
      <c r="H113" s="337">
        <v>42000</v>
      </c>
      <c r="I113" s="328">
        <v>45999.5</v>
      </c>
      <c r="J113" s="328">
        <v>40700</v>
      </c>
      <c r="K113" s="423">
        <v>41800</v>
      </c>
      <c r="L113" s="335">
        <v>320121491</v>
      </c>
      <c r="M113" s="332">
        <v>761251</v>
      </c>
      <c r="N113" s="335">
        <v>210</v>
      </c>
      <c r="O113" s="515">
        <v>45273.702881944446</v>
      </c>
      <c r="P113" s="531">
        <v>112</v>
      </c>
      <c r="Q113" s="430">
        <v>0</v>
      </c>
      <c r="R113" s="480">
        <v>0</v>
      </c>
      <c r="S113" s="486">
        <v>0</v>
      </c>
      <c r="T113" s="377">
        <v>0</v>
      </c>
      <c r="U113" s="460">
        <v>0</v>
      </c>
      <c r="V113" s="581">
        <v>0</v>
      </c>
      <c r="W113" s="585" t="str">
        <f t="shared" si="21"/>
        <v/>
      </c>
      <c r="X113" s="585">
        <v>0</v>
      </c>
      <c r="Y113" s="622">
        <f>IFERROR((($C113-$D112)/100)/$D112*100,0)</f>
        <v>-8.6711975626904154E-3</v>
      </c>
      <c r="Z113" s="610">
        <f>$F113/100*$W$1*($AE$1*$AD$1)</f>
        <v>16.604230136986303</v>
      </c>
      <c r="AA113" s="641"/>
    </row>
    <row r="114" spans="1:28" ht="12.75" customHeight="1">
      <c r="A114" s="364" t="s">
        <v>601</v>
      </c>
      <c r="B114" s="353"/>
      <c r="C114" s="354"/>
      <c r="D114" s="354"/>
      <c r="E114" s="353"/>
      <c r="F114" s="355"/>
      <c r="G114" s="356"/>
      <c r="H114" s="357"/>
      <c r="I114" s="329"/>
      <c r="J114" s="329"/>
      <c r="K114" s="428">
        <v>23.8</v>
      </c>
      <c r="L114" s="382"/>
      <c r="M114" s="333"/>
      <c r="N114" s="382"/>
      <c r="O114" s="517"/>
      <c r="P114" s="532">
        <v>113</v>
      </c>
      <c r="Q114" s="431">
        <v>0</v>
      </c>
      <c r="R114" s="482">
        <v>0</v>
      </c>
      <c r="S114" s="491">
        <v>0</v>
      </c>
      <c r="T114" s="376">
        <v>0</v>
      </c>
      <c r="U114" s="459">
        <v>0</v>
      </c>
      <c r="V114" s="583">
        <v>0</v>
      </c>
      <c r="W114" s="584" t="str">
        <f t="shared" si="21"/>
        <v/>
      </c>
      <c r="X114" s="586">
        <v>0</v>
      </c>
      <c r="Y114" s="493">
        <f>($F115*(1-$V$1))-$F114</f>
        <v>0</v>
      </c>
      <c r="Z114" s="598">
        <f>IFERROR(F112/F114,0)</f>
        <v>0</v>
      </c>
      <c r="AA114" s="559" t="str">
        <f>IFERROR($AB$1/(F114/100)*(F112/100),"")</f>
        <v/>
      </c>
      <c r="AB114" s="421" t="str">
        <f>IFERROR((AA114/(F112/100))*(F114/100),"")</f>
        <v/>
      </c>
    </row>
    <row r="115" spans="1:28" ht="12.75" customHeight="1">
      <c r="A115" s="544" t="s">
        <v>232</v>
      </c>
      <c r="B115" s="345"/>
      <c r="C115" s="347"/>
      <c r="D115" s="347"/>
      <c r="E115" s="345"/>
      <c r="F115" s="349"/>
      <c r="G115" s="326"/>
      <c r="H115" s="337"/>
      <c r="I115" s="328"/>
      <c r="J115" s="328"/>
      <c r="K115" s="423">
        <v>26.75</v>
      </c>
      <c r="L115" s="335"/>
      <c r="M115" s="332"/>
      <c r="N115" s="335"/>
      <c r="O115" s="515"/>
      <c r="P115" s="531">
        <v>114</v>
      </c>
      <c r="Q115" s="430">
        <v>0</v>
      </c>
      <c r="R115" s="480">
        <v>0</v>
      </c>
      <c r="S115" s="486">
        <v>0</v>
      </c>
      <c r="T115" s="377">
        <v>0</v>
      </c>
      <c r="U115" s="460">
        <v>0</v>
      </c>
      <c r="V115" s="582">
        <v>0</v>
      </c>
      <c r="W115" s="585" t="str">
        <f t="shared" si="21"/>
        <v/>
      </c>
      <c r="X115" s="585">
        <v>0</v>
      </c>
      <c r="Y115" s="503">
        <f>IFERROR((($F115-$F114)/100)/$F114*100,0)</f>
        <v>0</v>
      </c>
      <c r="Z115" s="611">
        <f>IFERROR(F113/F115,0)</f>
        <v>0</v>
      </c>
      <c r="AA115" s="560" t="str">
        <f>IFERROR($AB$1/(F115/100)*(F113/100),"")</f>
        <v/>
      </c>
      <c r="AB115" s="421" t="str">
        <f>IFERROR((AA115/(F113/100))*(F115/100),"")</f>
        <v/>
      </c>
    </row>
    <row r="116" spans="1:28" ht="12.75" customHeight="1">
      <c r="A116" s="364" t="s">
        <v>602</v>
      </c>
      <c r="B116" s="358">
        <v>97</v>
      </c>
      <c r="C116" s="354">
        <v>39.76</v>
      </c>
      <c r="D116" s="354">
        <v>42.5</v>
      </c>
      <c r="E116" s="358">
        <v>50</v>
      </c>
      <c r="F116" s="355">
        <v>39.76</v>
      </c>
      <c r="G116" s="356">
        <v>-4.4000000000000004E-2</v>
      </c>
      <c r="H116" s="357">
        <v>39.75</v>
      </c>
      <c r="I116" s="329">
        <v>39.76</v>
      </c>
      <c r="J116" s="329">
        <v>39.75</v>
      </c>
      <c r="K116" s="428">
        <v>41.59</v>
      </c>
      <c r="L116" s="382">
        <v>4016</v>
      </c>
      <c r="M116" s="333">
        <v>10103</v>
      </c>
      <c r="N116" s="382">
        <v>3</v>
      </c>
      <c r="O116" s="517">
        <v>45273.634305555555</v>
      </c>
      <c r="P116" s="532">
        <v>115</v>
      </c>
      <c r="Q116" s="431">
        <v>0</v>
      </c>
      <c r="R116" s="482">
        <v>0</v>
      </c>
      <c r="S116" s="491">
        <v>0</v>
      </c>
      <c r="T116" s="376">
        <v>0</v>
      </c>
      <c r="U116" s="459">
        <v>0</v>
      </c>
      <c r="V116" s="577">
        <v>0</v>
      </c>
      <c r="W116" s="584" t="str">
        <f t="shared" si="21"/>
        <v/>
      </c>
      <c r="X116" s="586">
        <v>0</v>
      </c>
      <c r="Y116" s="494">
        <f>($F117*(1-$V$1))-$F116</f>
        <v>0.99103999999999814</v>
      </c>
      <c r="Z116" s="612">
        <f>IFERROR(F112/F116,0)</f>
        <v>1062.2610663983903</v>
      </c>
      <c r="AA116" s="559">
        <f>IFERROR($AB$1/(F116/100)*(F112/100),"")</f>
        <v>557687.0598591551</v>
      </c>
      <c r="AB116" s="421">
        <f>IFERROR((AA116/(F112/100))*(F116/100),"")</f>
        <v>525.00000000000011</v>
      </c>
    </row>
    <row r="117" spans="1:28" ht="12.75" customHeight="1">
      <c r="A117" s="467" t="s">
        <v>233</v>
      </c>
      <c r="B117" s="412">
        <v>2000</v>
      </c>
      <c r="C117" s="413">
        <v>39.81</v>
      </c>
      <c r="D117" s="413">
        <v>40.799999999999997</v>
      </c>
      <c r="E117" s="412">
        <v>1046</v>
      </c>
      <c r="F117" s="408">
        <v>40.799999999999997</v>
      </c>
      <c r="G117" s="398">
        <v>3.1600000000000003E-2</v>
      </c>
      <c r="H117" s="399">
        <v>40</v>
      </c>
      <c r="I117" s="400">
        <v>42</v>
      </c>
      <c r="J117" s="400">
        <v>39.71</v>
      </c>
      <c r="K117" s="424">
        <v>39.549999999999997</v>
      </c>
      <c r="L117" s="405">
        <v>9172</v>
      </c>
      <c r="M117" s="401">
        <v>22649</v>
      </c>
      <c r="N117" s="405">
        <v>30</v>
      </c>
      <c r="O117" s="518">
        <v>45273.708414351851</v>
      </c>
      <c r="P117" s="531">
        <v>116</v>
      </c>
      <c r="Q117" s="432">
        <v>0</v>
      </c>
      <c r="R117" s="484">
        <v>0</v>
      </c>
      <c r="S117" s="492">
        <v>0</v>
      </c>
      <c r="T117" s="406">
        <v>0</v>
      </c>
      <c r="U117" s="460">
        <v>0</v>
      </c>
      <c r="V117" s="461">
        <v>0</v>
      </c>
      <c r="W117" s="588" t="str">
        <f t="shared" si="21"/>
        <v/>
      </c>
      <c r="X117" s="587">
        <v>0</v>
      </c>
      <c r="Y117" s="502">
        <f>IFERROR((($F117-$F116)/100)/$F116*100,0)</f>
        <v>2.6156941649899373E-2</v>
      </c>
      <c r="Z117" s="613">
        <f>IFERROR(F113/F117,0)</f>
        <v>1043.1372549019609</v>
      </c>
      <c r="AA117" s="561">
        <f>IFERROR($AB$1/(F117/100)*(F113/100),"")</f>
        <v>547647.0588235294</v>
      </c>
      <c r="AB117" s="421">
        <f>IFERROR((AA117/(F113/100))*(F117/100),"")</f>
        <v>525</v>
      </c>
    </row>
    <row r="118" spans="1:28" ht="12.75" customHeight="1">
      <c r="A118" s="466" t="s">
        <v>603</v>
      </c>
      <c r="B118" s="385">
        <v>5</v>
      </c>
      <c r="C118" s="323">
        <v>36980</v>
      </c>
      <c r="D118" s="407">
        <v>38200</v>
      </c>
      <c r="E118" s="385">
        <v>5200</v>
      </c>
      <c r="F118" s="499">
        <v>37500.5</v>
      </c>
      <c r="G118" s="339">
        <v>2.8000000000000004E-3</v>
      </c>
      <c r="H118" s="338">
        <v>40000</v>
      </c>
      <c r="I118" s="330">
        <v>42048.5</v>
      </c>
      <c r="J118" s="330">
        <v>36100</v>
      </c>
      <c r="K118" s="427">
        <v>37394.5</v>
      </c>
      <c r="L118" s="397">
        <v>144119360</v>
      </c>
      <c r="M118" s="334">
        <v>381485</v>
      </c>
      <c r="N118" s="397">
        <v>646</v>
      </c>
      <c r="O118" s="514">
        <v>45273.687824074077</v>
      </c>
      <c r="P118" s="532">
        <v>117</v>
      </c>
      <c r="Q118" s="433">
        <v>0</v>
      </c>
      <c r="R118" s="479">
        <v>0</v>
      </c>
      <c r="S118" s="489">
        <v>0</v>
      </c>
      <c r="T118" s="378">
        <v>0</v>
      </c>
      <c r="U118" s="459">
        <v>0</v>
      </c>
      <c r="V118" s="580">
        <v>0</v>
      </c>
      <c r="W118" s="584" t="str">
        <f t="shared" ref="W118:W135" si="22">IF(X118&gt;0,(F118*V118/100)-(V118*X118),"")</f>
        <v/>
      </c>
      <c r="X118" s="584">
        <v>0</v>
      </c>
      <c r="Y118" s="550">
        <f>($C119*(1-$V$1))-$D118</f>
        <v>-200.65400000000227</v>
      </c>
      <c r="Z118" s="609">
        <f>($F118/100*$X$1)-($F119/100*$W$1)+($F119/100*$W$1*($AE$1*$AD$1))</f>
        <v>-45.085780821917623</v>
      </c>
      <c r="AA118" s="640" t="str">
        <f>MID($A118,1,5)</f>
        <v xml:space="preserve">GD35 </v>
      </c>
    </row>
    <row r="119" spans="1:28" ht="12.75" customHeight="1">
      <c r="A119" s="464" t="s">
        <v>164</v>
      </c>
      <c r="B119" s="346">
        <v>1000</v>
      </c>
      <c r="C119" s="348">
        <v>38045</v>
      </c>
      <c r="D119" s="348">
        <v>38100</v>
      </c>
      <c r="E119" s="346">
        <v>150785</v>
      </c>
      <c r="F119" s="349">
        <v>38100</v>
      </c>
      <c r="G119" s="326">
        <v>2.9700000000000001E-2</v>
      </c>
      <c r="H119" s="337">
        <v>37300</v>
      </c>
      <c r="I119" s="328">
        <v>44400</v>
      </c>
      <c r="J119" s="328">
        <v>36600</v>
      </c>
      <c r="K119" s="423">
        <v>37000</v>
      </c>
      <c r="L119" s="335">
        <v>4755878185</v>
      </c>
      <c r="M119" s="332">
        <v>12646019</v>
      </c>
      <c r="N119" s="335">
        <v>1633</v>
      </c>
      <c r="O119" s="515">
        <v>45273.708657407406</v>
      </c>
      <c r="P119" s="531">
        <v>118</v>
      </c>
      <c r="Q119" s="430">
        <v>0</v>
      </c>
      <c r="R119" s="480">
        <v>0</v>
      </c>
      <c r="S119" s="486">
        <v>0</v>
      </c>
      <c r="T119" s="377">
        <v>0</v>
      </c>
      <c r="U119" s="460">
        <v>0</v>
      </c>
      <c r="V119" s="581">
        <v>0</v>
      </c>
      <c r="W119" s="585" t="str">
        <f t="shared" si="22"/>
        <v/>
      </c>
      <c r="X119" s="585">
        <v>0</v>
      </c>
      <c r="Y119" s="622">
        <f>IFERROR((($C119-$D118)/100)/$D118*100,0)</f>
        <v>-4.0575916230366493E-3</v>
      </c>
      <c r="Z119" s="610">
        <f>$F119/100*$W$1*($AE$1*$AD$1)</f>
        <v>14.864219178082195</v>
      </c>
      <c r="AA119" s="641"/>
    </row>
    <row r="120" spans="1:28" ht="12.75" customHeight="1">
      <c r="A120" s="364" t="s">
        <v>604</v>
      </c>
      <c r="B120" s="353"/>
      <c r="C120" s="354"/>
      <c r="D120" s="354"/>
      <c r="E120" s="353"/>
      <c r="F120" s="355"/>
      <c r="G120" s="356"/>
      <c r="H120" s="357"/>
      <c r="I120" s="329"/>
      <c r="J120" s="329"/>
      <c r="K120" s="428">
        <v>25.5</v>
      </c>
      <c r="L120" s="382"/>
      <c r="M120" s="333"/>
      <c r="N120" s="382"/>
      <c r="O120" s="517"/>
      <c r="P120" s="532">
        <v>119</v>
      </c>
      <c r="Q120" s="431">
        <v>0</v>
      </c>
      <c r="R120" s="482">
        <v>0</v>
      </c>
      <c r="S120" s="491">
        <v>0</v>
      </c>
      <c r="T120" s="376">
        <v>0</v>
      </c>
      <c r="U120" s="459">
        <v>0</v>
      </c>
      <c r="V120" s="583">
        <v>0</v>
      </c>
      <c r="W120" s="584" t="str">
        <f t="shared" si="22"/>
        <v/>
      </c>
      <c r="X120" s="586">
        <v>0</v>
      </c>
      <c r="Y120" s="493">
        <f>($F121*(1-$V$1))-$F120</f>
        <v>0</v>
      </c>
      <c r="Z120" s="598">
        <f>IFERROR(F118/F120,0)</f>
        <v>0</v>
      </c>
      <c r="AA120" s="559" t="str">
        <f>IFERROR($AB$1/(F120/100)*(F118/100),"")</f>
        <v/>
      </c>
      <c r="AB120" s="421" t="str">
        <f>IFERROR((AA120/(F118/100))*(F120/100),"")</f>
        <v/>
      </c>
    </row>
    <row r="121" spans="1:28" ht="12.75" customHeight="1">
      <c r="A121" s="544" t="s">
        <v>220</v>
      </c>
      <c r="B121" s="345"/>
      <c r="C121" s="347"/>
      <c r="D121" s="347"/>
      <c r="E121" s="345"/>
      <c r="F121" s="349"/>
      <c r="G121" s="326"/>
      <c r="H121" s="337"/>
      <c r="I121" s="328"/>
      <c r="J121" s="328"/>
      <c r="K121" s="423">
        <v>33.75</v>
      </c>
      <c r="L121" s="335"/>
      <c r="M121" s="332"/>
      <c r="N121" s="335"/>
      <c r="O121" s="515"/>
      <c r="P121" s="531">
        <v>120</v>
      </c>
      <c r="Q121" s="430">
        <v>0</v>
      </c>
      <c r="R121" s="480">
        <v>0</v>
      </c>
      <c r="S121" s="486">
        <v>0</v>
      </c>
      <c r="T121" s="377">
        <v>0</v>
      </c>
      <c r="U121" s="460">
        <v>0</v>
      </c>
      <c r="V121" s="582">
        <v>0</v>
      </c>
      <c r="W121" s="585" t="str">
        <f t="shared" si="22"/>
        <v/>
      </c>
      <c r="X121" s="585">
        <v>0</v>
      </c>
      <c r="Y121" s="503">
        <f>IFERROR((($F121-$F120)/100)/$F120*100,0)</f>
        <v>0</v>
      </c>
      <c r="Z121" s="611">
        <f>IFERROR(F119/F121,0)</f>
        <v>0</v>
      </c>
      <c r="AA121" s="560" t="str">
        <f>IFERROR($AB$1/(F121/100)*(F119/100),"")</f>
        <v/>
      </c>
      <c r="AB121" s="421" t="str">
        <f>IFERROR((AA121/(F119/100))*(F121/100),"")</f>
        <v/>
      </c>
    </row>
    <row r="122" spans="1:28" ht="12.75" customHeight="1">
      <c r="A122" s="364" t="s">
        <v>605</v>
      </c>
      <c r="B122" s="358">
        <v>40</v>
      </c>
      <c r="C122" s="354">
        <v>35</v>
      </c>
      <c r="D122" s="354">
        <v>38.655000000000001</v>
      </c>
      <c r="E122" s="358">
        <v>1</v>
      </c>
      <c r="F122" s="355">
        <v>33.003</v>
      </c>
      <c r="G122" s="356">
        <v>-7.0300000000000001E-2</v>
      </c>
      <c r="H122" s="357">
        <v>38.5</v>
      </c>
      <c r="I122" s="329">
        <v>39</v>
      </c>
      <c r="J122" s="329">
        <v>30.7</v>
      </c>
      <c r="K122" s="428">
        <v>35.5</v>
      </c>
      <c r="L122" s="382">
        <v>4535</v>
      </c>
      <c r="M122" s="333">
        <v>12764</v>
      </c>
      <c r="N122" s="382">
        <v>17</v>
      </c>
      <c r="O122" s="517">
        <v>45273.677708333336</v>
      </c>
      <c r="P122" s="532">
        <v>121</v>
      </c>
      <c r="Q122" s="431">
        <v>0</v>
      </c>
      <c r="R122" s="482">
        <v>0</v>
      </c>
      <c r="S122" s="491">
        <v>0</v>
      </c>
      <c r="T122" s="376">
        <v>0</v>
      </c>
      <c r="U122" s="459">
        <v>0</v>
      </c>
      <c r="V122" s="577">
        <v>0</v>
      </c>
      <c r="W122" s="584" t="str">
        <f t="shared" si="22"/>
        <v/>
      </c>
      <c r="X122" s="586">
        <v>0</v>
      </c>
      <c r="Y122" s="494">
        <f>($F123*(1-$V$1))-$F122</f>
        <v>4.8515200000000007</v>
      </c>
      <c r="Z122" s="612">
        <f>IFERROR(F118/F122,0)</f>
        <v>1136.27549010696</v>
      </c>
      <c r="AA122" s="559">
        <f>IFERROR($AB$1/(F122/100)*(F118/100),"")</f>
        <v>596544.632306154</v>
      </c>
      <c r="AB122" s="421">
        <f>IFERROR((AA122/(F118/100))*(F122/100),"")</f>
        <v>525</v>
      </c>
    </row>
    <row r="123" spans="1:28" ht="12.75" customHeight="1">
      <c r="A123" s="467" t="s">
        <v>221</v>
      </c>
      <c r="B123" s="412">
        <v>4284</v>
      </c>
      <c r="C123" s="413">
        <v>37.9</v>
      </c>
      <c r="D123" s="413">
        <v>37.950000000000003</v>
      </c>
      <c r="E123" s="412">
        <v>5000</v>
      </c>
      <c r="F123" s="408">
        <v>37.9</v>
      </c>
      <c r="G123" s="398">
        <v>3.8300000000000001E-2</v>
      </c>
      <c r="H123" s="399">
        <v>37.25</v>
      </c>
      <c r="I123" s="400">
        <v>39</v>
      </c>
      <c r="J123" s="400">
        <v>36.200000000000003</v>
      </c>
      <c r="K123" s="424">
        <v>36.5</v>
      </c>
      <c r="L123" s="405">
        <v>109759</v>
      </c>
      <c r="M123" s="401">
        <v>291269</v>
      </c>
      <c r="N123" s="405">
        <v>141</v>
      </c>
      <c r="O123" s="518">
        <v>45273.708657407406</v>
      </c>
      <c r="P123" s="531">
        <v>122</v>
      </c>
      <c r="Q123" s="432">
        <v>0</v>
      </c>
      <c r="R123" s="484">
        <v>0</v>
      </c>
      <c r="S123" s="492">
        <v>0</v>
      </c>
      <c r="T123" s="406">
        <v>0</v>
      </c>
      <c r="U123" s="460">
        <v>0</v>
      </c>
      <c r="V123" s="461">
        <v>0</v>
      </c>
      <c r="W123" s="588" t="str">
        <f t="shared" si="22"/>
        <v/>
      </c>
      <c r="X123" s="587">
        <v>0</v>
      </c>
      <c r="Y123" s="502">
        <f>IFERROR((($F123-$F122)/100)/$F122*100,0)</f>
        <v>0.14838045026209734</v>
      </c>
      <c r="Z123" s="613">
        <f>IFERROR(F119/F123,0)</f>
        <v>1005.2770448548813</v>
      </c>
      <c r="AA123" s="561">
        <f>IFERROR($AB$1/(F123/100)*(F119/100),"")</f>
        <v>527770.44854881265</v>
      </c>
      <c r="AB123" s="421">
        <f>IFERROR((AA123/(F119/100))*(F123/100),"")</f>
        <v>525</v>
      </c>
    </row>
    <row r="124" spans="1:28" ht="12.75" customHeight="1">
      <c r="A124" s="466" t="s">
        <v>609</v>
      </c>
      <c r="B124" s="385">
        <v>88</v>
      </c>
      <c r="C124" s="323">
        <v>42801</v>
      </c>
      <c r="D124" s="407">
        <v>43900</v>
      </c>
      <c r="E124" s="385">
        <v>4868</v>
      </c>
      <c r="F124" s="499">
        <v>43900</v>
      </c>
      <c r="G124" s="339">
        <v>-4.5000000000000005E-3</v>
      </c>
      <c r="H124" s="338">
        <v>47000</v>
      </c>
      <c r="I124" s="330">
        <v>47799</v>
      </c>
      <c r="J124" s="330">
        <v>41100.5</v>
      </c>
      <c r="K124" s="427">
        <v>44099.5</v>
      </c>
      <c r="L124" s="397">
        <v>42098102</v>
      </c>
      <c r="M124" s="334">
        <v>97201</v>
      </c>
      <c r="N124" s="397">
        <v>236</v>
      </c>
      <c r="O124" s="514">
        <v>45273.687696759262</v>
      </c>
      <c r="P124" s="532">
        <v>123</v>
      </c>
      <c r="Q124" s="433">
        <v>0</v>
      </c>
      <c r="R124" s="479">
        <v>0</v>
      </c>
      <c r="S124" s="489">
        <v>0</v>
      </c>
      <c r="T124" s="378">
        <v>0</v>
      </c>
      <c r="U124" s="459">
        <v>0</v>
      </c>
      <c r="V124" s="580">
        <v>0</v>
      </c>
      <c r="W124" s="584" t="str">
        <f t="shared" si="22"/>
        <v/>
      </c>
      <c r="X124" s="584">
        <v>0</v>
      </c>
      <c r="Y124" s="550">
        <f>($C125*(1-$V$1))-$D124</f>
        <v>1504.9486000000034</v>
      </c>
      <c r="Z124" s="609">
        <f>($F124/100*$X$1)-($F125/100*$W$1)+($F125/100*$W$1*($AE$1*$AD$1))</f>
        <v>-152.20975342465752</v>
      </c>
      <c r="AA124" s="640" t="str">
        <f>MID($A124,1,5)</f>
        <v xml:space="preserve">GD38 </v>
      </c>
    </row>
    <row r="125" spans="1:28" ht="12.75" customHeight="1">
      <c r="A125" s="464" t="s">
        <v>190</v>
      </c>
      <c r="B125" s="346">
        <v>329</v>
      </c>
      <c r="C125" s="348">
        <v>45459.5</v>
      </c>
      <c r="D125" s="348">
        <v>45600</v>
      </c>
      <c r="E125" s="346">
        <v>4741</v>
      </c>
      <c r="F125" s="349">
        <v>45600</v>
      </c>
      <c r="G125" s="326">
        <v>6.3099999999999989E-2</v>
      </c>
      <c r="H125" s="337">
        <v>46000</v>
      </c>
      <c r="I125" s="328">
        <v>50000</v>
      </c>
      <c r="J125" s="328">
        <v>41610</v>
      </c>
      <c r="K125" s="423">
        <v>42890</v>
      </c>
      <c r="L125" s="335">
        <v>2094842049</v>
      </c>
      <c r="M125" s="332">
        <v>4745931</v>
      </c>
      <c r="N125" s="335">
        <v>842</v>
      </c>
      <c r="O125" s="515">
        <v>45273.708425925928</v>
      </c>
      <c r="P125" s="531">
        <v>124</v>
      </c>
      <c r="Q125" s="430">
        <v>0</v>
      </c>
      <c r="R125" s="480">
        <v>0</v>
      </c>
      <c r="S125" s="486">
        <v>0</v>
      </c>
      <c r="T125" s="377">
        <v>0</v>
      </c>
      <c r="U125" s="460">
        <v>0</v>
      </c>
      <c r="V125" s="581">
        <v>0</v>
      </c>
      <c r="W125" s="585" t="str">
        <f t="shared" si="22"/>
        <v/>
      </c>
      <c r="X125" s="585">
        <v>0</v>
      </c>
      <c r="Y125" s="622">
        <f>IFERROR((($C125-$D124)/100)/$D124*100,0)</f>
        <v>3.5523917995444194E-2</v>
      </c>
      <c r="Z125" s="610">
        <f>$F125/100*$W$1*($AE$1*$AD$1)</f>
        <v>17.790246575342469</v>
      </c>
      <c r="AA125" s="641"/>
    </row>
    <row r="126" spans="1:28" ht="12.75" customHeight="1">
      <c r="A126" s="364" t="s">
        <v>610</v>
      </c>
      <c r="B126" s="353"/>
      <c r="C126" s="354"/>
      <c r="D126" s="354"/>
      <c r="E126" s="353"/>
      <c r="F126" s="355"/>
      <c r="G126" s="356"/>
      <c r="H126" s="357"/>
      <c r="I126" s="329"/>
      <c r="J126" s="329"/>
      <c r="K126" s="428">
        <v>35.5</v>
      </c>
      <c r="L126" s="382"/>
      <c r="M126" s="333"/>
      <c r="N126" s="382"/>
      <c r="O126" s="517"/>
      <c r="P126" s="532">
        <v>125</v>
      </c>
      <c r="Q126" s="431">
        <v>0</v>
      </c>
      <c r="R126" s="482">
        <v>0</v>
      </c>
      <c r="S126" s="491">
        <v>0</v>
      </c>
      <c r="T126" s="376">
        <v>0</v>
      </c>
      <c r="U126" s="459">
        <v>0</v>
      </c>
      <c r="V126" s="583">
        <v>0</v>
      </c>
      <c r="W126" s="584" t="str">
        <f t="shared" si="22"/>
        <v/>
      </c>
      <c r="X126" s="586">
        <v>0</v>
      </c>
      <c r="Y126" s="493">
        <f>($F127*(1-$V$1))-$F126</f>
        <v>0</v>
      </c>
      <c r="Z126" s="598">
        <f>IFERROR(F124/F126,0)</f>
        <v>0</v>
      </c>
      <c r="AA126" s="559" t="str">
        <f>IFERROR($AB$1/(F126/100)*(F124/100),"")</f>
        <v/>
      </c>
      <c r="AB126" s="421" t="str">
        <f>IFERROR((AA126/(F124/100))*(F126/100),"")</f>
        <v/>
      </c>
    </row>
    <row r="127" spans="1:28" ht="12.75" customHeight="1">
      <c r="A127" s="544" t="s">
        <v>234</v>
      </c>
      <c r="B127" s="345"/>
      <c r="C127" s="347"/>
      <c r="D127" s="347"/>
      <c r="E127" s="345"/>
      <c r="F127" s="349"/>
      <c r="G127" s="326"/>
      <c r="H127" s="337"/>
      <c r="I127" s="328"/>
      <c r="J127" s="328"/>
      <c r="K127" s="423">
        <v>32.563000000000002</v>
      </c>
      <c r="L127" s="335"/>
      <c r="M127" s="332"/>
      <c r="N127" s="335"/>
      <c r="O127" s="515"/>
      <c r="P127" s="531">
        <v>126</v>
      </c>
      <c r="Q127" s="430">
        <v>0</v>
      </c>
      <c r="R127" s="480">
        <v>0</v>
      </c>
      <c r="S127" s="486">
        <v>0</v>
      </c>
      <c r="T127" s="377">
        <v>0</v>
      </c>
      <c r="U127" s="460">
        <v>0</v>
      </c>
      <c r="V127" s="582">
        <v>0</v>
      </c>
      <c r="W127" s="585" t="str">
        <f t="shared" si="22"/>
        <v/>
      </c>
      <c r="X127" s="585">
        <v>0</v>
      </c>
      <c r="Y127" s="503">
        <f>IFERROR((($F127-$F126)/100)/$F126*100,0)</f>
        <v>0</v>
      </c>
      <c r="Z127" s="611">
        <f>IFERROR(F125/F127,0)</f>
        <v>0</v>
      </c>
      <c r="AA127" s="560" t="str">
        <f>IFERROR($AB$1/(F127/100)*(F125/100),"")</f>
        <v/>
      </c>
      <c r="AB127" s="421" t="str">
        <f>IFERROR((AA127/(F125/100))*(F127/100),"")</f>
        <v/>
      </c>
    </row>
    <row r="128" spans="1:28" ht="12.75" customHeight="1">
      <c r="A128" s="364" t="s">
        <v>611</v>
      </c>
      <c r="B128" s="358">
        <v>1</v>
      </c>
      <c r="C128" s="354">
        <v>42.5</v>
      </c>
      <c r="D128" s="354">
        <v>42</v>
      </c>
      <c r="E128" s="358">
        <v>3</v>
      </c>
      <c r="F128" s="355">
        <v>43</v>
      </c>
      <c r="G128" s="356">
        <v>7.4999999999999997E-2</v>
      </c>
      <c r="H128" s="357">
        <v>42.5</v>
      </c>
      <c r="I128" s="329">
        <v>43</v>
      </c>
      <c r="J128" s="329">
        <v>41.9</v>
      </c>
      <c r="K128" s="428">
        <v>40</v>
      </c>
      <c r="L128" s="382">
        <v>2167</v>
      </c>
      <c r="M128" s="333">
        <v>5077</v>
      </c>
      <c r="N128" s="382">
        <v>8</v>
      </c>
      <c r="O128" s="517">
        <v>45273.644826388889</v>
      </c>
      <c r="P128" s="532">
        <v>127</v>
      </c>
      <c r="Q128" s="431">
        <v>0</v>
      </c>
      <c r="R128" s="482">
        <v>0</v>
      </c>
      <c r="S128" s="491">
        <v>0</v>
      </c>
      <c r="T128" s="376">
        <v>0</v>
      </c>
      <c r="U128" s="459">
        <v>0</v>
      </c>
      <c r="V128" s="577">
        <v>0</v>
      </c>
      <c r="W128" s="584" t="str">
        <f t="shared" si="22"/>
        <v/>
      </c>
      <c r="X128" s="586">
        <v>0</v>
      </c>
      <c r="Y128" s="494">
        <f>($F129*(1-$V$1))-$F128</f>
        <v>-1.0503999999999962</v>
      </c>
      <c r="Z128" s="612">
        <f>IFERROR(F124/F128,0)</f>
        <v>1020.9302325581396</v>
      </c>
      <c r="AA128" s="559">
        <f>IFERROR($AB$1/(F128/100)*(F124/100),"")</f>
        <v>535988.37209302327</v>
      </c>
      <c r="AB128" s="421">
        <f>IFERROR((AA128/(F124/100))*(F128/100),"")</f>
        <v>525</v>
      </c>
    </row>
    <row r="129" spans="1:28" ht="12.75" customHeight="1">
      <c r="A129" s="467" t="s">
        <v>235</v>
      </c>
      <c r="B129" s="412">
        <v>30</v>
      </c>
      <c r="C129" s="413">
        <v>41.9</v>
      </c>
      <c r="D129" s="413">
        <v>42</v>
      </c>
      <c r="E129" s="412">
        <v>587</v>
      </c>
      <c r="F129" s="408">
        <v>42</v>
      </c>
      <c r="G129" s="398">
        <v>-2.3E-3</v>
      </c>
      <c r="H129" s="399">
        <v>43.15</v>
      </c>
      <c r="I129" s="400">
        <v>44.1</v>
      </c>
      <c r="J129" s="400">
        <v>39.200000000000003</v>
      </c>
      <c r="K129" s="424">
        <v>42</v>
      </c>
      <c r="L129" s="405">
        <v>24167</v>
      </c>
      <c r="M129" s="401">
        <v>57443</v>
      </c>
      <c r="N129" s="405">
        <v>76</v>
      </c>
      <c r="O129" s="518">
        <v>45273.708344907405</v>
      </c>
      <c r="P129" s="531">
        <v>128</v>
      </c>
      <c r="Q129" s="432">
        <v>0</v>
      </c>
      <c r="R129" s="484">
        <v>0</v>
      </c>
      <c r="S129" s="492">
        <v>0</v>
      </c>
      <c r="T129" s="406">
        <v>0</v>
      </c>
      <c r="U129" s="460">
        <v>0</v>
      </c>
      <c r="V129" s="461">
        <v>0</v>
      </c>
      <c r="W129" s="588" t="str">
        <f t="shared" si="22"/>
        <v/>
      </c>
      <c r="X129" s="587">
        <v>0</v>
      </c>
      <c r="Y129" s="502">
        <f>IFERROR((($F129-$F128)/100)/$F128*100,0)</f>
        <v>-2.3255813953488372E-2</v>
      </c>
      <c r="Z129" s="613">
        <f>IFERROR(F125/F129,0)</f>
        <v>1085.7142857142858</v>
      </c>
      <c r="AA129" s="561">
        <f>IFERROR($AB$1/(F129/100)*(F125/100),"")</f>
        <v>570000</v>
      </c>
      <c r="AB129" s="421">
        <f>IFERROR((AA129/(F125/100))*(F129/100),"")</f>
        <v>525</v>
      </c>
    </row>
    <row r="130" spans="1:28" ht="12.75" customHeight="1">
      <c r="A130" s="466" t="s">
        <v>606</v>
      </c>
      <c r="B130" s="385">
        <v>113</v>
      </c>
      <c r="C130" s="323">
        <v>38333</v>
      </c>
      <c r="D130" s="407">
        <v>38998</v>
      </c>
      <c r="E130" s="385">
        <v>56</v>
      </c>
      <c r="F130" s="499">
        <v>38500</v>
      </c>
      <c r="G130" s="339">
        <v>2.6600000000000002E-2</v>
      </c>
      <c r="H130" s="338">
        <v>41100</v>
      </c>
      <c r="I130" s="330">
        <v>41100</v>
      </c>
      <c r="J130" s="330">
        <v>36935</v>
      </c>
      <c r="K130" s="427">
        <v>37500</v>
      </c>
      <c r="L130" s="397">
        <v>13798737</v>
      </c>
      <c r="M130" s="334">
        <v>36048</v>
      </c>
      <c r="N130" s="397">
        <v>81</v>
      </c>
      <c r="O130" s="514">
        <v>45273.685312499998</v>
      </c>
      <c r="P130" s="532">
        <v>129</v>
      </c>
      <c r="Q130" s="433">
        <v>0</v>
      </c>
      <c r="R130" s="479">
        <v>0</v>
      </c>
      <c r="S130" s="489">
        <v>0</v>
      </c>
      <c r="T130" s="378">
        <v>0</v>
      </c>
      <c r="U130" s="459">
        <v>0</v>
      </c>
      <c r="V130" s="580">
        <v>0</v>
      </c>
      <c r="W130" s="584" t="str">
        <f t="shared" si="22"/>
        <v/>
      </c>
      <c r="X130" s="584">
        <v>0</v>
      </c>
      <c r="Y130" s="550">
        <f>($C131*(1-$V$1))-$D130</f>
        <v>-194.62000000000262</v>
      </c>
      <c r="Z130" s="609">
        <f>($F130/100*$X$1)-($F131/100*$W$1)+($F131/100*$W$1*($AE$1*$AD$1))</f>
        <v>-19.843178082191777</v>
      </c>
      <c r="AA130" s="640" t="str">
        <f>MID($A130,1,5)</f>
        <v xml:space="preserve">GD41 </v>
      </c>
    </row>
    <row r="131" spans="1:28" ht="12.75" customHeight="1">
      <c r="A131" s="464" t="s">
        <v>188</v>
      </c>
      <c r="B131" s="346">
        <v>134669</v>
      </c>
      <c r="C131" s="348">
        <v>38850</v>
      </c>
      <c r="D131" s="348">
        <v>39350</v>
      </c>
      <c r="E131" s="346">
        <v>50000</v>
      </c>
      <c r="F131" s="349">
        <v>38850</v>
      </c>
      <c r="G131" s="326">
        <v>1.43E-2</v>
      </c>
      <c r="H131" s="337">
        <v>39000</v>
      </c>
      <c r="I131" s="328">
        <v>42800</v>
      </c>
      <c r="J131" s="328">
        <v>37175</v>
      </c>
      <c r="K131" s="423">
        <v>38300</v>
      </c>
      <c r="L131" s="335">
        <v>2231099868</v>
      </c>
      <c r="M131" s="332">
        <v>5763008</v>
      </c>
      <c r="N131" s="335">
        <v>426</v>
      </c>
      <c r="O131" s="515">
        <v>45273.708611111113</v>
      </c>
      <c r="P131" s="531">
        <v>130</v>
      </c>
      <c r="Q131" s="430">
        <v>0</v>
      </c>
      <c r="R131" s="480">
        <v>0</v>
      </c>
      <c r="S131" s="486">
        <v>0</v>
      </c>
      <c r="T131" s="377">
        <v>0</v>
      </c>
      <c r="U131" s="460">
        <v>0</v>
      </c>
      <c r="V131" s="581">
        <v>0</v>
      </c>
      <c r="W131" s="585" t="str">
        <f t="shared" si="22"/>
        <v/>
      </c>
      <c r="X131" s="585">
        <v>0</v>
      </c>
      <c r="Y131" s="622">
        <f>IFERROR((($C131-$D130)/100)/$D130*100,0)</f>
        <v>-3.7950664136622392E-3</v>
      </c>
      <c r="Z131" s="610">
        <f>$F131/100*$W$1*($AE$1*$AD$1)</f>
        <v>15.156821917808221</v>
      </c>
      <c r="AA131" s="641"/>
    </row>
    <row r="132" spans="1:28" ht="12.75" customHeight="1">
      <c r="A132" s="364" t="s">
        <v>607</v>
      </c>
      <c r="B132" s="353"/>
      <c r="C132" s="354"/>
      <c r="D132" s="354"/>
      <c r="E132" s="353"/>
      <c r="F132" s="355"/>
      <c r="G132" s="356"/>
      <c r="H132" s="357"/>
      <c r="I132" s="329"/>
      <c r="J132" s="329"/>
      <c r="K132" s="428">
        <v>29</v>
      </c>
      <c r="L132" s="382"/>
      <c r="M132" s="333"/>
      <c r="N132" s="382"/>
      <c r="O132" s="517"/>
      <c r="P132" s="532">
        <v>131</v>
      </c>
      <c r="Q132" s="431">
        <v>0</v>
      </c>
      <c r="R132" s="482">
        <v>0</v>
      </c>
      <c r="S132" s="491">
        <v>0</v>
      </c>
      <c r="T132" s="376">
        <v>0</v>
      </c>
      <c r="U132" s="459">
        <v>0</v>
      </c>
      <c r="V132" s="583">
        <v>0</v>
      </c>
      <c r="W132" s="584" t="str">
        <f t="shared" si="22"/>
        <v/>
      </c>
      <c r="X132" s="586">
        <v>0</v>
      </c>
      <c r="Y132" s="493">
        <f>($F133*(1-$V$1))-$F132</f>
        <v>0</v>
      </c>
      <c r="Z132" s="598">
        <f>IFERROR(F130/F132,0)</f>
        <v>0</v>
      </c>
      <c r="AA132" s="559" t="str">
        <f>IFERROR($AB$1/(F132/100)*(F130/100),"")</f>
        <v/>
      </c>
      <c r="AB132" s="421" t="str">
        <f>IFERROR((AA132/(F130/100))*(F132/100),"")</f>
        <v/>
      </c>
    </row>
    <row r="133" spans="1:28" ht="12.75" customHeight="1">
      <c r="A133" s="544" t="s">
        <v>236</v>
      </c>
      <c r="B133" s="345"/>
      <c r="C133" s="347"/>
      <c r="D133" s="347"/>
      <c r="E133" s="345"/>
      <c r="F133" s="349"/>
      <c r="G133" s="326"/>
      <c r="H133" s="337"/>
      <c r="I133" s="328"/>
      <c r="J133" s="328"/>
      <c r="K133" s="423">
        <v>29</v>
      </c>
      <c r="L133" s="335"/>
      <c r="M133" s="332"/>
      <c r="N133" s="335"/>
      <c r="O133" s="515"/>
      <c r="P133" s="531">
        <v>132</v>
      </c>
      <c r="Q133" s="430">
        <v>0</v>
      </c>
      <c r="R133" s="480">
        <v>0</v>
      </c>
      <c r="S133" s="486">
        <v>0</v>
      </c>
      <c r="T133" s="377">
        <v>0</v>
      </c>
      <c r="U133" s="460">
        <v>0</v>
      </c>
      <c r="V133" s="582">
        <v>0</v>
      </c>
      <c r="W133" s="585" t="str">
        <f t="shared" si="22"/>
        <v/>
      </c>
      <c r="X133" s="585">
        <v>0</v>
      </c>
      <c r="Y133" s="503">
        <f>IFERROR((($F133-$F132)/100)/$F132*100,0)</f>
        <v>0</v>
      </c>
      <c r="Z133" s="611">
        <f>IFERROR(F131/F133,0)</f>
        <v>0</v>
      </c>
      <c r="AA133" s="560" t="str">
        <f>IFERROR($AB$1/(F133/100)*(F131/100),"")</f>
        <v/>
      </c>
      <c r="AB133" s="421" t="str">
        <f>IFERROR((AA133/(F131/100))*(F133/100),"")</f>
        <v/>
      </c>
    </row>
    <row r="134" spans="1:28" ht="12.75" customHeight="1">
      <c r="A134" s="364" t="s">
        <v>608</v>
      </c>
      <c r="B134" s="358">
        <v>96</v>
      </c>
      <c r="C134" s="354">
        <v>37</v>
      </c>
      <c r="D134" s="354">
        <v>39.75</v>
      </c>
      <c r="E134" s="358">
        <v>10</v>
      </c>
      <c r="F134" s="355">
        <v>37</v>
      </c>
      <c r="G134" s="356">
        <v>4.2199999999999994E-2</v>
      </c>
      <c r="H134" s="357">
        <v>35.99</v>
      </c>
      <c r="I134" s="329">
        <v>40.5</v>
      </c>
      <c r="J134" s="329">
        <v>35.99</v>
      </c>
      <c r="K134" s="428">
        <v>35.5</v>
      </c>
      <c r="L134" s="382">
        <v>1251</v>
      </c>
      <c r="M134" s="333">
        <v>3365</v>
      </c>
      <c r="N134" s="382">
        <v>7</v>
      </c>
      <c r="O134" s="517">
        <v>45273.655439814815</v>
      </c>
      <c r="P134" s="532">
        <v>133</v>
      </c>
      <c r="Q134" s="431">
        <v>0</v>
      </c>
      <c r="R134" s="482">
        <v>0</v>
      </c>
      <c r="S134" s="491">
        <v>0</v>
      </c>
      <c r="T134" s="376">
        <v>0</v>
      </c>
      <c r="U134" s="459">
        <v>0</v>
      </c>
      <c r="V134" s="577">
        <v>0</v>
      </c>
      <c r="W134" s="584" t="str">
        <f t="shared" si="22"/>
        <v/>
      </c>
      <c r="X134" s="586">
        <v>0</v>
      </c>
      <c r="Y134" s="494">
        <f>($F135*(1-$V$1))-$F134</f>
        <v>-4.4399999999995998E-2</v>
      </c>
      <c r="Z134" s="612">
        <f>IFERROR(F130/F134,0)</f>
        <v>1040.5405405405406</v>
      </c>
      <c r="AA134" s="559">
        <f>IFERROR($AB$1/(F134/100)*(F130/100),"")</f>
        <v>546283.78378378379</v>
      </c>
      <c r="AB134" s="421">
        <f>IFERROR((AA134/(F130/100))*(F134/100),"")</f>
        <v>525</v>
      </c>
    </row>
    <row r="135" spans="1:28" ht="12.75" customHeight="1">
      <c r="A135" s="467" t="s">
        <v>237</v>
      </c>
      <c r="B135" s="412">
        <v>500</v>
      </c>
      <c r="C135" s="413">
        <v>37.1</v>
      </c>
      <c r="D135" s="413">
        <v>37.630000000000003</v>
      </c>
      <c r="E135" s="412">
        <v>61</v>
      </c>
      <c r="F135" s="408">
        <v>37</v>
      </c>
      <c r="G135" s="398">
        <v>1.2999999999999999E-3</v>
      </c>
      <c r="H135" s="399">
        <v>37.4</v>
      </c>
      <c r="I135" s="400">
        <v>40.4</v>
      </c>
      <c r="J135" s="400">
        <v>35.200000000000003</v>
      </c>
      <c r="K135" s="424">
        <v>36.950000000000003</v>
      </c>
      <c r="L135" s="405">
        <v>72852</v>
      </c>
      <c r="M135" s="401">
        <v>196164</v>
      </c>
      <c r="N135" s="405">
        <v>47</v>
      </c>
      <c r="O135" s="518">
        <v>45273.667962962965</v>
      </c>
      <c r="P135" s="531">
        <v>134</v>
      </c>
      <c r="Q135" s="432">
        <v>0</v>
      </c>
      <c r="R135" s="484">
        <v>0</v>
      </c>
      <c r="S135" s="492">
        <v>0</v>
      </c>
      <c r="T135" s="406">
        <v>0</v>
      </c>
      <c r="U135" s="460">
        <v>0</v>
      </c>
      <c r="V135" s="461">
        <v>0</v>
      </c>
      <c r="W135" s="588" t="str">
        <f t="shared" si="22"/>
        <v/>
      </c>
      <c r="X135" s="587">
        <v>0</v>
      </c>
      <c r="Y135" s="502">
        <f>IFERROR((($F135-$F134)/100)/$F134*100,0)</f>
        <v>0</v>
      </c>
      <c r="Z135" s="613">
        <f>IFERROR(F131/F135,0)</f>
        <v>1050</v>
      </c>
      <c r="AA135" s="561">
        <f>IFERROR($AB$1/(F135/100)*(F131/100),"")</f>
        <v>551250</v>
      </c>
      <c r="AB135" s="421">
        <f>IFERROR((AA135/(F131/100))*(F135/100),"")</f>
        <v>525</v>
      </c>
    </row>
    <row r="136" spans="1:28" ht="12.75" customHeight="1">
      <c r="A136" s="466" t="s">
        <v>612</v>
      </c>
      <c r="B136" s="385">
        <v>1336</v>
      </c>
      <c r="C136" s="323">
        <v>36300</v>
      </c>
      <c r="D136" s="407">
        <v>38589</v>
      </c>
      <c r="E136" s="385">
        <v>2000</v>
      </c>
      <c r="F136" s="404">
        <v>38299.5</v>
      </c>
      <c r="G136" s="339">
        <v>1.0500000000000001E-2</v>
      </c>
      <c r="H136" s="338">
        <v>40000</v>
      </c>
      <c r="I136" s="330">
        <v>40000</v>
      </c>
      <c r="J136" s="330">
        <v>36101</v>
      </c>
      <c r="K136" s="427">
        <v>37900</v>
      </c>
      <c r="L136" s="397">
        <v>3720285</v>
      </c>
      <c r="M136" s="334">
        <v>9586</v>
      </c>
      <c r="N136" s="397">
        <v>35</v>
      </c>
      <c r="O136" s="514">
        <v>45273.639861111114</v>
      </c>
      <c r="P136" s="532">
        <v>135</v>
      </c>
      <c r="Q136" s="433"/>
      <c r="R136" s="479"/>
      <c r="S136" s="489"/>
      <c r="T136" s="378"/>
      <c r="U136" s="392"/>
      <c r="V136" s="462">
        <v>0</v>
      </c>
      <c r="W136" s="317"/>
      <c r="X136" s="471"/>
      <c r="Y136" s="473">
        <f>(C137*(1-$V$1))-D136</f>
        <v>-1004.1560000000027</v>
      </c>
      <c r="Z136" s="614">
        <f t="shared" ref="Z136:Z137" si="23">F136/100*V136-W136</f>
        <v>0</v>
      </c>
      <c r="AA136" s="640" t="str">
        <f>MID($A136,1,5)</f>
        <v xml:space="preserve">GD46 </v>
      </c>
    </row>
    <row r="137" spans="1:28" ht="12.75" customHeight="1">
      <c r="A137" s="464" t="s">
        <v>189</v>
      </c>
      <c r="B137" s="346">
        <v>904</v>
      </c>
      <c r="C137" s="348">
        <v>37630</v>
      </c>
      <c r="D137" s="348">
        <v>38200</v>
      </c>
      <c r="E137" s="346">
        <v>18</v>
      </c>
      <c r="F137" s="349">
        <v>38200</v>
      </c>
      <c r="G137" s="326">
        <v>8.199999999999999E-3</v>
      </c>
      <c r="H137" s="337">
        <v>38900</v>
      </c>
      <c r="I137" s="328">
        <v>41500</v>
      </c>
      <c r="J137" s="328">
        <v>37145</v>
      </c>
      <c r="K137" s="423">
        <v>37888</v>
      </c>
      <c r="L137" s="335">
        <v>199553175</v>
      </c>
      <c r="M137" s="332">
        <v>516229</v>
      </c>
      <c r="N137" s="335">
        <v>173</v>
      </c>
      <c r="O137" s="515">
        <v>45273.705370370371</v>
      </c>
      <c r="P137" s="531">
        <v>136</v>
      </c>
      <c r="Q137" s="430"/>
      <c r="R137" s="480"/>
      <c r="S137" s="486"/>
      <c r="T137" s="377"/>
      <c r="U137" s="391"/>
      <c r="V137" s="461">
        <v>0</v>
      </c>
      <c r="W137" s="318"/>
      <c r="X137" s="279"/>
      <c r="Y137" s="623">
        <f>IFERROR(((C137-D136)/100)/D136*100,0)</f>
        <v>-2.4851641659540281E-2</v>
      </c>
      <c r="Z137" s="615">
        <f t="shared" si="23"/>
        <v>0</v>
      </c>
      <c r="AA137" s="641"/>
    </row>
    <row r="138" spans="1:28" ht="12.75" customHeight="1">
      <c r="A138" s="364" t="s">
        <v>613</v>
      </c>
      <c r="B138" s="353"/>
      <c r="C138" s="354"/>
      <c r="D138" s="354"/>
      <c r="E138" s="353"/>
      <c r="F138" s="355"/>
      <c r="G138" s="356"/>
      <c r="H138" s="357"/>
      <c r="I138" s="329"/>
      <c r="J138" s="329"/>
      <c r="K138" s="428">
        <v>22.82</v>
      </c>
      <c r="L138" s="382"/>
      <c r="M138" s="333"/>
      <c r="N138" s="382"/>
      <c r="O138" s="517"/>
      <c r="P138" s="532">
        <v>137</v>
      </c>
      <c r="Q138" s="431"/>
      <c r="R138" s="482"/>
      <c r="S138" s="491"/>
      <c r="T138" s="376"/>
      <c r="U138" s="392"/>
      <c r="V138" s="462">
        <v>0</v>
      </c>
      <c r="W138" s="359"/>
      <c r="X138" s="383"/>
      <c r="Y138" s="644">
        <f>(C139*(1-$V$1))-D138</f>
        <v>0</v>
      </c>
      <c r="Z138" s="598">
        <f>IFERROR(F136/F138,0)</f>
        <v>0</v>
      </c>
      <c r="AA138" s="559" t="str">
        <f>IFERROR($AB$1/(F138/100)*(F136/100),"")</f>
        <v/>
      </c>
      <c r="AB138" s="421" t="str">
        <f>IFERROR((AA138/(F136/100))*(F138/100),"")</f>
        <v/>
      </c>
    </row>
    <row r="139" spans="1:28" ht="12.75" customHeight="1">
      <c r="A139" s="544" t="s">
        <v>276</v>
      </c>
      <c r="B139" s="345"/>
      <c r="C139" s="347"/>
      <c r="D139" s="347"/>
      <c r="E139" s="345"/>
      <c r="F139" s="349"/>
      <c r="G139" s="326"/>
      <c r="H139" s="337"/>
      <c r="I139" s="328"/>
      <c r="J139" s="328"/>
      <c r="K139" s="423">
        <v>27.088000000000001</v>
      </c>
      <c r="L139" s="335"/>
      <c r="M139" s="332"/>
      <c r="N139" s="335"/>
      <c r="O139" s="515"/>
      <c r="P139" s="531">
        <v>138</v>
      </c>
      <c r="Q139" s="430"/>
      <c r="R139" s="480"/>
      <c r="S139" s="486"/>
      <c r="T139" s="377"/>
      <c r="U139" s="391"/>
      <c r="V139" s="461">
        <v>0</v>
      </c>
      <c r="W139" s="318"/>
      <c r="X139" s="279"/>
      <c r="Y139" s="645">
        <f>IFERROR(((C139-D138)/100)/D138*100,0)</f>
        <v>0</v>
      </c>
      <c r="Z139" s="611">
        <f>IFERROR(F137/F139,0)</f>
        <v>0</v>
      </c>
      <c r="AA139" s="560" t="str">
        <f>IFERROR($AB$1/(F139/100)*(F137/100),"")</f>
        <v/>
      </c>
      <c r="AB139" s="421" t="str">
        <f>IFERROR((AA139/(F137/100))*(F139/100),"")</f>
        <v/>
      </c>
    </row>
    <row r="140" spans="1:28" ht="12.75" customHeight="1">
      <c r="A140" s="364" t="s">
        <v>614</v>
      </c>
      <c r="B140" s="358">
        <v>2660</v>
      </c>
      <c r="C140" s="354">
        <v>35</v>
      </c>
      <c r="D140" s="354">
        <v>38.49</v>
      </c>
      <c r="E140" s="358">
        <v>851</v>
      </c>
      <c r="F140" s="355">
        <v>35</v>
      </c>
      <c r="G140" s="356">
        <v>5.7000000000000002E-2</v>
      </c>
      <c r="H140" s="357">
        <v>35</v>
      </c>
      <c r="I140" s="329">
        <v>35</v>
      </c>
      <c r="J140" s="329">
        <v>35</v>
      </c>
      <c r="K140" s="428">
        <v>33.11</v>
      </c>
      <c r="L140" s="382">
        <v>14</v>
      </c>
      <c r="M140" s="333">
        <v>40</v>
      </c>
      <c r="N140" s="382">
        <v>2</v>
      </c>
      <c r="O140" s="517">
        <v>45273.653414351851</v>
      </c>
      <c r="P140" s="532">
        <v>139</v>
      </c>
      <c r="Q140" s="431"/>
      <c r="R140" s="482"/>
      <c r="S140" s="491"/>
      <c r="T140" s="376"/>
      <c r="U140" s="392"/>
      <c r="V140" s="462">
        <v>0</v>
      </c>
      <c r="W140" s="359"/>
      <c r="X140" s="383"/>
      <c r="Y140" s="638"/>
      <c r="Z140" s="612">
        <f>IFERROR(F136/F140,0)</f>
        <v>1094.2714285714285</v>
      </c>
      <c r="AA140" s="559">
        <f>IFERROR($AB$1/(F140/100)*(F136/100),"")</f>
        <v>574492.5</v>
      </c>
      <c r="AB140" s="421">
        <f>IFERROR((AA140/(F136/100))*(F140/100),"")</f>
        <v>525</v>
      </c>
    </row>
    <row r="141" spans="1:28" ht="12.75" customHeight="1">
      <c r="A141" s="467" t="s">
        <v>277</v>
      </c>
      <c r="B141" s="412">
        <v>2000</v>
      </c>
      <c r="C141" s="413">
        <v>31.5</v>
      </c>
      <c r="D141" s="413">
        <v>37.4</v>
      </c>
      <c r="E141" s="412">
        <v>26060</v>
      </c>
      <c r="F141" s="408">
        <v>37.4</v>
      </c>
      <c r="G141" s="398">
        <v>1.3500000000000002E-2</v>
      </c>
      <c r="H141" s="399">
        <v>37.200000000000003</v>
      </c>
      <c r="I141" s="400">
        <v>37.4</v>
      </c>
      <c r="J141" s="400">
        <v>37.049999999999997</v>
      </c>
      <c r="K141" s="424">
        <v>36.9</v>
      </c>
      <c r="L141" s="405">
        <v>8540</v>
      </c>
      <c r="M141" s="401">
        <v>22971</v>
      </c>
      <c r="N141" s="405">
        <v>21</v>
      </c>
      <c r="O141" s="518">
        <v>45273.684062499997</v>
      </c>
      <c r="P141" s="531">
        <v>140</v>
      </c>
      <c r="Q141" s="432"/>
      <c r="R141" s="484"/>
      <c r="S141" s="492"/>
      <c r="T141" s="406"/>
      <c r="U141" s="391"/>
      <c r="V141" s="461">
        <v>0</v>
      </c>
      <c r="W141" s="409"/>
      <c r="X141" s="415"/>
      <c r="Y141" s="639"/>
      <c r="Z141" s="613">
        <f>IFERROR(F137/F141,0)</f>
        <v>1021.3903743315508</v>
      </c>
      <c r="AA141" s="561">
        <f>IFERROR($AB$1/(F141/100)*(F137/100),"")</f>
        <v>536229.94652406417</v>
      </c>
      <c r="AB141" s="421">
        <f>IFERROR((AA141/(F137/100))*(F141/100),"")</f>
        <v>525</v>
      </c>
    </row>
    <row r="142" spans="1:28" ht="12.75" customHeight="1">
      <c r="A142" s="437" t="s">
        <v>555</v>
      </c>
      <c r="B142" s="416"/>
      <c r="C142" s="323"/>
      <c r="D142" s="342"/>
      <c r="E142" s="416"/>
      <c r="F142" s="417"/>
      <c r="G142" s="339"/>
      <c r="H142" s="338"/>
      <c r="I142" s="330"/>
      <c r="J142" s="330"/>
      <c r="K142" s="427">
        <v>641</v>
      </c>
      <c r="L142" s="397"/>
      <c r="M142" s="334"/>
      <c r="N142" s="397"/>
      <c r="O142" s="514"/>
      <c r="P142" s="532">
        <v>141</v>
      </c>
      <c r="Q142" s="433">
        <v>0</v>
      </c>
      <c r="R142" s="479">
        <v>0</v>
      </c>
      <c r="S142" s="489">
        <v>0</v>
      </c>
      <c r="T142" s="378">
        <v>0</v>
      </c>
      <c r="U142" s="392"/>
      <c r="V142" s="462">
        <v>0</v>
      </c>
      <c r="W142" s="317">
        <v>0</v>
      </c>
      <c r="X142" s="471">
        <v>0</v>
      </c>
      <c r="Y142" s="624">
        <f>(C143*(1-$V$1))-D142</f>
        <v>0</v>
      </c>
      <c r="Z142" s="616">
        <f t="shared" ref="Z142:Z157" si="24">F142/100*V142-W142</f>
        <v>0</v>
      </c>
    </row>
    <row r="143" spans="1:28" ht="12.75" customHeight="1">
      <c r="A143" s="411" t="s">
        <v>556</v>
      </c>
      <c r="B143" s="351"/>
      <c r="C143" s="352"/>
      <c r="D143" s="352"/>
      <c r="E143" s="351"/>
      <c r="F143" s="340">
        <v>648.5</v>
      </c>
      <c r="G143" s="326"/>
      <c r="H143" s="337"/>
      <c r="I143" s="328"/>
      <c r="J143" s="328"/>
      <c r="K143" s="423"/>
      <c r="L143" s="335"/>
      <c r="M143" s="332"/>
      <c r="N143" s="335"/>
      <c r="O143" s="515"/>
      <c r="P143" s="531">
        <v>142</v>
      </c>
      <c r="Q143" s="430">
        <v>0</v>
      </c>
      <c r="R143" s="480">
        <v>0</v>
      </c>
      <c r="S143" s="486">
        <v>0</v>
      </c>
      <c r="T143" s="377">
        <v>0</v>
      </c>
      <c r="U143" s="391"/>
      <c r="V143" s="461">
        <v>0</v>
      </c>
      <c r="W143" s="318">
        <v>0</v>
      </c>
      <c r="X143" s="279">
        <v>0</v>
      </c>
      <c r="Y143" s="623">
        <f>IFERROR(((C143-D142)/100)/D142*100,0)</f>
        <v>0</v>
      </c>
      <c r="Z143" s="617">
        <f t="shared" si="24"/>
        <v>0</v>
      </c>
    </row>
    <row r="144" spans="1:28" ht="12.75" customHeight="1">
      <c r="A144" s="364" t="s">
        <v>557</v>
      </c>
      <c r="B144" s="360"/>
      <c r="C144" s="323"/>
      <c r="D144" s="361"/>
      <c r="E144" s="360"/>
      <c r="F144" s="362">
        <v>60</v>
      </c>
      <c r="G144" s="356"/>
      <c r="H144" s="357"/>
      <c r="I144" s="329"/>
      <c r="J144" s="329"/>
      <c r="K144" s="428"/>
      <c r="L144" s="382"/>
      <c r="M144" s="333"/>
      <c r="N144" s="382"/>
      <c r="O144" s="517"/>
      <c r="P144" s="532">
        <v>143</v>
      </c>
      <c r="Q144" s="431">
        <v>0</v>
      </c>
      <c r="R144" s="482">
        <v>0</v>
      </c>
      <c r="S144" s="491">
        <v>0</v>
      </c>
      <c r="T144" s="376">
        <v>0</v>
      </c>
      <c r="U144" s="392"/>
      <c r="V144" s="462">
        <v>0</v>
      </c>
      <c r="W144" s="359">
        <v>0</v>
      </c>
      <c r="X144" s="472">
        <v>0</v>
      </c>
      <c r="Y144" s="625">
        <f>(C145*(1-$V$1))-D144</f>
        <v>0</v>
      </c>
      <c r="Z144" s="618">
        <f t="shared" si="24"/>
        <v>0</v>
      </c>
    </row>
    <row r="145" spans="1:26" ht="12.75" customHeight="1">
      <c r="A145" s="411" t="s">
        <v>558</v>
      </c>
      <c r="B145" s="351"/>
      <c r="C145" s="352"/>
      <c r="D145" s="352"/>
      <c r="E145" s="351"/>
      <c r="F145" s="340">
        <v>59.2</v>
      </c>
      <c r="G145" s="326"/>
      <c r="H145" s="337"/>
      <c r="I145" s="328"/>
      <c r="J145" s="328"/>
      <c r="K145" s="423"/>
      <c r="L145" s="335"/>
      <c r="M145" s="332"/>
      <c r="N145" s="335"/>
      <c r="O145" s="515"/>
      <c r="P145" s="531">
        <v>144</v>
      </c>
      <c r="Q145" s="430">
        <v>0</v>
      </c>
      <c r="R145" s="480">
        <v>0</v>
      </c>
      <c r="S145" s="486">
        <v>0</v>
      </c>
      <c r="T145" s="377">
        <v>0</v>
      </c>
      <c r="U145" s="391"/>
      <c r="V145" s="461">
        <v>0</v>
      </c>
      <c r="W145" s="318">
        <v>0</v>
      </c>
      <c r="X145" s="279">
        <v>0</v>
      </c>
      <c r="Y145" s="623">
        <f>IFERROR(((C145-D144)/100)/D144*100,0)</f>
        <v>0</v>
      </c>
      <c r="Z145" s="617">
        <f t="shared" si="24"/>
        <v>0</v>
      </c>
    </row>
    <row r="146" spans="1:26" ht="12.75" customHeight="1">
      <c r="A146" s="364" t="s">
        <v>559</v>
      </c>
      <c r="B146" s="360"/>
      <c r="C146" s="323"/>
      <c r="D146" s="361"/>
      <c r="E146" s="360"/>
      <c r="F146" s="362">
        <v>530</v>
      </c>
      <c r="G146" s="356"/>
      <c r="H146" s="357"/>
      <c r="I146" s="329"/>
      <c r="J146" s="329"/>
      <c r="K146" s="428"/>
      <c r="L146" s="382"/>
      <c r="M146" s="333"/>
      <c r="N146" s="382"/>
      <c r="O146" s="517"/>
      <c r="P146" s="532">
        <v>145</v>
      </c>
      <c r="Q146" s="431">
        <v>0</v>
      </c>
      <c r="R146" s="482">
        <v>0</v>
      </c>
      <c r="S146" s="491">
        <v>0</v>
      </c>
      <c r="T146" s="376">
        <v>0</v>
      </c>
      <c r="U146" s="392"/>
      <c r="V146" s="462">
        <v>0</v>
      </c>
      <c r="W146" s="359">
        <v>0</v>
      </c>
      <c r="X146" s="472">
        <v>0</v>
      </c>
      <c r="Y146" s="625">
        <f>(C147*(1-$V$1))-D146</f>
        <v>0</v>
      </c>
      <c r="Z146" s="618">
        <f t="shared" si="24"/>
        <v>0</v>
      </c>
    </row>
    <row r="147" spans="1:26" ht="12.75" customHeight="1">
      <c r="A147" s="411" t="s">
        <v>560</v>
      </c>
      <c r="B147" s="351"/>
      <c r="C147" s="352"/>
      <c r="D147" s="352"/>
      <c r="E147" s="351"/>
      <c r="F147" s="340">
        <v>530</v>
      </c>
      <c r="G147" s="326"/>
      <c r="H147" s="337"/>
      <c r="I147" s="328"/>
      <c r="J147" s="328"/>
      <c r="K147" s="423"/>
      <c r="L147" s="335"/>
      <c r="M147" s="332"/>
      <c r="N147" s="335"/>
      <c r="O147" s="515"/>
      <c r="P147" s="531">
        <v>146</v>
      </c>
      <c r="Q147" s="430">
        <v>0</v>
      </c>
      <c r="R147" s="480">
        <v>0</v>
      </c>
      <c r="S147" s="486">
        <v>0</v>
      </c>
      <c r="T147" s="377">
        <v>0</v>
      </c>
      <c r="U147" s="391"/>
      <c r="V147" s="461">
        <v>0</v>
      </c>
      <c r="W147" s="318">
        <v>0</v>
      </c>
      <c r="X147" s="279">
        <v>0</v>
      </c>
      <c r="Y147" s="623">
        <f>IFERROR(((C147-D146)/100)/D146*100,0)</f>
        <v>0</v>
      </c>
      <c r="Z147" s="617">
        <f t="shared" si="24"/>
        <v>0</v>
      </c>
    </row>
    <row r="148" spans="1:26" ht="12.75" customHeight="1">
      <c r="A148" s="364" t="s">
        <v>561</v>
      </c>
      <c r="B148" s="360"/>
      <c r="C148" s="323"/>
      <c r="D148" s="361"/>
      <c r="E148" s="360"/>
      <c r="F148" s="362">
        <v>21.75</v>
      </c>
      <c r="G148" s="356"/>
      <c r="H148" s="357"/>
      <c r="I148" s="329"/>
      <c r="J148" s="329"/>
      <c r="K148" s="428"/>
      <c r="L148" s="382"/>
      <c r="M148" s="333"/>
      <c r="N148" s="382"/>
      <c r="O148" s="517"/>
      <c r="P148" s="532">
        <v>147</v>
      </c>
      <c r="Q148" s="431">
        <v>0</v>
      </c>
      <c r="R148" s="482">
        <v>0</v>
      </c>
      <c r="S148" s="491">
        <v>0</v>
      </c>
      <c r="T148" s="376">
        <v>0</v>
      </c>
      <c r="U148" s="392"/>
      <c r="V148" s="462">
        <v>0</v>
      </c>
      <c r="W148" s="359">
        <v>0</v>
      </c>
      <c r="X148" s="472">
        <v>0</v>
      </c>
      <c r="Y148" s="625">
        <f>(C149*(1-$V$1))-D148</f>
        <v>0</v>
      </c>
      <c r="Z148" s="618">
        <f t="shared" si="24"/>
        <v>0</v>
      </c>
    </row>
    <row r="149" spans="1:26" ht="12.75" customHeight="1">
      <c r="A149" s="411" t="s">
        <v>562</v>
      </c>
      <c r="B149" s="351"/>
      <c r="C149" s="352"/>
      <c r="D149" s="352"/>
      <c r="E149" s="351"/>
      <c r="F149" s="340">
        <v>21</v>
      </c>
      <c r="G149" s="326"/>
      <c r="H149" s="337"/>
      <c r="I149" s="328"/>
      <c r="J149" s="328"/>
      <c r="K149" s="423"/>
      <c r="L149" s="335"/>
      <c r="M149" s="332"/>
      <c r="N149" s="335"/>
      <c r="O149" s="515"/>
      <c r="P149" s="531">
        <v>148</v>
      </c>
      <c r="Q149" s="430">
        <v>0</v>
      </c>
      <c r="R149" s="480">
        <v>0</v>
      </c>
      <c r="S149" s="486">
        <v>0</v>
      </c>
      <c r="T149" s="377">
        <v>0</v>
      </c>
      <c r="U149" s="391"/>
      <c r="V149" s="461">
        <v>0</v>
      </c>
      <c r="W149" s="318">
        <v>0</v>
      </c>
      <c r="X149" s="279">
        <v>0</v>
      </c>
      <c r="Y149" s="623">
        <f>IFERROR(((C149-D148)/100)/D148*100,0)</f>
        <v>0</v>
      </c>
      <c r="Z149" s="617">
        <f t="shared" si="24"/>
        <v>0</v>
      </c>
    </row>
    <row r="150" spans="1:26" ht="12.75" customHeight="1">
      <c r="A150" s="364" t="s">
        <v>563</v>
      </c>
      <c r="B150" s="360"/>
      <c r="C150" s="323"/>
      <c r="D150" s="361"/>
      <c r="E150" s="360"/>
      <c r="F150" s="362">
        <v>728.7</v>
      </c>
      <c r="G150" s="356"/>
      <c r="H150" s="357"/>
      <c r="I150" s="329"/>
      <c r="J150" s="329"/>
      <c r="K150" s="428"/>
      <c r="L150" s="382"/>
      <c r="M150" s="333"/>
      <c r="N150" s="382"/>
      <c r="O150" s="517"/>
      <c r="P150" s="532">
        <v>149</v>
      </c>
      <c r="Q150" s="431">
        <v>0</v>
      </c>
      <c r="R150" s="482">
        <v>0</v>
      </c>
      <c r="S150" s="491">
        <v>0</v>
      </c>
      <c r="T150" s="376">
        <v>0</v>
      </c>
      <c r="U150" s="392"/>
      <c r="V150" s="462">
        <v>0</v>
      </c>
      <c r="W150" s="359">
        <v>0</v>
      </c>
      <c r="X150" s="472">
        <v>0</v>
      </c>
      <c r="Y150" s="625">
        <f>(C151*(1-$V$1))-D150</f>
        <v>0</v>
      </c>
      <c r="Z150" s="618">
        <f t="shared" si="24"/>
        <v>0</v>
      </c>
    </row>
    <row r="151" spans="1:26" ht="12.75" customHeight="1">
      <c r="A151" s="411" t="s">
        <v>568</v>
      </c>
      <c r="B151" s="351"/>
      <c r="C151" s="352"/>
      <c r="D151" s="352"/>
      <c r="E151" s="351"/>
      <c r="F151" s="340">
        <v>732.5</v>
      </c>
      <c r="G151" s="326"/>
      <c r="H151" s="337"/>
      <c r="I151" s="328"/>
      <c r="J151" s="328"/>
      <c r="K151" s="423"/>
      <c r="L151" s="335"/>
      <c r="M151" s="332"/>
      <c r="N151" s="335"/>
      <c r="O151" s="515"/>
      <c r="P151" s="531">
        <v>150</v>
      </c>
      <c r="Q151" s="430">
        <v>0</v>
      </c>
      <c r="R151" s="480">
        <v>0</v>
      </c>
      <c r="S151" s="486">
        <v>0</v>
      </c>
      <c r="T151" s="377">
        <v>0</v>
      </c>
      <c r="U151" s="391"/>
      <c r="V151" s="461">
        <v>0</v>
      </c>
      <c r="W151" s="318">
        <v>0</v>
      </c>
      <c r="X151" s="279">
        <v>0</v>
      </c>
      <c r="Y151" s="623">
        <f>IFERROR(((C151-D150)/100)/D150*100,0)</f>
        <v>0</v>
      </c>
      <c r="Z151" s="617">
        <f t="shared" si="24"/>
        <v>0</v>
      </c>
    </row>
    <row r="152" spans="1:26" ht="12.75" customHeight="1">
      <c r="A152" s="364" t="s">
        <v>564</v>
      </c>
      <c r="B152" s="360"/>
      <c r="C152" s="323"/>
      <c r="D152" s="361"/>
      <c r="E152" s="360"/>
      <c r="F152" s="362">
        <v>557</v>
      </c>
      <c r="G152" s="356"/>
      <c r="H152" s="357"/>
      <c r="I152" s="329"/>
      <c r="J152" s="329"/>
      <c r="K152" s="428"/>
      <c r="L152" s="382"/>
      <c r="M152" s="333"/>
      <c r="N152" s="382"/>
      <c r="O152" s="517"/>
      <c r="P152" s="532">
        <v>151</v>
      </c>
      <c r="Q152" s="431">
        <v>0</v>
      </c>
      <c r="R152" s="482">
        <v>0</v>
      </c>
      <c r="S152" s="491">
        <v>0</v>
      </c>
      <c r="T152" s="376">
        <v>0</v>
      </c>
      <c r="U152" s="392"/>
      <c r="V152" s="462">
        <v>0</v>
      </c>
      <c r="W152" s="359">
        <v>0</v>
      </c>
      <c r="X152" s="472">
        <v>0</v>
      </c>
      <c r="Y152" s="625">
        <f>(C153*(1-$V$1))-D152</f>
        <v>0</v>
      </c>
      <c r="Z152" s="618">
        <f t="shared" si="24"/>
        <v>0</v>
      </c>
    </row>
    <row r="153" spans="1:26" ht="12.75" customHeight="1">
      <c r="A153" s="411" t="s">
        <v>565</v>
      </c>
      <c r="B153" s="351"/>
      <c r="C153" s="352"/>
      <c r="D153" s="352"/>
      <c r="E153" s="351"/>
      <c r="F153" s="340">
        <v>558.79999999999995</v>
      </c>
      <c r="G153" s="326"/>
      <c r="H153" s="337"/>
      <c r="I153" s="328"/>
      <c r="J153" s="328"/>
      <c r="K153" s="423"/>
      <c r="L153" s="335"/>
      <c r="M153" s="332"/>
      <c r="N153" s="335"/>
      <c r="O153" s="515"/>
      <c r="P153" s="531">
        <v>152</v>
      </c>
      <c r="Q153" s="430">
        <v>0</v>
      </c>
      <c r="R153" s="480">
        <v>0</v>
      </c>
      <c r="S153" s="486">
        <v>0</v>
      </c>
      <c r="T153" s="377">
        <v>0</v>
      </c>
      <c r="U153" s="391"/>
      <c r="V153" s="461">
        <v>0</v>
      </c>
      <c r="W153" s="318">
        <v>0</v>
      </c>
      <c r="X153" s="279">
        <v>0</v>
      </c>
      <c r="Y153" s="623">
        <f>IFERROR(((C153-D152)/100)/D152*100,0)</f>
        <v>0</v>
      </c>
      <c r="Z153" s="617">
        <f t="shared" si="24"/>
        <v>0</v>
      </c>
    </row>
    <row r="154" spans="1:26" ht="12.75" customHeight="1">
      <c r="A154" s="364" t="s">
        <v>566</v>
      </c>
      <c r="B154" s="360"/>
      <c r="C154" s="323"/>
      <c r="D154" s="361"/>
      <c r="E154" s="360"/>
      <c r="F154" s="362">
        <v>531</v>
      </c>
      <c r="G154" s="356"/>
      <c r="H154" s="357"/>
      <c r="I154" s="329"/>
      <c r="J154" s="329"/>
      <c r="K154" s="428"/>
      <c r="L154" s="382"/>
      <c r="M154" s="333"/>
      <c r="N154" s="382"/>
      <c r="O154" s="517"/>
      <c r="P154" s="532">
        <v>153</v>
      </c>
      <c r="Q154" s="431">
        <v>0</v>
      </c>
      <c r="R154" s="482">
        <v>0</v>
      </c>
      <c r="S154" s="491">
        <v>0</v>
      </c>
      <c r="T154" s="376">
        <v>0</v>
      </c>
      <c r="U154" s="392"/>
      <c r="V154" s="462">
        <v>0</v>
      </c>
      <c r="W154" s="359">
        <v>0</v>
      </c>
      <c r="X154" s="472">
        <v>0</v>
      </c>
      <c r="Y154" s="625">
        <f>(C155*(1-$V$1))-D154</f>
        <v>0</v>
      </c>
      <c r="Z154" s="618">
        <f t="shared" si="24"/>
        <v>0</v>
      </c>
    </row>
    <row r="155" spans="1:26" ht="12.75" customHeight="1">
      <c r="A155" s="411" t="s">
        <v>567</v>
      </c>
      <c r="B155" s="351"/>
      <c r="C155" s="352"/>
      <c r="D155" s="352"/>
      <c r="E155" s="351"/>
      <c r="F155" s="340">
        <v>532.1</v>
      </c>
      <c r="G155" s="326"/>
      <c r="H155" s="337"/>
      <c r="I155" s="328"/>
      <c r="J155" s="328"/>
      <c r="K155" s="423"/>
      <c r="L155" s="335"/>
      <c r="M155" s="332"/>
      <c r="N155" s="335"/>
      <c r="O155" s="515"/>
      <c r="P155" s="531">
        <v>154</v>
      </c>
      <c r="Q155" s="430">
        <v>0</v>
      </c>
      <c r="R155" s="480">
        <v>0</v>
      </c>
      <c r="S155" s="486">
        <v>0</v>
      </c>
      <c r="T155" s="377">
        <v>0</v>
      </c>
      <c r="U155" s="391"/>
      <c r="V155" s="461">
        <v>0</v>
      </c>
      <c r="W155" s="318">
        <v>0</v>
      </c>
      <c r="X155" s="279">
        <v>0</v>
      </c>
      <c r="Y155" s="623">
        <f>IFERROR(((C155-D154)/100)/D154*100,0)</f>
        <v>0</v>
      </c>
      <c r="Z155" s="617">
        <f t="shared" si="24"/>
        <v>0</v>
      </c>
    </row>
    <row r="156" spans="1:26" ht="12.75" customHeight="1">
      <c r="A156" s="364" t="s">
        <v>586</v>
      </c>
      <c r="B156" s="360"/>
      <c r="C156" s="323"/>
      <c r="D156" s="361"/>
      <c r="E156" s="360"/>
      <c r="F156" s="362"/>
      <c r="G156" s="356"/>
      <c r="H156" s="357"/>
      <c r="I156" s="329"/>
      <c r="J156" s="329"/>
      <c r="K156" s="428"/>
      <c r="L156" s="382"/>
      <c r="M156" s="333"/>
      <c r="N156" s="382"/>
      <c r="O156" s="517"/>
      <c r="P156" s="532">
        <v>155</v>
      </c>
      <c r="Q156" s="431">
        <v>0</v>
      </c>
      <c r="R156" s="482">
        <v>0</v>
      </c>
      <c r="S156" s="491">
        <v>0</v>
      </c>
      <c r="T156" s="376">
        <v>0</v>
      </c>
      <c r="U156" s="392"/>
      <c r="V156" s="462">
        <v>0</v>
      </c>
      <c r="W156" s="359">
        <v>0</v>
      </c>
      <c r="X156" s="472">
        <v>0</v>
      </c>
      <c r="Y156" s="625">
        <f>(C157*(1-$V$1))-D156</f>
        <v>0</v>
      </c>
      <c r="Z156" s="618">
        <f t="shared" si="24"/>
        <v>0</v>
      </c>
    </row>
    <row r="157" spans="1:26" ht="12.75" customHeight="1">
      <c r="A157" s="411" t="s">
        <v>587</v>
      </c>
      <c r="B157" s="351"/>
      <c r="C157" s="352"/>
      <c r="D157" s="352"/>
      <c r="E157" s="351"/>
      <c r="F157" s="340">
        <v>201</v>
      </c>
      <c r="G157" s="326"/>
      <c r="H157" s="337"/>
      <c r="I157" s="328"/>
      <c r="J157" s="328"/>
      <c r="K157" s="423"/>
      <c r="L157" s="335"/>
      <c r="M157" s="332"/>
      <c r="N157" s="335"/>
      <c r="O157" s="515"/>
      <c r="P157" s="531">
        <v>156</v>
      </c>
      <c r="Q157" s="430">
        <v>0</v>
      </c>
      <c r="R157" s="480">
        <v>0</v>
      </c>
      <c r="S157" s="486">
        <v>0</v>
      </c>
      <c r="T157" s="377">
        <v>0</v>
      </c>
      <c r="U157" s="391"/>
      <c r="V157" s="461">
        <v>0</v>
      </c>
      <c r="W157" s="363">
        <v>0</v>
      </c>
      <c r="X157" s="316">
        <v>0</v>
      </c>
      <c r="Y157" s="623">
        <f>IFERROR(((C157-D156)/100)/D156*100,0)</f>
        <v>0</v>
      </c>
      <c r="Z157" s="617">
        <f t="shared" si="24"/>
        <v>0</v>
      </c>
    </row>
  </sheetData>
  <sortState xmlns:xlrd2="http://schemas.microsoft.com/office/spreadsheetml/2017/richdata2" ref="A23">
    <sortCondition descending="1" ref="A22:A23"/>
  </sortState>
  <mergeCells count="25">
    <mergeCell ref="AA16:AA17"/>
    <mergeCell ref="AA94:AA95"/>
    <mergeCell ref="AA44:AA45"/>
    <mergeCell ref="AA42:AA43"/>
    <mergeCell ref="AA46:AA47"/>
    <mergeCell ref="AA52:AA53"/>
    <mergeCell ref="AA58:AA59"/>
    <mergeCell ref="AA70:AA71"/>
    <mergeCell ref="AA20:AA21"/>
    <mergeCell ref="AA4:AA5"/>
    <mergeCell ref="Y140:Y141"/>
    <mergeCell ref="AA130:AA131"/>
    <mergeCell ref="AA136:AA137"/>
    <mergeCell ref="AA12:AA13"/>
    <mergeCell ref="AA8:AA9"/>
    <mergeCell ref="Y138:Y139"/>
    <mergeCell ref="AA118:AA119"/>
    <mergeCell ref="AA124:AA125"/>
    <mergeCell ref="AA112:AA113"/>
    <mergeCell ref="AA100:AA101"/>
    <mergeCell ref="AA76:AA77"/>
    <mergeCell ref="AA82:AA83"/>
    <mergeCell ref="AA64:AA65"/>
    <mergeCell ref="AA106:AA107"/>
    <mergeCell ref="AA88:AA89"/>
  </mergeCells>
  <phoneticPr fontId="16" type="noConversion"/>
  <conditionalFormatting sqref="A26:A41">
    <cfRule type="expression" dxfId="1138" priority="5719">
      <formula>V26&gt;0</formula>
    </cfRule>
    <cfRule type="expression" dxfId="1137" priority="5720">
      <formula>V26&lt;0</formula>
    </cfRule>
  </conditionalFormatting>
  <conditionalFormatting sqref="A42">
    <cfRule type="expression" dxfId="1136" priority="565">
      <formula>V42&lt;&gt;0</formula>
    </cfRule>
  </conditionalFormatting>
  <conditionalFormatting sqref="A43">
    <cfRule type="expression" dxfId="1135" priority="564">
      <formula>V43&lt;&gt;0</formula>
    </cfRule>
  </conditionalFormatting>
  <conditionalFormatting sqref="A44">
    <cfRule type="expression" dxfId="1134" priority="563">
      <formula>V44&lt;&gt;0</formula>
    </cfRule>
  </conditionalFormatting>
  <conditionalFormatting sqref="A45">
    <cfRule type="expression" dxfId="1133" priority="562">
      <formula>V45&lt;&gt;0</formula>
    </cfRule>
  </conditionalFormatting>
  <conditionalFormatting sqref="A46:A47">
    <cfRule type="expression" dxfId="1132" priority="352">
      <formula>V46&lt;&gt;0</formula>
    </cfRule>
  </conditionalFormatting>
  <conditionalFormatting sqref="A48:A49">
    <cfRule type="expression" dxfId="1131" priority="5508">
      <formula>V48&lt;&gt;0</formula>
    </cfRule>
  </conditionalFormatting>
  <conditionalFormatting sqref="A50:A51">
    <cfRule type="expression" dxfId="1130" priority="5507">
      <formula>V50&lt;&gt;0</formula>
    </cfRule>
  </conditionalFormatting>
  <conditionalFormatting sqref="A52:A53">
    <cfRule type="expression" dxfId="1129" priority="351">
      <formula>V52&lt;&gt;0</formula>
    </cfRule>
  </conditionalFormatting>
  <conditionalFormatting sqref="A54:A55">
    <cfRule type="expression" dxfId="1128" priority="5505">
      <formula>V54&lt;&gt;0</formula>
    </cfRule>
  </conditionalFormatting>
  <conditionalFormatting sqref="A56:A57">
    <cfRule type="expression" dxfId="1127" priority="5504">
      <formula>V56&lt;&gt;0</formula>
    </cfRule>
  </conditionalFormatting>
  <conditionalFormatting sqref="A58:A59">
    <cfRule type="expression" dxfId="1126" priority="350">
      <formula>V58&lt;&gt;0</formula>
    </cfRule>
  </conditionalFormatting>
  <conditionalFormatting sqref="A60:A61">
    <cfRule type="expression" dxfId="1125" priority="5502">
      <formula>V60&lt;&gt;0</formula>
    </cfRule>
  </conditionalFormatting>
  <conditionalFormatting sqref="A62:A63">
    <cfRule type="expression" dxfId="1124" priority="5501">
      <formula>V62&lt;&gt;0</formula>
    </cfRule>
  </conditionalFormatting>
  <conditionalFormatting sqref="A64:A65">
    <cfRule type="expression" dxfId="1123" priority="349">
      <formula>V64&lt;&gt;0</formula>
    </cfRule>
  </conditionalFormatting>
  <conditionalFormatting sqref="A66:A67">
    <cfRule type="expression" dxfId="1122" priority="5499">
      <formula>V66&lt;&gt;0</formula>
    </cfRule>
  </conditionalFormatting>
  <conditionalFormatting sqref="A68:A69">
    <cfRule type="expression" dxfId="1121" priority="5498">
      <formula>V68&lt;&gt;0</formula>
    </cfRule>
  </conditionalFormatting>
  <conditionalFormatting sqref="A70:A71">
    <cfRule type="expression" dxfId="1120" priority="348">
      <formula>V70&lt;&gt;0</formula>
    </cfRule>
  </conditionalFormatting>
  <conditionalFormatting sqref="A72:A73">
    <cfRule type="expression" dxfId="1119" priority="5496">
      <formula>V72&lt;&gt;0</formula>
    </cfRule>
  </conditionalFormatting>
  <conditionalFormatting sqref="A74:A75">
    <cfRule type="expression" dxfId="1118" priority="5495">
      <formula>V74&lt;&gt;0</formula>
    </cfRule>
  </conditionalFormatting>
  <conditionalFormatting sqref="A76:A77">
    <cfRule type="expression" dxfId="1117" priority="347">
      <formula>V76&lt;&gt;0</formula>
    </cfRule>
  </conditionalFormatting>
  <conditionalFormatting sqref="A78:A79">
    <cfRule type="expression" dxfId="1116" priority="7456">
      <formula>V84&lt;&gt;0</formula>
    </cfRule>
  </conditionalFormatting>
  <conditionalFormatting sqref="A80:A81">
    <cfRule type="expression" dxfId="1115" priority="7457">
      <formula>V86&lt;&gt;0</formula>
    </cfRule>
  </conditionalFormatting>
  <conditionalFormatting sqref="A82:A83">
    <cfRule type="expression" dxfId="1114" priority="346">
      <formula>V82&lt;&gt;0</formula>
    </cfRule>
  </conditionalFormatting>
  <conditionalFormatting sqref="A84:A85">
    <cfRule type="expression" dxfId="1113" priority="7454">
      <formula>V78&lt;&gt;0</formula>
    </cfRule>
  </conditionalFormatting>
  <conditionalFormatting sqref="A86:A87">
    <cfRule type="expression" dxfId="1112" priority="7455">
      <formula>V80&lt;&gt;0</formula>
    </cfRule>
  </conditionalFormatting>
  <conditionalFormatting sqref="A88:A89">
    <cfRule type="expression" dxfId="1111" priority="345">
      <formula>V88&lt;&gt;0</formula>
    </cfRule>
  </conditionalFormatting>
  <conditionalFormatting sqref="A90:A91">
    <cfRule type="expression" dxfId="1110" priority="4751">
      <formula>V84&lt;&gt;0</formula>
    </cfRule>
  </conditionalFormatting>
  <conditionalFormatting sqref="A92:A93">
    <cfRule type="expression" dxfId="1109" priority="4752">
      <formula>V86&lt;&gt;0</formula>
    </cfRule>
  </conditionalFormatting>
  <conditionalFormatting sqref="A94:A95">
    <cfRule type="expression" dxfId="1108" priority="344">
      <formula>V94&lt;&gt;0</formula>
    </cfRule>
  </conditionalFormatting>
  <conditionalFormatting sqref="A96:A97">
    <cfRule type="expression" dxfId="1107" priority="4693">
      <formula>V90&lt;&gt;0</formula>
    </cfRule>
  </conditionalFormatting>
  <conditionalFormatting sqref="A98:A99">
    <cfRule type="expression" dxfId="1106" priority="4694">
      <formula>V92&lt;&gt;0</formula>
    </cfRule>
  </conditionalFormatting>
  <conditionalFormatting sqref="A100:A101">
    <cfRule type="expression" dxfId="1105" priority="343">
      <formula>V100&lt;&gt;0</formula>
    </cfRule>
  </conditionalFormatting>
  <conditionalFormatting sqref="A102:A103">
    <cfRule type="expression" dxfId="1104" priority="4635">
      <formula>V96&lt;&gt;0</formula>
    </cfRule>
  </conditionalFormatting>
  <conditionalFormatting sqref="A104:A105">
    <cfRule type="expression" dxfId="1103" priority="4636">
      <formula>V98&lt;&gt;0</formula>
    </cfRule>
  </conditionalFormatting>
  <conditionalFormatting sqref="A106:A107">
    <cfRule type="expression" dxfId="1102" priority="342">
      <formula>V106&lt;&gt;0</formula>
    </cfRule>
  </conditionalFormatting>
  <conditionalFormatting sqref="A108:A109">
    <cfRule type="expression" dxfId="1101" priority="4575">
      <formula>V102&lt;&gt;0</formula>
    </cfRule>
  </conditionalFormatting>
  <conditionalFormatting sqref="A110:A111">
    <cfRule type="expression" dxfId="1100" priority="4576">
      <formula>V104&lt;&gt;0</formula>
    </cfRule>
  </conditionalFormatting>
  <conditionalFormatting sqref="A112:A113">
    <cfRule type="expression" dxfId="1099" priority="341">
      <formula>V112&lt;&gt;0</formula>
    </cfRule>
  </conditionalFormatting>
  <conditionalFormatting sqref="A114:A115">
    <cfRule type="expression" dxfId="1098" priority="4515">
      <formula>V108&lt;&gt;0</formula>
    </cfRule>
  </conditionalFormatting>
  <conditionalFormatting sqref="A116:A117">
    <cfRule type="expression" dxfId="1097" priority="4516">
      <formula>V110&lt;&gt;0</formula>
    </cfRule>
  </conditionalFormatting>
  <conditionalFormatting sqref="A118:A119">
    <cfRule type="expression" dxfId="1096" priority="340">
      <formula>V118&lt;&gt;0</formula>
    </cfRule>
  </conditionalFormatting>
  <conditionalFormatting sqref="A120:A121">
    <cfRule type="expression" dxfId="1095" priority="4455">
      <formula>V114&lt;&gt;0</formula>
    </cfRule>
  </conditionalFormatting>
  <conditionalFormatting sqref="A122:A123">
    <cfRule type="expression" dxfId="1094" priority="4456">
      <formula>V116&lt;&gt;0</formula>
    </cfRule>
  </conditionalFormatting>
  <conditionalFormatting sqref="A124:A125">
    <cfRule type="expression" dxfId="1093" priority="339">
      <formula>V124&lt;&gt;0</formula>
    </cfRule>
  </conditionalFormatting>
  <conditionalFormatting sqref="A126:A127">
    <cfRule type="expression" dxfId="1092" priority="4395">
      <formula>V120&lt;&gt;0</formula>
    </cfRule>
  </conditionalFormatting>
  <conditionalFormatting sqref="A128:A129">
    <cfRule type="expression" dxfId="1091" priority="4396">
      <formula>V122&lt;&gt;0</formula>
    </cfRule>
  </conditionalFormatting>
  <conditionalFormatting sqref="A130:A131">
    <cfRule type="expression" dxfId="1090" priority="338">
      <formula>V130&lt;&gt;0</formula>
    </cfRule>
  </conditionalFormatting>
  <conditionalFormatting sqref="A132:A133">
    <cfRule type="expression" dxfId="1089" priority="4335">
      <formula>V126&lt;&gt;0</formula>
    </cfRule>
  </conditionalFormatting>
  <conditionalFormatting sqref="A134:A135">
    <cfRule type="expression" dxfId="1088" priority="4336">
      <formula>V128&lt;&gt;0</formula>
    </cfRule>
  </conditionalFormatting>
  <conditionalFormatting sqref="A142:A157">
    <cfRule type="expression" dxfId="1087" priority="4276">
      <formula>V136&lt;&gt;0</formula>
    </cfRule>
  </conditionalFormatting>
  <conditionalFormatting sqref="B42:B47 B50:B53 B56:B59 B62:B65 B68:B71 B74:B77 B80:B83 B86:B89 B92:B95 B98:B101 B104:B107 B110:B113 B116:B119 B122:B125 B128:B131 B134:B137 B2:B25">
    <cfRule type="cellIs" dxfId="1086" priority="6196" operator="greaterThan">
      <formula>E2</formula>
    </cfRule>
  </conditionalFormatting>
  <conditionalFormatting sqref="B140:B157">
    <cfRule type="cellIs" dxfId="1085" priority="4768" operator="greaterThan">
      <formula>E140</formula>
    </cfRule>
  </conditionalFormatting>
  <conditionalFormatting sqref="C26:C41">
    <cfRule type="cellIs" dxfId="1084" priority="5722" operator="greaterThan">
      <formula>F26</formula>
    </cfRule>
  </conditionalFormatting>
  <conditionalFormatting sqref="E42:E47 E50:E53 E56:E59 E62:E65 E68:E71 E74:E77 E80:E83 E86:E89 E92:E95 E98:E101 E104:E107 E110:E113 E116:E119 E122:E125 E128:E131 E134:E137 E2:E25">
    <cfRule type="cellIs" dxfId="1083" priority="6195" operator="greaterThan">
      <formula>B2</formula>
    </cfRule>
  </conditionalFormatting>
  <conditionalFormatting sqref="E140:E157">
    <cfRule type="cellIs" dxfId="1082" priority="4767" operator="greaterThan">
      <formula>B140</formula>
    </cfRule>
  </conditionalFormatting>
  <conditionalFormatting sqref="F2:F13">
    <cfRule type="cellIs" dxfId="571" priority="537" operator="lessThanOrEqual">
      <formula>$C2</formula>
    </cfRule>
  </conditionalFormatting>
  <conditionalFormatting sqref="F44:F45">
    <cfRule type="cellIs" dxfId="1081" priority="3226" operator="lessThan">
      <formula>D44</formula>
    </cfRule>
    <cfRule type="cellIs" dxfId="1080" priority="3227" operator="greaterThan">
      <formula>D44</formula>
    </cfRule>
  </conditionalFormatting>
  <conditionalFormatting sqref="G2:G157">
    <cfRule type="cellIs" dxfId="1079" priority="4769" operator="lessThan">
      <formula>0</formula>
    </cfRule>
    <cfRule type="cellIs" dxfId="1078" priority="4770" operator="greaterThan">
      <formula>0</formula>
    </cfRule>
  </conditionalFormatting>
  <conditionalFormatting sqref="Q2:T157">
    <cfRule type="cellIs" dxfId="1077" priority="4278" operator="equal">
      <formula>0</formula>
    </cfRule>
  </conditionalFormatting>
  <conditionalFormatting sqref="V2:V157">
    <cfRule type="cellIs" dxfId="1076" priority="4771" operator="lessThan">
      <formula>0</formula>
    </cfRule>
    <cfRule type="cellIs" dxfId="1075" priority="4772" operator="equal">
      <formula>0</formula>
    </cfRule>
  </conditionalFormatting>
  <conditionalFormatting sqref="W2:X157">
    <cfRule type="cellIs" dxfId="1074" priority="4277" operator="equal">
      <formula>0</formula>
    </cfRule>
  </conditionalFormatting>
  <conditionalFormatting sqref="Y5">
    <cfRule type="cellIs" dxfId="1073" priority="561" operator="greaterThan">
      <formula>Y2</formula>
    </cfRule>
  </conditionalFormatting>
  <conditionalFormatting sqref="Y42:Y123">
    <cfRule type="cellIs" dxfId="1072" priority="374" operator="equal">
      <formula>0</formula>
    </cfRule>
  </conditionalFormatting>
  <conditionalFormatting sqref="Y43 Y137 Y143 Y145 Y147 Y149 Y151 Y153 Y155 Y157">
    <cfRule type="expression" dxfId="1071" priority="7458">
      <formula>Y43&gt;$AE$1*$AD$1</formula>
    </cfRule>
  </conditionalFormatting>
  <conditionalFormatting sqref="Y43:Y47">
    <cfRule type="cellIs" dxfId="1070" priority="438" operator="lessThan">
      <formula>0</formula>
    </cfRule>
  </conditionalFormatting>
  <conditionalFormatting sqref="Y44">
    <cfRule type="expression" dxfId="1069" priority="7476">
      <formula>Y45&gt;$AE$1*$AD$1</formula>
    </cfRule>
  </conditionalFormatting>
  <conditionalFormatting sqref="Y45">
    <cfRule type="expression" dxfId="1068" priority="7459">
      <formula>Y45&gt;$AE$1*$AD$1</formula>
    </cfRule>
  </conditionalFormatting>
  <conditionalFormatting sqref="Y46">
    <cfRule type="expression" dxfId="1067" priority="442">
      <formula>Y47&gt;$AE$1*$AD$1</formula>
    </cfRule>
  </conditionalFormatting>
  <conditionalFormatting sqref="Y47">
    <cfRule type="expression" dxfId="1066" priority="440">
      <formula>Y47&gt;$AE$1*$AD$1</formula>
    </cfRule>
    <cfRule type="expression" dxfId="1065" priority="441">
      <formula>Y47&gt;$AE$1*$AD$1</formula>
    </cfRule>
  </conditionalFormatting>
  <conditionalFormatting sqref="Y48:Y51">
    <cfRule type="cellIs" dxfId="1064" priority="3056" operator="lessThan">
      <formula>0</formula>
    </cfRule>
  </conditionalFormatting>
  <conditionalFormatting sqref="Y52">
    <cfRule type="expression" dxfId="1063" priority="437">
      <formula>Y53&gt;$AE$1*$AD$1</formula>
    </cfRule>
  </conditionalFormatting>
  <conditionalFormatting sqref="Y52:Y53">
    <cfRule type="cellIs" dxfId="1062" priority="433" operator="lessThan">
      <formula>0</formula>
    </cfRule>
  </conditionalFormatting>
  <conditionalFormatting sqref="Y53">
    <cfRule type="expression" dxfId="1061" priority="435">
      <formula>Y53&gt;$AE$1*$AD$1</formula>
    </cfRule>
    <cfRule type="expression" dxfId="1060" priority="436">
      <formula>Y53&gt;$AE$1*$AD$1</formula>
    </cfRule>
  </conditionalFormatting>
  <conditionalFormatting sqref="Y54:Y57">
    <cfRule type="cellIs" dxfId="1059" priority="2577" operator="lessThan">
      <formula>0</formula>
    </cfRule>
  </conditionalFormatting>
  <conditionalFormatting sqref="Y58">
    <cfRule type="expression" dxfId="1058" priority="432">
      <formula>Y59&gt;$AE$1*$AD$1</formula>
    </cfRule>
  </conditionalFormatting>
  <conditionalFormatting sqref="Y58:Y59">
    <cfRule type="cellIs" dxfId="1057" priority="428" operator="lessThan">
      <formula>0</formula>
    </cfRule>
  </conditionalFormatting>
  <conditionalFormatting sqref="Y59">
    <cfRule type="expression" dxfId="1056" priority="430">
      <formula>Y59&gt;$AE$1*$AD$1</formula>
    </cfRule>
    <cfRule type="expression" dxfId="1055" priority="431">
      <formula>Y59&gt;$AE$1*$AD$1</formula>
    </cfRule>
  </conditionalFormatting>
  <conditionalFormatting sqref="Y60:Y63">
    <cfRule type="cellIs" dxfId="1054" priority="2565" operator="lessThan">
      <formula>0</formula>
    </cfRule>
  </conditionalFormatting>
  <conditionalFormatting sqref="Y64">
    <cfRule type="expression" dxfId="1053" priority="427">
      <formula>Y65&gt;$AE$1*$AD$1</formula>
    </cfRule>
  </conditionalFormatting>
  <conditionalFormatting sqref="Y64:Y65">
    <cfRule type="cellIs" dxfId="1052" priority="423" operator="lessThan">
      <formula>0</formula>
    </cfRule>
  </conditionalFormatting>
  <conditionalFormatting sqref="Y65">
    <cfRule type="expression" dxfId="1051" priority="425">
      <formula>Y65&gt;$AE$1*$AD$1</formula>
    </cfRule>
    <cfRule type="expression" dxfId="1050" priority="426">
      <formula>Y65&gt;$AE$1*$AD$1</formula>
    </cfRule>
  </conditionalFormatting>
  <conditionalFormatting sqref="Y66:Y69">
    <cfRule type="cellIs" dxfId="1049" priority="2544" operator="lessThan">
      <formula>0</formula>
    </cfRule>
  </conditionalFormatting>
  <conditionalFormatting sqref="Y70">
    <cfRule type="expression" dxfId="1048" priority="422">
      <formula>Y71&gt;$AE$1*$AD$1</formula>
    </cfRule>
  </conditionalFormatting>
  <conditionalFormatting sqref="Y70:Y71">
    <cfRule type="cellIs" dxfId="1047" priority="418" operator="lessThan">
      <formula>0</formula>
    </cfRule>
  </conditionalFormatting>
  <conditionalFormatting sqref="Y71">
    <cfRule type="expression" dxfId="1046" priority="420">
      <formula>Y71&gt;$AE$1*$AD$1</formula>
    </cfRule>
    <cfRule type="expression" dxfId="1045" priority="421">
      <formula>Y71&gt;$AE$1*$AD$1</formula>
    </cfRule>
  </conditionalFormatting>
  <conditionalFormatting sqref="Y72:Y75">
    <cfRule type="cellIs" dxfId="1044" priority="2512" operator="lessThan">
      <formula>0</formula>
    </cfRule>
  </conditionalFormatting>
  <conditionalFormatting sqref="Y76">
    <cfRule type="expression" dxfId="1043" priority="417">
      <formula>Y77&gt;$AE$1*$AD$1</formula>
    </cfRule>
  </conditionalFormatting>
  <conditionalFormatting sqref="Y76:Y77">
    <cfRule type="cellIs" dxfId="1042" priority="413" operator="lessThan">
      <formula>0</formula>
    </cfRule>
  </conditionalFormatting>
  <conditionalFormatting sqref="Y77">
    <cfRule type="expression" dxfId="1041" priority="415">
      <formula>Y77&gt;$AE$1*$AD$1</formula>
    </cfRule>
    <cfRule type="expression" dxfId="1040" priority="416">
      <formula>Y77&gt;$AE$1*$AD$1</formula>
    </cfRule>
  </conditionalFormatting>
  <conditionalFormatting sqref="Y78:Y81">
    <cfRule type="cellIs" dxfId="1039" priority="2467" operator="lessThan">
      <formula>0</formula>
    </cfRule>
  </conditionalFormatting>
  <conditionalFormatting sqref="Y82">
    <cfRule type="expression" dxfId="1038" priority="412">
      <formula>Y83&gt;$AE$1*$AD$1</formula>
    </cfRule>
  </conditionalFormatting>
  <conditionalFormatting sqref="Y82:Y83">
    <cfRule type="cellIs" dxfId="1037" priority="408" operator="lessThan">
      <formula>0</formula>
    </cfRule>
  </conditionalFormatting>
  <conditionalFormatting sqref="Y83">
    <cfRule type="expression" dxfId="1036" priority="410">
      <formula>Y83&gt;$AE$1*$AD$1</formula>
    </cfRule>
    <cfRule type="expression" dxfId="1035" priority="411">
      <formula>Y83&gt;$AE$1*$AD$1</formula>
    </cfRule>
  </conditionalFormatting>
  <conditionalFormatting sqref="Y84:Y87">
    <cfRule type="cellIs" dxfId="1034" priority="1790" operator="lessThan">
      <formula>0</formula>
    </cfRule>
  </conditionalFormatting>
  <conditionalFormatting sqref="Y88">
    <cfRule type="expression" dxfId="1033" priority="407">
      <formula>Y89&gt;$AE$1*$AD$1</formula>
    </cfRule>
  </conditionalFormatting>
  <conditionalFormatting sqref="Y88:Y89">
    <cfRule type="cellIs" dxfId="1032" priority="403" operator="lessThan">
      <formula>0</formula>
    </cfRule>
  </conditionalFormatting>
  <conditionalFormatting sqref="Y89">
    <cfRule type="expression" dxfId="1031" priority="405">
      <formula>Y89&gt;$AE$1*$AD$1</formula>
    </cfRule>
    <cfRule type="expression" dxfId="1030" priority="406">
      <formula>Y89&gt;$AE$1*$AD$1</formula>
    </cfRule>
  </conditionalFormatting>
  <conditionalFormatting sqref="Y90:Y93">
    <cfRule type="cellIs" dxfId="1029" priority="1730" operator="lessThan">
      <formula>0</formula>
    </cfRule>
  </conditionalFormatting>
  <conditionalFormatting sqref="Y94">
    <cfRule type="expression" dxfId="1028" priority="402">
      <formula>Y95&gt;$AE$1*$AD$1</formula>
    </cfRule>
  </conditionalFormatting>
  <conditionalFormatting sqref="Y94:Y95">
    <cfRule type="cellIs" dxfId="1027" priority="398" operator="lessThan">
      <formula>0</formula>
    </cfRule>
  </conditionalFormatting>
  <conditionalFormatting sqref="Y95">
    <cfRule type="expression" dxfId="1026" priority="400">
      <formula>Y95&gt;$AE$1*$AD$1</formula>
    </cfRule>
    <cfRule type="expression" dxfId="1025" priority="401">
      <formula>Y95&gt;$AE$1*$AD$1</formula>
    </cfRule>
  </conditionalFormatting>
  <conditionalFormatting sqref="Y96:Y99">
    <cfRule type="cellIs" dxfId="1024" priority="1670" operator="lessThan">
      <formula>0</formula>
    </cfRule>
  </conditionalFormatting>
  <conditionalFormatting sqref="Y100">
    <cfRule type="expression" dxfId="1023" priority="397">
      <formula>Y101&gt;$AE$1*$AD$1</formula>
    </cfRule>
  </conditionalFormatting>
  <conditionalFormatting sqref="Y100:Y101">
    <cfRule type="cellIs" dxfId="1022" priority="393" operator="lessThan">
      <formula>0</formula>
    </cfRule>
  </conditionalFormatting>
  <conditionalFormatting sqref="Y101">
    <cfRule type="expression" dxfId="1021" priority="395">
      <formula>Y101&gt;$AE$1*$AD$1</formula>
    </cfRule>
    <cfRule type="expression" dxfId="1020" priority="396">
      <formula>Y101&gt;$AE$1*$AD$1</formula>
    </cfRule>
  </conditionalFormatting>
  <conditionalFormatting sqref="Y102:Y105">
    <cfRule type="cellIs" dxfId="1019" priority="1610" operator="lessThan">
      <formula>0</formula>
    </cfRule>
  </conditionalFormatting>
  <conditionalFormatting sqref="Y106">
    <cfRule type="expression" dxfId="1018" priority="392">
      <formula>Y107&gt;$AE$1*$AD$1</formula>
    </cfRule>
  </conditionalFormatting>
  <conditionalFormatting sqref="Y106:Y107">
    <cfRule type="cellIs" dxfId="1017" priority="388" operator="lessThan">
      <formula>0</formula>
    </cfRule>
  </conditionalFormatting>
  <conditionalFormatting sqref="Y107">
    <cfRule type="expression" dxfId="1016" priority="390">
      <formula>Y107&gt;$AE$1*$AD$1</formula>
    </cfRule>
    <cfRule type="expression" dxfId="1015" priority="391">
      <formula>Y107&gt;$AE$1*$AD$1</formula>
    </cfRule>
  </conditionalFormatting>
  <conditionalFormatting sqref="Y108:Y111">
    <cfRule type="cellIs" dxfId="1014" priority="749" operator="lessThan">
      <formula>0</formula>
    </cfRule>
  </conditionalFormatting>
  <conditionalFormatting sqref="Y112">
    <cfRule type="expression" dxfId="1013" priority="387">
      <formula>Y113&gt;$AE$1*$AD$1</formula>
    </cfRule>
  </conditionalFormatting>
  <conditionalFormatting sqref="Y112:Y113">
    <cfRule type="cellIs" dxfId="1012" priority="383" operator="lessThan">
      <formula>0</formula>
    </cfRule>
  </conditionalFormatting>
  <conditionalFormatting sqref="Y113">
    <cfRule type="expression" dxfId="1011" priority="385">
      <formula>Y113&gt;$AE$1*$AD$1</formula>
    </cfRule>
    <cfRule type="expression" dxfId="1010" priority="386">
      <formula>Y113&gt;$AE$1*$AD$1</formula>
    </cfRule>
  </conditionalFormatting>
  <conditionalFormatting sqref="Y114:Y117">
    <cfRule type="cellIs" dxfId="1009" priority="689" operator="lessThan">
      <formula>0</formula>
    </cfRule>
  </conditionalFormatting>
  <conditionalFormatting sqref="Y118">
    <cfRule type="expression" dxfId="1008" priority="382">
      <formula>Y119&gt;$AE$1*$AD$1</formula>
    </cfRule>
  </conditionalFormatting>
  <conditionalFormatting sqref="Y118:Y119">
    <cfRule type="cellIs" dxfId="1007" priority="378" operator="lessThan">
      <formula>0</formula>
    </cfRule>
  </conditionalFormatting>
  <conditionalFormatting sqref="Y119">
    <cfRule type="expression" dxfId="1006" priority="380">
      <formula>Y119&gt;$AE$1*$AD$1</formula>
    </cfRule>
    <cfRule type="expression" dxfId="1005" priority="381">
      <formula>Y119&gt;$AE$1*$AD$1</formula>
    </cfRule>
  </conditionalFormatting>
  <conditionalFormatting sqref="Y120:Y123">
    <cfRule type="cellIs" dxfId="1004" priority="629" operator="lessThan">
      <formula>0</formula>
    </cfRule>
  </conditionalFormatting>
  <conditionalFormatting sqref="Y130">
    <cfRule type="expression" dxfId="1003" priority="372">
      <formula>Y131&gt;$AE$1*$AD$1</formula>
    </cfRule>
  </conditionalFormatting>
  <conditionalFormatting sqref="Y130:Y131">
    <cfRule type="cellIs" dxfId="1002" priority="368" operator="lessThan">
      <formula>0</formula>
    </cfRule>
  </conditionalFormatting>
  <conditionalFormatting sqref="Y130:Y141">
    <cfRule type="cellIs" dxfId="1001" priority="369" operator="equal">
      <formula>0</formula>
    </cfRule>
  </conditionalFormatting>
  <conditionalFormatting sqref="Y131">
    <cfRule type="expression" dxfId="1000" priority="370">
      <formula>Y131&gt;$AE$1*$AD$1</formula>
    </cfRule>
    <cfRule type="expression" dxfId="999" priority="371">
      <formula>Y131&gt;$AE$1*$AD$1</formula>
    </cfRule>
  </conditionalFormatting>
  <conditionalFormatting sqref="Y132:Y135">
    <cfRule type="cellIs" dxfId="998" priority="569" operator="lessThan">
      <formula>0</formula>
    </cfRule>
  </conditionalFormatting>
  <conditionalFormatting sqref="Y136">
    <cfRule type="cellIs" dxfId="997" priority="3504" operator="lessThan">
      <formula>0</formula>
    </cfRule>
  </conditionalFormatting>
  <conditionalFormatting sqref="Y138:Y157">
    <cfRule type="cellIs" dxfId="996" priority="3500" operator="lessThan">
      <formula>0</formula>
    </cfRule>
  </conditionalFormatting>
  <conditionalFormatting sqref="Y26:Z41">
    <cfRule type="cellIs" dxfId="995" priority="5021" operator="equal">
      <formula>0</formula>
    </cfRule>
  </conditionalFormatting>
  <conditionalFormatting sqref="AA22">
    <cfRule type="expression" dxfId="994" priority="5052">
      <formula>AB22&gt;Z23</formula>
    </cfRule>
  </conditionalFormatting>
  <conditionalFormatting sqref="AA23">
    <cfRule type="expression" dxfId="993" priority="4181">
      <formula>AB23&gt;Z22</formula>
    </cfRule>
  </conditionalFormatting>
  <conditionalFormatting sqref="AA24">
    <cfRule type="expression" dxfId="992" priority="4180">
      <formula>AB24&gt;Z25</formula>
    </cfRule>
  </conditionalFormatting>
  <conditionalFormatting sqref="AA25">
    <cfRule type="expression" dxfId="991" priority="4179">
      <formula>AB25&gt;Z24</formula>
    </cfRule>
  </conditionalFormatting>
  <conditionalFormatting sqref="Z2">
    <cfRule type="cellIs" dxfId="990" priority="559" operator="lessThan">
      <formula>Z3</formula>
    </cfRule>
  </conditionalFormatting>
  <conditionalFormatting sqref="Z42:Z43">
    <cfRule type="cellIs" dxfId="989" priority="3643" operator="greaterThan">
      <formula>0</formula>
    </cfRule>
    <cfRule type="cellIs" dxfId="988" priority="3644" operator="lessThan">
      <formula>0</formula>
    </cfRule>
    <cfRule type="cellIs" dxfId="987" priority="3645" operator="equal">
      <formula>0</formula>
    </cfRule>
  </conditionalFormatting>
  <conditionalFormatting sqref="Z44">
    <cfRule type="cellIs" dxfId="986" priority="2834" operator="greaterThan">
      <formula>Z45</formula>
    </cfRule>
    <cfRule type="cellIs" dxfId="985" priority="2835" operator="lessThan">
      <formula>Z45</formula>
    </cfRule>
    <cfRule type="cellIs" dxfId="984" priority="2836" operator="equal">
      <formula>0</formula>
    </cfRule>
  </conditionalFormatting>
  <conditionalFormatting sqref="Z45">
    <cfRule type="cellIs" dxfId="983" priority="2833" operator="equal">
      <formula>0</formula>
    </cfRule>
  </conditionalFormatting>
  <conditionalFormatting sqref="Z46">
    <cfRule type="cellIs" dxfId="982" priority="2856" operator="greaterThan">
      <formula>Z47</formula>
    </cfRule>
    <cfRule type="cellIs" dxfId="981" priority="2857" operator="lessThan">
      <formula>Z47</formula>
    </cfRule>
    <cfRule type="cellIs" dxfId="980" priority="2858" operator="equal">
      <formula>0</formula>
    </cfRule>
  </conditionalFormatting>
  <conditionalFormatting sqref="Z47">
    <cfRule type="cellIs" dxfId="979" priority="2837" operator="equal">
      <formula>0</formula>
    </cfRule>
  </conditionalFormatting>
  <conditionalFormatting sqref="Z48">
    <cfRule type="cellIs" dxfId="978" priority="3653" operator="lessThan">
      <formula>Z49</formula>
    </cfRule>
    <cfRule type="cellIs" dxfId="977" priority="3654" operator="greaterThan">
      <formula>Z49</formula>
    </cfRule>
    <cfRule type="cellIs" dxfId="976" priority="3657" operator="lessThan">
      <formula>Z49</formula>
    </cfRule>
    <cfRule type="cellIs" dxfId="975" priority="3658" operator="greaterThan">
      <formula>Z49</formula>
    </cfRule>
    <cfRule type="cellIs" dxfId="974" priority="3659" operator="lessThan">
      <formula>Z49</formula>
    </cfRule>
    <cfRule type="cellIs" dxfId="973" priority="3660" operator="greaterThan">
      <formula>Z49</formula>
    </cfRule>
  </conditionalFormatting>
  <conditionalFormatting sqref="Z48:Z51">
    <cfRule type="cellIs" dxfId="972" priority="3661" operator="equal">
      <formula>0</formula>
    </cfRule>
  </conditionalFormatting>
  <conditionalFormatting sqref="Z49">
    <cfRule type="cellIs" dxfId="971" priority="3650" operator="lessThan">
      <formula>Z48</formula>
    </cfRule>
  </conditionalFormatting>
  <conditionalFormatting sqref="Z50">
    <cfRule type="cellIs" dxfId="970" priority="3651" operator="lessThan">
      <formula>Z51</formula>
    </cfRule>
    <cfRule type="cellIs" dxfId="969" priority="3652" operator="greaterThan">
      <formula>Z51</formula>
    </cfRule>
    <cfRule type="cellIs" dxfId="968" priority="3655" operator="lessThan">
      <formula>Z51</formula>
    </cfRule>
    <cfRule type="cellIs" dxfId="967" priority="3656" operator="greaterThan">
      <formula>Z51</formula>
    </cfRule>
  </conditionalFormatting>
  <conditionalFormatting sqref="Z51">
    <cfRule type="cellIs" dxfId="966" priority="3649" operator="lessThan">
      <formula>Z50</formula>
    </cfRule>
  </conditionalFormatting>
  <conditionalFormatting sqref="Z52">
    <cfRule type="cellIs" dxfId="965" priority="2830" operator="greaterThan">
      <formula>Z53</formula>
    </cfRule>
    <cfRule type="cellIs" dxfId="964" priority="2831" operator="lessThan">
      <formula>Z53</formula>
    </cfRule>
    <cfRule type="cellIs" dxfId="963" priority="2832" operator="equal">
      <formula>0</formula>
    </cfRule>
  </conditionalFormatting>
  <conditionalFormatting sqref="Z53">
    <cfRule type="cellIs" dxfId="962" priority="2829" operator="equal">
      <formula>0</formula>
    </cfRule>
  </conditionalFormatting>
  <conditionalFormatting sqref="Z54">
    <cfRule type="cellIs" dxfId="961" priority="3491" operator="lessThan">
      <formula>Z55</formula>
    </cfRule>
    <cfRule type="cellIs" dxfId="960" priority="3492" operator="greaterThan">
      <formula>Z55</formula>
    </cfRule>
    <cfRule type="cellIs" dxfId="959" priority="3495" operator="lessThan">
      <formula>Z55</formula>
    </cfRule>
    <cfRule type="cellIs" dxfId="958" priority="3496" operator="greaterThan">
      <formula>Z55</formula>
    </cfRule>
    <cfRule type="cellIs" dxfId="957" priority="3497" operator="lessThan">
      <formula>Z55</formula>
    </cfRule>
    <cfRule type="cellIs" dxfId="956" priority="3498" operator="greaterThan">
      <formula>Z55</formula>
    </cfRule>
  </conditionalFormatting>
  <conditionalFormatting sqref="Z54:Z57">
    <cfRule type="cellIs" dxfId="955" priority="3499" operator="equal">
      <formula>0</formula>
    </cfRule>
  </conditionalFormatting>
  <conditionalFormatting sqref="Z55">
    <cfRule type="cellIs" dxfId="954" priority="3488" operator="lessThan">
      <formula>Z54</formula>
    </cfRule>
  </conditionalFormatting>
  <conditionalFormatting sqref="Z56">
    <cfRule type="cellIs" dxfId="953" priority="3489" operator="lessThan">
      <formula>Z57</formula>
    </cfRule>
    <cfRule type="cellIs" dxfId="952" priority="3490" operator="greaterThan">
      <formula>Z57</formula>
    </cfRule>
    <cfRule type="cellIs" dxfId="951" priority="3493" operator="lessThan">
      <formula>Z57</formula>
    </cfRule>
    <cfRule type="cellIs" dxfId="950" priority="3494" operator="greaterThan">
      <formula>Z57</formula>
    </cfRule>
  </conditionalFormatting>
  <conditionalFormatting sqref="Z57">
    <cfRule type="cellIs" dxfId="949" priority="3487" operator="lessThan">
      <formula>Z56</formula>
    </cfRule>
  </conditionalFormatting>
  <conditionalFormatting sqref="Z58">
    <cfRule type="cellIs" dxfId="948" priority="2826" operator="greaterThan">
      <formula>Z59</formula>
    </cfRule>
    <cfRule type="cellIs" dxfId="947" priority="2827" operator="lessThan">
      <formula>Z59</formula>
    </cfRule>
    <cfRule type="cellIs" dxfId="946" priority="2828" operator="equal">
      <formula>0</formula>
    </cfRule>
  </conditionalFormatting>
  <conditionalFormatting sqref="Z59">
    <cfRule type="cellIs" dxfId="945" priority="2825" operator="equal">
      <formula>0</formula>
    </cfRule>
  </conditionalFormatting>
  <conditionalFormatting sqref="Z60">
    <cfRule type="cellIs" dxfId="944" priority="3475" operator="lessThan">
      <formula>Z61</formula>
    </cfRule>
    <cfRule type="cellIs" dxfId="943" priority="3476" operator="greaterThan">
      <formula>Z61</formula>
    </cfRule>
    <cfRule type="cellIs" dxfId="942" priority="3479" operator="lessThan">
      <formula>Z61</formula>
    </cfRule>
    <cfRule type="cellIs" dxfId="941" priority="3480" operator="greaterThan">
      <formula>Z61</formula>
    </cfRule>
    <cfRule type="cellIs" dxfId="940" priority="3481" operator="lessThan">
      <formula>Z61</formula>
    </cfRule>
    <cfRule type="cellIs" dxfId="939" priority="3482" operator="greaterThan">
      <formula>Z61</formula>
    </cfRule>
  </conditionalFormatting>
  <conditionalFormatting sqref="Z60:Z63">
    <cfRule type="cellIs" dxfId="938" priority="3483" operator="equal">
      <formula>0</formula>
    </cfRule>
  </conditionalFormatting>
  <conditionalFormatting sqref="Z61">
    <cfRule type="cellIs" dxfId="937" priority="3472" operator="lessThan">
      <formula>Z60</formula>
    </cfRule>
  </conditionalFormatting>
  <conditionalFormatting sqref="Z62">
    <cfRule type="cellIs" dxfId="936" priority="3473" operator="lessThan">
      <formula>Z63</formula>
    </cfRule>
    <cfRule type="cellIs" dxfId="935" priority="3474" operator="greaterThan">
      <formula>Z63</formula>
    </cfRule>
    <cfRule type="cellIs" dxfId="934" priority="3477" operator="lessThan">
      <formula>Z63</formula>
    </cfRule>
    <cfRule type="cellIs" dxfId="933" priority="3478" operator="greaterThan">
      <formula>Z63</formula>
    </cfRule>
  </conditionalFormatting>
  <conditionalFormatting sqref="Z63">
    <cfRule type="cellIs" dxfId="932" priority="3471" operator="lessThan">
      <formula>Z62</formula>
    </cfRule>
  </conditionalFormatting>
  <conditionalFormatting sqref="Z64">
    <cfRule type="cellIs" dxfId="931" priority="2822" operator="greaterThan">
      <formula>Z65</formula>
    </cfRule>
    <cfRule type="cellIs" dxfId="930" priority="2823" operator="lessThan">
      <formula>Z65</formula>
    </cfRule>
    <cfRule type="cellIs" dxfId="929" priority="2824" operator="equal">
      <formula>0</formula>
    </cfRule>
  </conditionalFormatting>
  <conditionalFormatting sqref="Z65">
    <cfRule type="cellIs" dxfId="928" priority="2821" operator="equal">
      <formula>0</formula>
    </cfRule>
  </conditionalFormatting>
  <conditionalFormatting sqref="Z66">
    <cfRule type="cellIs" dxfId="927" priority="3459" operator="lessThan">
      <formula>Z67</formula>
    </cfRule>
    <cfRule type="cellIs" dxfId="926" priority="3460" operator="greaterThan">
      <formula>Z67</formula>
    </cfRule>
    <cfRule type="cellIs" dxfId="925" priority="3463" operator="lessThan">
      <formula>Z67</formula>
    </cfRule>
    <cfRule type="cellIs" dxfId="924" priority="3464" operator="greaterThan">
      <formula>Z67</formula>
    </cfRule>
    <cfRule type="cellIs" dxfId="923" priority="3465" operator="lessThan">
      <formula>Z67</formula>
    </cfRule>
    <cfRule type="cellIs" dxfId="922" priority="3466" operator="greaterThan">
      <formula>Z67</formula>
    </cfRule>
  </conditionalFormatting>
  <conditionalFormatting sqref="Z66:Z69">
    <cfRule type="cellIs" dxfId="921" priority="3467" operator="equal">
      <formula>0</formula>
    </cfRule>
  </conditionalFormatting>
  <conditionalFormatting sqref="Z67">
    <cfRule type="cellIs" dxfId="920" priority="3456" operator="lessThan">
      <formula>Z66</formula>
    </cfRule>
  </conditionalFormatting>
  <conditionalFormatting sqref="Z68">
    <cfRule type="cellIs" dxfId="919" priority="3457" operator="lessThan">
      <formula>Z69</formula>
    </cfRule>
    <cfRule type="cellIs" dxfId="918" priority="3458" operator="greaterThan">
      <formula>Z69</formula>
    </cfRule>
    <cfRule type="cellIs" dxfId="917" priority="3461" operator="lessThan">
      <formula>Z69</formula>
    </cfRule>
    <cfRule type="cellIs" dxfId="916" priority="3462" operator="greaterThan">
      <formula>Z69</formula>
    </cfRule>
  </conditionalFormatting>
  <conditionalFormatting sqref="Z69">
    <cfRule type="cellIs" dxfId="915" priority="3455" operator="lessThan">
      <formula>Z68</formula>
    </cfRule>
  </conditionalFormatting>
  <conditionalFormatting sqref="Z70">
    <cfRule type="cellIs" dxfId="914" priority="2818" operator="greaterThan">
      <formula>Z71</formula>
    </cfRule>
    <cfRule type="cellIs" dxfId="913" priority="2819" operator="lessThan">
      <formula>Z71</formula>
    </cfRule>
    <cfRule type="cellIs" dxfId="912" priority="2820" operator="equal">
      <formula>0</formula>
    </cfRule>
  </conditionalFormatting>
  <conditionalFormatting sqref="Z71">
    <cfRule type="cellIs" dxfId="911" priority="2817" operator="equal">
      <formula>0</formula>
    </cfRule>
  </conditionalFormatting>
  <conditionalFormatting sqref="Z72">
    <cfRule type="cellIs" dxfId="910" priority="3443" operator="lessThan">
      <formula>Z73</formula>
    </cfRule>
    <cfRule type="cellIs" dxfId="909" priority="3444" operator="greaterThan">
      <formula>Z73</formula>
    </cfRule>
    <cfRule type="cellIs" dxfId="908" priority="3447" operator="lessThan">
      <formula>Z73</formula>
    </cfRule>
    <cfRule type="cellIs" dxfId="907" priority="3448" operator="greaterThan">
      <formula>Z73</formula>
    </cfRule>
    <cfRule type="cellIs" dxfId="906" priority="3449" operator="lessThan">
      <formula>Z73</formula>
    </cfRule>
    <cfRule type="cellIs" dxfId="905" priority="3450" operator="greaterThan">
      <formula>Z73</formula>
    </cfRule>
  </conditionalFormatting>
  <conditionalFormatting sqref="Z72:Z75">
    <cfRule type="cellIs" dxfId="904" priority="3451" operator="equal">
      <formula>0</formula>
    </cfRule>
  </conditionalFormatting>
  <conditionalFormatting sqref="Z73">
    <cfRule type="cellIs" dxfId="903" priority="3440" operator="lessThan">
      <formula>Z72</formula>
    </cfRule>
  </conditionalFormatting>
  <conditionalFormatting sqref="Z74">
    <cfRule type="cellIs" dxfId="902" priority="3441" operator="lessThan">
      <formula>Z75</formula>
    </cfRule>
    <cfRule type="cellIs" dxfId="901" priority="3442" operator="greaterThan">
      <formula>Z75</formula>
    </cfRule>
    <cfRule type="cellIs" dxfId="900" priority="3445" operator="lessThan">
      <formula>Z75</formula>
    </cfRule>
    <cfRule type="cellIs" dxfId="899" priority="3446" operator="greaterThan">
      <formula>Z75</formula>
    </cfRule>
  </conditionalFormatting>
  <conditionalFormatting sqref="Z75">
    <cfRule type="cellIs" dxfId="898" priority="3439" operator="lessThan">
      <formula>Z74</formula>
    </cfRule>
  </conditionalFormatting>
  <conditionalFormatting sqref="Z76">
    <cfRule type="cellIs" dxfId="897" priority="2814" operator="greaterThan">
      <formula>Z77</formula>
    </cfRule>
    <cfRule type="cellIs" dxfId="896" priority="2815" operator="lessThan">
      <formula>Z77</formula>
    </cfRule>
    <cfRule type="cellIs" dxfId="895" priority="2816" operator="equal">
      <formula>0</formula>
    </cfRule>
  </conditionalFormatting>
  <conditionalFormatting sqref="Z77">
    <cfRule type="cellIs" dxfId="894" priority="2813" operator="equal">
      <formula>0</formula>
    </cfRule>
  </conditionalFormatting>
  <conditionalFormatting sqref="Z78">
    <cfRule type="cellIs" dxfId="893" priority="3427" operator="lessThan">
      <formula>Z79</formula>
    </cfRule>
    <cfRule type="cellIs" dxfId="892" priority="3428" operator="greaterThan">
      <formula>Z79</formula>
    </cfRule>
    <cfRule type="cellIs" dxfId="891" priority="3431" operator="lessThan">
      <formula>Z79</formula>
    </cfRule>
    <cfRule type="cellIs" dxfId="890" priority="3432" operator="greaterThan">
      <formula>Z79</formula>
    </cfRule>
    <cfRule type="cellIs" dxfId="889" priority="3433" operator="lessThan">
      <formula>Z79</formula>
    </cfRule>
    <cfRule type="cellIs" dxfId="888" priority="3434" operator="greaterThan">
      <formula>Z79</formula>
    </cfRule>
  </conditionalFormatting>
  <conditionalFormatting sqref="Z78:Z81">
    <cfRule type="cellIs" dxfId="887" priority="3435" operator="equal">
      <formula>0</formula>
    </cfRule>
  </conditionalFormatting>
  <conditionalFormatting sqref="Z79">
    <cfRule type="cellIs" dxfId="886" priority="3424" operator="lessThan">
      <formula>Z78</formula>
    </cfRule>
  </conditionalFormatting>
  <conditionalFormatting sqref="Z80">
    <cfRule type="cellIs" dxfId="885" priority="3425" operator="lessThan">
      <formula>Z81</formula>
    </cfRule>
    <cfRule type="cellIs" dxfId="884" priority="3426" operator="greaterThan">
      <formula>Z81</formula>
    </cfRule>
    <cfRule type="cellIs" dxfId="883" priority="3429" operator="lessThan">
      <formula>Z81</formula>
    </cfRule>
    <cfRule type="cellIs" dxfId="882" priority="3430" operator="greaterThan">
      <formula>Z81</formula>
    </cfRule>
  </conditionalFormatting>
  <conditionalFormatting sqref="Z81">
    <cfRule type="cellIs" dxfId="881" priority="3423" operator="lessThan">
      <formula>Z80</formula>
    </cfRule>
  </conditionalFormatting>
  <conditionalFormatting sqref="Z82">
    <cfRule type="cellIs" dxfId="880" priority="2810" operator="greaterThan">
      <formula>Z83</formula>
    </cfRule>
    <cfRule type="cellIs" dxfId="879" priority="2811" operator="lessThan">
      <formula>Z83</formula>
    </cfRule>
    <cfRule type="cellIs" dxfId="878" priority="2812" operator="equal">
      <formula>0</formula>
    </cfRule>
  </conditionalFormatting>
  <conditionalFormatting sqref="Z83">
    <cfRule type="cellIs" dxfId="877" priority="2809" operator="equal">
      <formula>0</formula>
    </cfRule>
  </conditionalFormatting>
  <conditionalFormatting sqref="Z84">
    <cfRule type="cellIs" dxfId="876" priority="3411" operator="lessThan">
      <formula>Z85</formula>
    </cfRule>
    <cfRule type="cellIs" dxfId="875" priority="3412" operator="greaterThan">
      <formula>Z85</formula>
    </cfRule>
    <cfRule type="cellIs" dxfId="874" priority="3415" operator="lessThan">
      <formula>Z85</formula>
    </cfRule>
    <cfRule type="cellIs" dxfId="873" priority="3416" operator="greaterThan">
      <formula>Z85</formula>
    </cfRule>
    <cfRule type="cellIs" dxfId="872" priority="3417" operator="lessThan">
      <formula>Z85</formula>
    </cfRule>
    <cfRule type="cellIs" dxfId="871" priority="3418" operator="greaterThan">
      <formula>Z85</formula>
    </cfRule>
  </conditionalFormatting>
  <conditionalFormatting sqref="Z84:Z87">
    <cfRule type="cellIs" dxfId="870" priority="3419" operator="equal">
      <formula>0</formula>
    </cfRule>
  </conditionalFormatting>
  <conditionalFormatting sqref="Z85">
    <cfRule type="cellIs" dxfId="869" priority="3408" operator="lessThan">
      <formula>Z84</formula>
    </cfRule>
  </conditionalFormatting>
  <conditionalFormatting sqref="Z86">
    <cfRule type="cellIs" dxfId="868" priority="3409" operator="lessThan">
      <formula>Z87</formula>
    </cfRule>
    <cfRule type="cellIs" dxfId="867" priority="3410" operator="greaterThan">
      <formula>Z87</formula>
    </cfRule>
    <cfRule type="cellIs" dxfId="866" priority="3413" operator="lessThan">
      <formula>Z87</formula>
    </cfRule>
    <cfRule type="cellIs" dxfId="865" priority="3414" operator="greaterThan">
      <formula>Z87</formula>
    </cfRule>
  </conditionalFormatting>
  <conditionalFormatting sqref="Z87">
    <cfRule type="cellIs" dxfId="864" priority="3407" operator="lessThan">
      <formula>Z86</formula>
    </cfRule>
  </conditionalFormatting>
  <conditionalFormatting sqref="Z88">
    <cfRule type="cellIs" dxfId="863" priority="2806" operator="greaterThan">
      <formula>Z89</formula>
    </cfRule>
    <cfRule type="cellIs" dxfId="862" priority="2807" operator="lessThan">
      <formula>Z89</formula>
    </cfRule>
    <cfRule type="cellIs" dxfId="861" priority="2808" operator="equal">
      <formula>0</formula>
    </cfRule>
  </conditionalFormatting>
  <conditionalFormatting sqref="Z89">
    <cfRule type="cellIs" dxfId="860" priority="2805" operator="equal">
      <formula>0</formula>
    </cfRule>
  </conditionalFormatting>
  <conditionalFormatting sqref="Z90">
    <cfRule type="cellIs" dxfId="859" priority="3395" operator="lessThan">
      <formula>Z91</formula>
    </cfRule>
    <cfRule type="cellIs" dxfId="858" priority="3396" operator="greaterThan">
      <formula>Z91</formula>
    </cfRule>
    <cfRule type="cellIs" dxfId="857" priority="3399" operator="lessThan">
      <formula>Z91</formula>
    </cfRule>
    <cfRule type="cellIs" dxfId="856" priority="3400" operator="greaterThan">
      <formula>Z91</formula>
    </cfRule>
    <cfRule type="cellIs" dxfId="855" priority="3401" operator="lessThan">
      <formula>Z91</formula>
    </cfRule>
    <cfRule type="cellIs" dxfId="854" priority="3402" operator="greaterThan">
      <formula>Z91</formula>
    </cfRule>
  </conditionalFormatting>
  <conditionalFormatting sqref="Z90:Z93">
    <cfRule type="cellIs" dxfId="853" priority="3403" operator="equal">
      <formula>0</formula>
    </cfRule>
  </conditionalFormatting>
  <conditionalFormatting sqref="Z91">
    <cfRule type="cellIs" dxfId="852" priority="3392" operator="lessThan">
      <formula>Z90</formula>
    </cfRule>
  </conditionalFormatting>
  <conditionalFormatting sqref="Z92">
    <cfRule type="cellIs" dxfId="851" priority="3393" operator="lessThan">
      <formula>Z93</formula>
    </cfRule>
    <cfRule type="cellIs" dxfId="850" priority="3394" operator="greaterThan">
      <formula>Z93</formula>
    </cfRule>
    <cfRule type="cellIs" dxfId="849" priority="3397" operator="lessThan">
      <formula>Z93</formula>
    </cfRule>
    <cfRule type="cellIs" dxfId="848" priority="3398" operator="greaterThan">
      <formula>Z93</formula>
    </cfRule>
  </conditionalFormatting>
  <conditionalFormatting sqref="Z93">
    <cfRule type="cellIs" dxfId="847" priority="3391" operator="lessThan">
      <formula>Z92</formula>
    </cfRule>
  </conditionalFormatting>
  <conditionalFormatting sqref="Z94">
    <cfRule type="cellIs" dxfId="846" priority="2802" operator="greaterThan">
      <formula>Z95</formula>
    </cfRule>
    <cfRule type="cellIs" dxfId="845" priority="2803" operator="lessThan">
      <formula>Z95</formula>
    </cfRule>
    <cfRule type="cellIs" dxfId="844" priority="2804" operator="equal">
      <formula>0</formula>
    </cfRule>
  </conditionalFormatting>
  <conditionalFormatting sqref="Z95">
    <cfRule type="cellIs" dxfId="843" priority="2801" operator="equal">
      <formula>0</formula>
    </cfRule>
  </conditionalFormatting>
  <conditionalFormatting sqref="Z96">
    <cfRule type="cellIs" dxfId="842" priority="3379" operator="lessThan">
      <formula>Z97</formula>
    </cfRule>
    <cfRule type="cellIs" dxfId="841" priority="3380" operator="greaterThan">
      <formula>Z97</formula>
    </cfRule>
    <cfRule type="cellIs" dxfId="840" priority="3383" operator="lessThan">
      <formula>Z97</formula>
    </cfRule>
    <cfRule type="cellIs" dxfId="839" priority="3384" operator="greaterThan">
      <formula>Z97</formula>
    </cfRule>
    <cfRule type="cellIs" dxfId="838" priority="3385" operator="lessThan">
      <formula>Z97</formula>
    </cfRule>
    <cfRule type="cellIs" dxfId="837" priority="3386" operator="greaterThan">
      <formula>Z97</formula>
    </cfRule>
  </conditionalFormatting>
  <conditionalFormatting sqref="Z96:Z99">
    <cfRule type="cellIs" dxfId="836" priority="3387" operator="equal">
      <formula>0</formula>
    </cfRule>
  </conditionalFormatting>
  <conditionalFormatting sqref="Z97">
    <cfRule type="cellIs" dxfId="835" priority="3376" operator="lessThan">
      <formula>Z96</formula>
    </cfRule>
  </conditionalFormatting>
  <conditionalFormatting sqref="Z98">
    <cfRule type="cellIs" dxfId="834" priority="3377" operator="lessThan">
      <formula>Z99</formula>
    </cfRule>
    <cfRule type="cellIs" dxfId="833" priority="3378" operator="greaterThan">
      <formula>Z99</formula>
    </cfRule>
    <cfRule type="cellIs" dxfId="832" priority="3381" operator="lessThan">
      <formula>Z99</formula>
    </cfRule>
    <cfRule type="cellIs" dxfId="831" priority="3382" operator="greaterThan">
      <formula>Z99</formula>
    </cfRule>
  </conditionalFormatting>
  <conditionalFormatting sqref="Z99">
    <cfRule type="cellIs" dxfId="830" priority="3375" operator="lessThan">
      <formula>Z98</formula>
    </cfRule>
  </conditionalFormatting>
  <conditionalFormatting sqref="Z100">
    <cfRule type="cellIs" dxfId="829" priority="2798" operator="greaterThan">
      <formula>Z101</formula>
    </cfRule>
    <cfRule type="cellIs" dxfId="828" priority="2799" operator="lessThan">
      <formula>Z101</formula>
    </cfRule>
    <cfRule type="cellIs" dxfId="827" priority="2800" operator="equal">
      <formula>0</formula>
    </cfRule>
  </conditionalFormatting>
  <conditionalFormatting sqref="Z101">
    <cfRule type="cellIs" dxfId="826" priority="2797" operator="equal">
      <formula>0</formula>
    </cfRule>
  </conditionalFormatting>
  <conditionalFormatting sqref="Z102">
    <cfRule type="cellIs" dxfId="825" priority="3363" operator="lessThan">
      <formula>Z103</formula>
    </cfRule>
    <cfRule type="cellIs" dxfId="824" priority="3364" operator="greaterThan">
      <formula>Z103</formula>
    </cfRule>
    <cfRule type="cellIs" dxfId="823" priority="3367" operator="lessThan">
      <formula>Z103</formula>
    </cfRule>
    <cfRule type="cellIs" dxfId="822" priority="3368" operator="greaterThan">
      <formula>Z103</formula>
    </cfRule>
    <cfRule type="cellIs" dxfId="821" priority="3369" operator="lessThan">
      <formula>Z103</formula>
    </cfRule>
    <cfRule type="cellIs" dxfId="820" priority="3370" operator="greaterThan">
      <formula>Z103</formula>
    </cfRule>
  </conditionalFormatting>
  <conditionalFormatting sqref="Z102:Z105">
    <cfRule type="cellIs" dxfId="819" priority="3371" operator="equal">
      <formula>0</formula>
    </cfRule>
  </conditionalFormatting>
  <conditionalFormatting sqref="Z103">
    <cfRule type="cellIs" dxfId="818" priority="3360" operator="lessThan">
      <formula>Z102</formula>
    </cfRule>
  </conditionalFormatting>
  <conditionalFormatting sqref="Z104">
    <cfRule type="cellIs" dxfId="817" priority="3361" operator="lessThan">
      <formula>Z105</formula>
    </cfRule>
    <cfRule type="cellIs" dxfId="816" priority="3362" operator="greaterThan">
      <formula>Z105</formula>
    </cfRule>
    <cfRule type="cellIs" dxfId="815" priority="3365" operator="lessThan">
      <formula>Z105</formula>
    </cfRule>
    <cfRule type="cellIs" dxfId="814" priority="3366" operator="greaterThan">
      <formula>Z105</formula>
    </cfRule>
  </conditionalFormatting>
  <conditionalFormatting sqref="Z105">
    <cfRule type="cellIs" dxfId="813" priority="3359" operator="lessThan">
      <formula>Z104</formula>
    </cfRule>
  </conditionalFormatting>
  <conditionalFormatting sqref="Z106">
    <cfRule type="cellIs" dxfId="812" priority="2794" operator="greaterThan">
      <formula>Z107</formula>
    </cfRule>
    <cfRule type="cellIs" dxfId="811" priority="2795" operator="lessThan">
      <formula>Z107</formula>
    </cfRule>
    <cfRule type="cellIs" dxfId="810" priority="2796" operator="equal">
      <formula>0</formula>
    </cfRule>
  </conditionalFormatting>
  <conditionalFormatting sqref="Z107">
    <cfRule type="cellIs" dxfId="809" priority="2793" operator="equal">
      <formula>0</formula>
    </cfRule>
  </conditionalFormatting>
  <conditionalFormatting sqref="Z108">
    <cfRule type="cellIs" dxfId="808" priority="3347" operator="lessThan">
      <formula>Z109</formula>
    </cfRule>
    <cfRule type="cellIs" dxfId="807" priority="3348" operator="greaterThan">
      <formula>Z109</formula>
    </cfRule>
    <cfRule type="cellIs" dxfId="806" priority="3351" operator="lessThan">
      <formula>Z109</formula>
    </cfRule>
    <cfRule type="cellIs" dxfId="805" priority="3352" operator="greaterThan">
      <formula>Z109</formula>
    </cfRule>
    <cfRule type="cellIs" dxfId="804" priority="3353" operator="lessThan">
      <formula>Z109</formula>
    </cfRule>
    <cfRule type="cellIs" dxfId="803" priority="3354" operator="greaterThan">
      <formula>Z109</formula>
    </cfRule>
  </conditionalFormatting>
  <conditionalFormatting sqref="Z108:Z111">
    <cfRule type="cellIs" dxfId="802" priority="3355" operator="equal">
      <formula>0</formula>
    </cfRule>
  </conditionalFormatting>
  <conditionalFormatting sqref="Z109">
    <cfRule type="cellIs" dxfId="801" priority="3344" operator="lessThan">
      <formula>Z108</formula>
    </cfRule>
  </conditionalFormatting>
  <conditionalFormatting sqref="Z110">
    <cfRule type="cellIs" dxfId="800" priority="3345" operator="lessThan">
      <formula>Z111</formula>
    </cfRule>
    <cfRule type="cellIs" dxfId="799" priority="3346" operator="greaterThan">
      <formula>Z111</formula>
    </cfRule>
    <cfRule type="cellIs" dxfId="798" priority="3349" operator="lessThan">
      <formula>Z111</formula>
    </cfRule>
    <cfRule type="cellIs" dxfId="797" priority="3350" operator="greaterThan">
      <formula>Z111</formula>
    </cfRule>
  </conditionalFormatting>
  <conditionalFormatting sqref="Z111">
    <cfRule type="cellIs" dxfId="796" priority="3343" operator="lessThan">
      <formula>Z110</formula>
    </cfRule>
  </conditionalFormatting>
  <conditionalFormatting sqref="Z112">
    <cfRule type="cellIs" dxfId="795" priority="2790" operator="greaterThan">
      <formula>Z113</formula>
    </cfRule>
    <cfRule type="cellIs" dxfId="794" priority="2791" operator="lessThan">
      <formula>Z113</formula>
    </cfRule>
    <cfRule type="cellIs" dxfId="793" priority="2792" operator="equal">
      <formula>0</formula>
    </cfRule>
  </conditionalFormatting>
  <conditionalFormatting sqref="Z113">
    <cfRule type="cellIs" dxfId="792" priority="2789" operator="equal">
      <formula>0</formula>
    </cfRule>
  </conditionalFormatting>
  <conditionalFormatting sqref="Z114">
    <cfRule type="cellIs" dxfId="791" priority="3331" operator="lessThan">
      <formula>Z115</formula>
    </cfRule>
    <cfRule type="cellIs" dxfId="790" priority="3332" operator="greaterThan">
      <formula>Z115</formula>
    </cfRule>
    <cfRule type="cellIs" dxfId="789" priority="3335" operator="lessThan">
      <formula>Z115</formula>
    </cfRule>
    <cfRule type="cellIs" dxfId="788" priority="3336" operator="greaterThan">
      <formula>Z115</formula>
    </cfRule>
    <cfRule type="cellIs" dxfId="787" priority="3337" operator="lessThan">
      <formula>Z115</formula>
    </cfRule>
    <cfRule type="cellIs" dxfId="786" priority="3338" operator="greaterThan">
      <formula>Z115</formula>
    </cfRule>
  </conditionalFormatting>
  <conditionalFormatting sqref="Z114:Z117">
    <cfRule type="cellIs" dxfId="785" priority="3339" operator="equal">
      <formula>0</formula>
    </cfRule>
  </conditionalFormatting>
  <conditionalFormatting sqref="Z115">
    <cfRule type="cellIs" dxfId="784" priority="3328" operator="lessThan">
      <formula>Z114</formula>
    </cfRule>
  </conditionalFormatting>
  <conditionalFormatting sqref="Z116">
    <cfRule type="cellIs" dxfId="783" priority="3329" operator="lessThan">
      <formula>Z117</formula>
    </cfRule>
    <cfRule type="cellIs" dxfId="782" priority="3330" operator="greaterThan">
      <formula>Z117</formula>
    </cfRule>
    <cfRule type="cellIs" dxfId="781" priority="3333" operator="lessThan">
      <formula>Z117</formula>
    </cfRule>
    <cfRule type="cellIs" dxfId="780" priority="3334" operator="greaterThan">
      <formula>Z117</formula>
    </cfRule>
  </conditionalFormatting>
  <conditionalFormatting sqref="Z117">
    <cfRule type="cellIs" dxfId="779" priority="3327" operator="lessThan">
      <formula>Z116</formula>
    </cfRule>
  </conditionalFormatting>
  <conditionalFormatting sqref="Z118">
    <cfRule type="cellIs" dxfId="778" priority="2786" operator="greaterThan">
      <formula>Z119</formula>
    </cfRule>
    <cfRule type="cellIs" dxfId="777" priority="2787" operator="lessThan">
      <formula>Z119</formula>
    </cfRule>
    <cfRule type="cellIs" dxfId="776" priority="2788" operator="equal">
      <formula>0</formula>
    </cfRule>
  </conditionalFormatting>
  <conditionalFormatting sqref="Z119">
    <cfRule type="cellIs" dxfId="775" priority="2785" operator="equal">
      <formula>0</formula>
    </cfRule>
  </conditionalFormatting>
  <conditionalFormatting sqref="Z120">
    <cfRule type="cellIs" dxfId="774" priority="3315" operator="lessThan">
      <formula>Z121</formula>
    </cfRule>
    <cfRule type="cellIs" dxfId="773" priority="3316" operator="greaterThan">
      <formula>Z121</formula>
    </cfRule>
    <cfRule type="cellIs" dxfId="772" priority="3319" operator="lessThan">
      <formula>Z121</formula>
    </cfRule>
    <cfRule type="cellIs" dxfId="771" priority="3320" operator="greaterThan">
      <formula>Z121</formula>
    </cfRule>
    <cfRule type="cellIs" dxfId="770" priority="3321" operator="lessThan">
      <formula>Z121</formula>
    </cfRule>
    <cfRule type="cellIs" dxfId="769" priority="3322" operator="greaterThan">
      <formula>Z121</formula>
    </cfRule>
  </conditionalFormatting>
  <conditionalFormatting sqref="Z120:Z123">
    <cfRule type="cellIs" dxfId="768" priority="3323" operator="equal">
      <formula>0</formula>
    </cfRule>
  </conditionalFormatting>
  <conditionalFormatting sqref="Z121">
    <cfRule type="cellIs" dxfId="767" priority="3312" operator="lessThan">
      <formula>Z120</formula>
    </cfRule>
  </conditionalFormatting>
  <conditionalFormatting sqref="Z122">
    <cfRule type="cellIs" dxfId="766" priority="3313" operator="lessThan">
      <formula>Z123</formula>
    </cfRule>
    <cfRule type="cellIs" dxfId="765" priority="3314" operator="greaterThan">
      <formula>Z123</formula>
    </cfRule>
    <cfRule type="cellIs" dxfId="764" priority="3317" operator="lessThan">
      <formula>Z123</formula>
    </cfRule>
    <cfRule type="cellIs" dxfId="763" priority="3318" operator="greaterThan">
      <formula>Z123</formula>
    </cfRule>
  </conditionalFormatting>
  <conditionalFormatting sqref="Z123">
    <cfRule type="cellIs" dxfId="762" priority="3311" operator="lessThan">
      <formula>Z122</formula>
    </cfRule>
  </conditionalFormatting>
  <conditionalFormatting sqref="Z124">
    <cfRule type="cellIs" dxfId="761" priority="2782" operator="greaterThan">
      <formula>Z125</formula>
    </cfRule>
    <cfRule type="cellIs" dxfId="760" priority="2783" operator="lessThan">
      <formula>Z125</formula>
    </cfRule>
    <cfRule type="cellIs" dxfId="759" priority="2784" operator="equal">
      <formula>0</formula>
    </cfRule>
  </conditionalFormatting>
  <conditionalFormatting sqref="Z125">
    <cfRule type="cellIs" dxfId="758" priority="2781" operator="equal">
      <formula>0</formula>
    </cfRule>
  </conditionalFormatting>
  <conditionalFormatting sqref="Z126">
    <cfRule type="cellIs" dxfId="757" priority="3299" operator="lessThan">
      <formula>Z127</formula>
    </cfRule>
    <cfRule type="cellIs" dxfId="756" priority="3300" operator="greaterThan">
      <formula>Z127</formula>
    </cfRule>
    <cfRule type="cellIs" dxfId="755" priority="3303" operator="lessThan">
      <formula>Z127</formula>
    </cfRule>
    <cfRule type="cellIs" dxfId="754" priority="3304" operator="greaterThan">
      <formula>Z127</formula>
    </cfRule>
    <cfRule type="cellIs" dxfId="753" priority="3305" operator="lessThan">
      <formula>Z127</formula>
    </cfRule>
    <cfRule type="cellIs" dxfId="752" priority="3306" operator="greaterThan">
      <formula>Z127</formula>
    </cfRule>
  </conditionalFormatting>
  <conditionalFormatting sqref="Z126:Z129">
    <cfRule type="cellIs" dxfId="751" priority="3307" operator="equal">
      <formula>0</formula>
    </cfRule>
  </conditionalFormatting>
  <conditionalFormatting sqref="Z127">
    <cfRule type="cellIs" dxfId="750" priority="3296" operator="lessThan">
      <formula>Z126</formula>
    </cfRule>
  </conditionalFormatting>
  <conditionalFormatting sqref="Z128">
    <cfRule type="cellIs" dxfId="749" priority="3297" operator="lessThan">
      <formula>Z129</formula>
    </cfRule>
    <cfRule type="cellIs" dxfId="748" priority="3298" operator="greaterThan">
      <formula>Z129</formula>
    </cfRule>
    <cfRule type="cellIs" dxfId="747" priority="3301" operator="lessThan">
      <formula>Z129</formula>
    </cfRule>
    <cfRule type="cellIs" dxfId="746" priority="3302" operator="greaterThan">
      <formula>Z129</formula>
    </cfRule>
  </conditionalFormatting>
  <conditionalFormatting sqref="Z129">
    <cfRule type="cellIs" dxfId="745" priority="3295" operator="lessThan">
      <formula>Z128</formula>
    </cfRule>
  </conditionalFormatting>
  <conditionalFormatting sqref="Z130">
    <cfRule type="cellIs" dxfId="744" priority="2778" operator="greaterThan">
      <formula>Z131</formula>
    </cfRule>
    <cfRule type="cellIs" dxfId="743" priority="2779" operator="lessThan">
      <formula>Z131</formula>
    </cfRule>
    <cfRule type="cellIs" dxfId="742" priority="2780" operator="equal">
      <formula>0</formula>
    </cfRule>
  </conditionalFormatting>
  <conditionalFormatting sqref="Z131">
    <cfRule type="cellIs" dxfId="741" priority="2777" operator="equal">
      <formula>0</formula>
    </cfRule>
  </conditionalFormatting>
  <conditionalFormatting sqref="Z132">
    <cfRule type="cellIs" dxfId="740" priority="3283" operator="lessThan">
      <formula>Z133</formula>
    </cfRule>
    <cfRule type="cellIs" dxfId="739" priority="3284" operator="greaterThan">
      <formula>Z133</formula>
    </cfRule>
    <cfRule type="cellIs" dxfId="738" priority="3287" operator="lessThan">
      <formula>Z133</formula>
    </cfRule>
    <cfRule type="cellIs" dxfId="737" priority="3288" operator="greaterThan">
      <formula>Z133</formula>
    </cfRule>
    <cfRule type="cellIs" dxfId="736" priority="3289" operator="lessThan">
      <formula>Z133</formula>
    </cfRule>
    <cfRule type="cellIs" dxfId="735" priority="3290" operator="greaterThan">
      <formula>Z133</formula>
    </cfRule>
  </conditionalFormatting>
  <conditionalFormatting sqref="Z132:Z135">
    <cfRule type="cellIs" dxfId="734" priority="3291" operator="equal">
      <formula>0</formula>
    </cfRule>
  </conditionalFormatting>
  <conditionalFormatting sqref="Z133">
    <cfRule type="cellIs" dxfId="733" priority="3280" operator="lessThan">
      <formula>Z132</formula>
    </cfRule>
  </conditionalFormatting>
  <conditionalFormatting sqref="Z134">
    <cfRule type="cellIs" dxfId="732" priority="3281" operator="lessThan">
      <formula>Z135</formula>
    </cfRule>
    <cfRule type="cellIs" dxfId="731" priority="3282" operator="greaterThan">
      <formula>Z135</formula>
    </cfRule>
    <cfRule type="cellIs" dxfId="730" priority="3285" operator="lessThan">
      <formula>Z135</formula>
    </cfRule>
    <cfRule type="cellIs" dxfId="729" priority="3286" operator="greaterThan">
      <formula>Z135</formula>
    </cfRule>
  </conditionalFormatting>
  <conditionalFormatting sqref="Z135">
    <cfRule type="cellIs" dxfId="728" priority="3279" operator="lessThan">
      <formula>Z134</formula>
    </cfRule>
  </conditionalFormatting>
  <conditionalFormatting sqref="Z136:Z137">
    <cfRule type="cellIs" dxfId="727" priority="3260" operator="greaterThan">
      <formula>0</formula>
    </cfRule>
    <cfRule type="cellIs" dxfId="726" priority="3261" operator="lessThan">
      <formula>0</formula>
    </cfRule>
    <cfRule type="cellIs" dxfId="725" priority="3262" operator="equal">
      <formula>0</formula>
    </cfRule>
  </conditionalFormatting>
  <conditionalFormatting sqref="Z138">
    <cfRule type="cellIs" dxfId="724" priority="3267" operator="lessThan">
      <formula>Z139</formula>
    </cfRule>
    <cfRule type="cellIs" dxfId="723" priority="3268" operator="greaterThan">
      <formula>Z139</formula>
    </cfRule>
    <cfRule type="cellIs" dxfId="722" priority="3271" operator="lessThan">
      <formula>Z139</formula>
    </cfRule>
    <cfRule type="cellIs" dxfId="721" priority="3272" operator="greaterThan">
      <formula>Z139</formula>
    </cfRule>
    <cfRule type="cellIs" dxfId="720" priority="3273" operator="lessThan">
      <formula>Z139</formula>
    </cfRule>
    <cfRule type="cellIs" dxfId="719" priority="3274" operator="greaterThan">
      <formula>Z139</formula>
    </cfRule>
  </conditionalFormatting>
  <conditionalFormatting sqref="Z138:Z141">
    <cfRule type="cellIs" dxfId="718" priority="3275" operator="equal">
      <formula>0</formula>
    </cfRule>
  </conditionalFormatting>
  <conditionalFormatting sqref="Z139">
    <cfRule type="cellIs" dxfId="717" priority="3264" operator="lessThan">
      <formula>Z138</formula>
    </cfRule>
  </conditionalFormatting>
  <conditionalFormatting sqref="Z140">
    <cfRule type="cellIs" dxfId="716" priority="3265" operator="lessThan">
      <formula>Z141</formula>
    </cfRule>
    <cfRule type="cellIs" dxfId="715" priority="3266" operator="greaterThan">
      <formula>Z141</formula>
    </cfRule>
    <cfRule type="cellIs" dxfId="714" priority="3269" operator="lessThan">
      <formula>Z141</formula>
    </cfRule>
    <cfRule type="cellIs" dxfId="713" priority="3270" operator="greaterThan">
      <formula>Z141</formula>
    </cfRule>
  </conditionalFormatting>
  <conditionalFormatting sqref="Z141">
    <cfRule type="cellIs" dxfId="712" priority="3263" operator="lessThan">
      <formula>Z140</formula>
    </cfRule>
  </conditionalFormatting>
  <conditionalFormatting sqref="Z142:Z157">
    <cfRule type="cellIs" dxfId="711" priority="4753" operator="greaterThan">
      <formula>0</formula>
    </cfRule>
    <cfRule type="cellIs" dxfId="710" priority="4754" operator="lessThan">
      <formula>0</formula>
    </cfRule>
    <cfRule type="cellIs" dxfId="709" priority="4755" operator="equal">
      <formula>0</formula>
    </cfRule>
  </conditionalFormatting>
  <conditionalFormatting sqref="AA4">
    <cfRule type="cellIs" dxfId="708" priority="560" operator="greaterThan">
      <formula>Z2</formula>
    </cfRule>
  </conditionalFormatting>
  <conditionalFormatting sqref="AA8">
    <cfRule type="cellIs" dxfId="707" priority="4188" operator="greaterThan">
      <formula>Z6</formula>
    </cfRule>
  </conditionalFormatting>
  <conditionalFormatting sqref="AA50 AA56 AA62 AA68 AA74 AA80 AA86 AA92 AA98 AA104 AA110 AA116 AA122 AA128 AA134 AA140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 AA57 AA63 AA69 AA75 AA81 AA87 AA93 AA99 AA105 AA111 AA117 AA123 AA129 AA135 AA141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3">
    <cfRule type="cellIs" dxfId="706" priority="334" operator="lessThan">
      <formula>0</formula>
    </cfRule>
  </conditionalFormatting>
  <conditionalFormatting sqref="W52">
    <cfRule type="cellIs" dxfId="705" priority="333" operator="lessThan">
      <formula>0</formula>
    </cfRule>
  </conditionalFormatting>
  <conditionalFormatting sqref="W55">
    <cfRule type="cellIs" dxfId="704" priority="332" operator="lessThan">
      <formula>0</formula>
    </cfRule>
  </conditionalFormatting>
  <conditionalFormatting sqref="W54">
    <cfRule type="cellIs" dxfId="703" priority="331" operator="lessThan">
      <formula>0</formula>
    </cfRule>
  </conditionalFormatting>
  <conditionalFormatting sqref="W57">
    <cfRule type="cellIs" dxfId="702" priority="330" operator="lessThan">
      <formula>0</formula>
    </cfRule>
  </conditionalFormatting>
  <conditionalFormatting sqref="W56">
    <cfRule type="cellIs" dxfId="701" priority="329" operator="lessThan">
      <formula>0</formula>
    </cfRule>
  </conditionalFormatting>
  <conditionalFormatting sqref="W47">
    <cfRule type="cellIs" dxfId="700" priority="328" operator="lessThan">
      <formula>0</formula>
    </cfRule>
  </conditionalFormatting>
  <conditionalFormatting sqref="W46">
    <cfRule type="cellIs" dxfId="699" priority="327" operator="lessThan">
      <formula>0</formula>
    </cfRule>
  </conditionalFormatting>
  <conditionalFormatting sqref="W49">
    <cfRule type="cellIs" dxfId="698" priority="326" operator="lessThan">
      <formula>0</formula>
    </cfRule>
  </conditionalFormatting>
  <conditionalFormatting sqref="W48">
    <cfRule type="cellIs" dxfId="697" priority="325" operator="lessThan">
      <formula>0</formula>
    </cfRule>
  </conditionalFormatting>
  <conditionalFormatting sqref="W51">
    <cfRule type="cellIs" dxfId="696" priority="324" operator="lessThan">
      <formula>0</formula>
    </cfRule>
  </conditionalFormatting>
  <conditionalFormatting sqref="W50">
    <cfRule type="cellIs" dxfId="695" priority="323" operator="lessThan">
      <formula>0</formula>
    </cfRule>
  </conditionalFormatting>
  <conditionalFormatting sqref="W59">
    <cfRule type="cellIs" dxfId="694" priority="322" operator="lessThan">
      <formula>0</formula>
    </cfRule>
  </conditionalFormatting>
  <conditionalFormatting sqref="W58">
    <cfRule type="cellIs" dxfId="693" priority="321" operator="lessThan">
      <formula>0</formula>
    </cfRule>
  </conditionalFormatting>
  <conditionalFormatting sqref="W61">
    <cfRule type="cellIs" dxfId="692" priority="320" operator="lessThan">
      <formula>0</formula>
    </cfRule>
  </conditionalFormatting>
  <conditionalFormatting sqref="W60">
    <cfRule type="cellIs" dxfId="691" priority="319" operator="lessThan">
      <formula>0</formula>
    </cfRule>
  </conditionalFormatting>
  <conditionalFormatting sqref="W63">
    <cfRule type="cellIs" dxfId="690" priority="318" operator="lessThan">
      <formula>0</formula>
    </cfRule>
  </conditionalFormatting>
  <conditionalFormatting sqref="W62">
    <cfRule type="cellIs" dxfId="689" priority="317" operator="lessThan">
      <formula>0</formula>
    </cfRule>
  </conditionalFormatting>
  <conditionalFormatting sqref="W65">
    <cfRule type="cellIs" dxfId="688" priority="316" operator="lessThan">
      <formula>0</formula>
    </cfRule>
  </conditionalFormatting>
  <conditionalFormatting sqref="W64">
    <cfRule type="cellIs" dxfId="687" priority="315" operator="lessThan">
      <formula>0</formula>
    </cfRule>
  </conditionalFormatting>
  <conditionalFormatting sqref="W67">
    <cfRule type="cellIs" dxfId="686" priority="314" operator="lessThan">
      <formula>0</formula>
    </cfRule>
  </conditionalFormatting>
  <conditionalFormatting sqref="W66">
    <cfRule type="cellIs" dxfId="685" priority="313" operator="lessThan">
      <formula>0</formula>
    </cfRule>
  </conditionalFormatting>
  <conditionalFormatting sqref="W69">
    <cfRule type="cellIs" dxfId="684" priority="312" operator="lessThan">
      <formula>0</formula>
    </cfRule>
  </conditionalFormatting>
  <conditionalFormatting sqref="W68">
    <cfRule type="cellIs" dxfId="683" priority="311" operator="lessThan">
      <formula>0</formula>
    </cfRule>
  </conditionalFormatting>
  <conditionalFormatting sqref="W71">
    <cfRule type="cellIs" dxfId="682" priority="310" operator="lessThan">
      <formula>0</formula>
    </cfRule>
  </conditionalFormatting>
  <conditionalFormatting sqref="W70">
    <cfRule type="cellIs" dxfId="681" priority="309" operator="lessThan">
      <formula>0</formula>
    </cfRule>
  </conditionalFormatting>
  <conditionalFormatting sqref="W73">
    <cfRule type="cellIs" dxfId="680" priority="308" operator="lessThan">
      <formula>0</formula>
    </cfRule>
  </conditionalFormatting>
  <conditionalFormatting sqref="W72">
    <cfRule type="cellIs" dxfId="679" priority="307" operator="lessThan">
      <formula>0</formula>
    </cfRule>
  </conditionalFormatting>
  <conditionalFormatting sqref="W75">
    <cfRule type="cellIs" dxfId="678" priority="306" operator="lessThan">
      <formula>0</formula>
    </cfRule>
  </conditionalFormatting>
  <conditionalFormatting sqref="W74">
    <cfRule type="cellIs" dxfId="677" priority="305" operator="lessThan">
      <formula>0</formula>
    </cfRule>
  </conditionalFormatting>
  <conditionalFormatting sqref="W77">
    <cfRule type="cellIs" dxfId="676" priority="304" operator="lessThan">
      <formula>0</formula>
    </cfRule>
  </conditionalFormatting>
  <conditionalFormatting sqref="W76">
    <cfRule type="cellIs" dxfId="675" priority="303" operator="lessThan">
      <formula>0</formula>
    </cfRule>
  </conditionalFormatting>
  <conditionalFormatting sqref="W79">
    <cfRule type="cellIs" dxfId="674" priority="302" operator="lessThan">
      <formula>0</formula>
    </cfRule>
  </conditionalFormatting>
  <conditionalFormatting sqref="W78">
    <cfRule type="cellIs" dxfId="673" priority="301" operator="lessThan">
      <formula>0</formula>
    </cfRule>
  </conditionalFormatting>
  <conditionalFormatting sqref="W81">
    <cfRule type="cellIs" dxfId="672" priority="300" operator="lessThan">
      <formula>0</formula>
    </cfRule>
  </conditionalFormatting>
  <conditionalFormatting sqref="W80">
    <cfRule type="cellIs" dxfId="671" priority="299" operator="lessThan">
      <formula>0</formula>
    </cfRule>
  </conditionalFormatting>
  <conditionalFormatting sqref="W83">
    <cfRule type="cellIs" dxfId="670" priority="298" operator="lessThan">
      <formula>0</formula>
    </cfRule>
  </conditionalFormatting>
  <conditionalFormatting sqref="W82">
    <cfRule type="cellIs" dxfId="669" priority="297" operator="lessThan">
      <formula>0</formula>
    </cfRule>
  </conditionalFormatting>
  <conditionalFormatting sqref="W85">
    <cfRule type="cellIs" dxfId="668" priority="296" operator="lessThan">
      <formula>0</formula>
    </cfRule>
  </conditionalFormatting>
  <conditionalFormatting sqref="W84">
    <cfRule type="cellIs" dxfId="667" priority="295" operator="lessThan">
      <formula>0</formula>
    </cfRule>
  </conditionalFormatting>
  <conditionalFormatting sqref="W87">
    <cfRule type="cellIs" dxfId="666" priority="294" operator="lessThan">
      <formula>0</formula>
    </cfRule>
  </conditionalFormatting>
  <conditionalFormatting sqref="W86">
    <cfRule type="cellIs" dxfId="665" priority="293" operator="lessThan">
      <formula>0</formula>
    </cfRule>
  </conditionalFormatting>
  <conditionalFormatting sqref="W89">
    <cfRule type="cellIs" dxfId="664" priority="292" operator="lessThan">
      <formula>0</formula>
    </cfRule>
  </conditionalFormatting>
  <conditionalFormatting sqref="W88">
    <cfRule type="cellIs" dxfId="663" priority="291" operator="lessThan">
      <formula>0</formula>
    </cfRule>
  </conditionalFormatting>
  <conditionalFormatting sqref="W91">
    <cfRule type="cellIs" dxfId="662" priority="290" operator="lessThan">
      <formula>0</formula>
    </cfRule>
  </conditionalFormatting>
  <conditionalFormatting sqref="W90">
    <cfRule type="cellIs" dxfId="661" priority="289" operator="lessThan">
      <formula>0</formula>
    </cfRule>
  </conditionalFormatting>
  <conditionalFormatting sqref="W93">
    <cfRule type="cellIs" dxfId="660" priority="288" operator="lessThan">
      <formula>0</formula>
    </cfRule>
  </conditionalFormatting>
  <conditionalFormatting sqref="W92">
    <cfRule type="cellIs" dxfId="659" priority="287" operator="lessThan">
      <formula>0</formula>
    </cfRule>
  </conditionalFormatting>
  <conditionalFormatting sqref="W95">
    <cfRule type="cellIs" dxfId="658" priority="286" operator="lessThan">
      <formula>0</formula>
    </cfRule>
  </conditionalFormatting>
  <conditionalFormatting sqref="W94">
    <cfRule type="cellIs" dxfId="657" priority="285" operator="lessThan">
      <formula>0</formula>
    </cfRule>
  </conditionalFormatting>
  <conditionalFormatting sqref="W97">
    <cfRule type="cellIs" dxfId="656" priority="284" operator="lessThan">
      <formula>0</formula>
    </cfRule>
  </conditionalFormatting>
  <conditionalFormatting sqref="W96">
    <cfRule type="cellIs" dxfId="655" priority="283" operator="lessThan">
      <formula>0</formula>
    </cfRule>
  </conditionalFormatting>
  <conditionalFormatting sqref="W99">
    <cfRule type="cellIs" dxfId="654" priority="282" operator="lessThan">
      <formula>0</formula>
    </cfRule>
  </conditionalFormatting>
  <conditionalFormatting sqref="W98">
    <cfRule type="cellIs" dxfId="653" priority="281" operator="lessThan">
      <formula>0</formula>
    </cfRule>
  </conditionalFormatting>
  <conditionalFormatting sqref="W101">
    <cfRule type="cellIs" dxfId="652" priority="280" operator="lessThan">
      <formula>0</formula>
    </cfRule>
  </conditionalFormatting>
  <conditionalFormatting sqref="W100">
    <cfRule type="cellIs" dxfId="651" priority="279" operator="lessThan">
      <formula>0</formula>
    </cfRule>
  </conditionalFormatting>
  <conditionalFormatting sqref="W103">
    <cfRule type="cellIs" dxfId="650" priority="278" operator="lessThan">
      <formula>0</formula>
    </cfRule>
  </conditionalFormatting>
  <conditionalFormatting sqref="W102">
    <cfRule type="cellIs" dxfId="649" priority="277" operator="lessThan">
      <formula>0</formula>
    </cfRule>
  </conditionalFormatting>
  <conditionalFormatting sqref="W105">
    <cfRule type="cellIs" dxfId="648" priority="276" operator="lessThan">
      <formula>0</formula>
    </cfRule>
  </conditionalFormatting>
  <conditionalFormatting sqref="W104">
    <cfRule type="cellIs" dxfId="647" priority="275" operator="lessThan">
      <formula>0</formula>
    </cfRule>
  </conditionalFormatting>
  <conditionalFormatting sqref="W107">
    <cfRule type="cellIs" dxfId="646" priority="274" operator="lessThan">
      <formula>0</formula>
    </cfRule>
  </conditionalFormatting>
  <conditionalFormatting sqref="W106">
    <cfRule type="cellIs" dxfId="645" priority="273" operator="lessThan">
      <formula>0</formula>
    </cfRule>
  </conditionalFormatting>
  <conditionalFormatting sqref="W109">
    <cfRule type="cellIs" dxfId="644" priority="272" operator="lessThan">
      <formula>0</formula>
    </cfRule>
  </conditionalFormatting>
  <conditionalFormatting sqref="W108">
    <cfRule type="cellIs" dxfId="643" priority="271" operator="lessThan">
      <formula>0</formula>
    </cfRule>
  </conditionalFormatting>
  <conditionalFormatting sqref="W111">
    <cfRule type="cellIs" dxfId="642" priority="270" operator="lessThan">
      <formula>0</formula>
    </cfRule>
  </conditionalFormatting>
  <conditionalFormatting sqref="W110">
    <cfRule type="cellIs" dxfId="641" priority="269" operator="lessThan">
      <formula>0</formula>
    </cfRule>
  </conditionalFormatting>
  <conditionalFormatting sqref="W113">
    <cfRule type="cellIs" dxfId="640" priority="268" operator="lessThan">
      <formula>0</formula>
    </cfRule>
  </conditionalFormatting>
  <conditionalFormatting sqref="W112">
    <cfRule type="cellIs" dxfId="639" priority="267" operator="lessThan">
      <formula>0</formula>
    </cfRule>
  </conditionalFormatting>
  <conditionalFormatting sqref="W115">
    <cfRule type="cellIs" dxfId="638" priority="266" operator="lessThan">
      <formula>0</formula>
    </cfRule>
  </conditionalFormatting>
  <conditionalFormatting sqref="W114">
    <cfRule type="cellIs" dxfId="637" priority="265" operator="lessThan">
      <formula>0</formula>
    </cfRule>
  </conditionalFormatting>
  <conditionalFormatting sqref="W117">
    <cfRule type="cellIs" dxfId="636" priority="264" operator="lessThan">
      <formula>0</formula>
    </cfRule>
  </conditionalFormatting>
  <conditionalFormatting sqref="W116">
    <cfRule type="cellIs" dxfId="635" priority="263" operator="lessThan">
      <formula>0</formula>
    </cfRule>
  </conditionalFormatting>
  <conditionalFormatting sqref="W119">
    <cfRule type="cellIs" dxfId="634" priority="262" operator="lessThan">
      <formula>0</formula>
    </cfRule>
  </conditionalFormatting>
  <conditionalFormatting sqref="W118">
    <cfRule type="cellIs" dxfId="633" priority="261" operator="lessThan">
      <formula>0</formula>
    </cfRule>
  </conditionalFormatting>
  <conditionalFormatting sqref="W121">
    <cfRule type="cellIs" dxfId="632" priority="260" operator="lessThan">
      <formula>0</formula>
    </cfRule>
  </conditionalFormatting>
  <conditionalFormatting sqref="W120">
    <cfRule type="cellIs" dxfId="631" priority="259" operator="lessThan">
      <formula>0</formula>
    </cfRule>
  </conditionalFormatting>
  <conditionalFormatting sqref="W123">
    <cfRule type="cellIs" dxfId="630" priority="258" operator="lessThan">
      <formula>0</formula>
    </cfRule>
  </conditionalFormatting>
  <conditionalFormatting sqref="W122">
    <cfRule type="cellIs" dxfId="629" priority="257" operator="lessThan">
      <formula>0</formula>
    </cfRule>
  </conditionalFormatting>
  <conditionalFormatting sqref="W125">
    <cfRule type="cellIs" dxfId="628" priority="256" operator="lessThan">
      <formula>0</formula>
    </cfRule>
  </conditionalFormatting>
  <conditionalFormatting sqref="W124">
    <cfRule type="cellIs" dxfId="627" priority="255" operator="lessThan">
      <formula>0</formula>
    </cfRule>
  </conditionalFormatting>
  <conditionalFormatting sqref="W127">
    <cfRule type="cellIs" dxfId="626" priority="254" operator="lessThan">
      <formula>0</formula>
    </cfRule>
  </conditionalFormatting>
  <conditionalFormatting sqref="W126">
    <cfRule type="cellIs" dxfId="625" priority="253" operator="lessThan">
      <formula>0</formula>
    </cfRule>
  </conditionalFormatting>
  <conditionalFormatting sqref="W129">
    <cfRule type="cellIs" dxfId="624" priority="252" operator="lessThan">
      <formula>0</formula>
    </cfRule>
  </conditionalFormatting>
  <conditionalFormatting sqref="W128">
    <cfRule type="cellIs" dxfId="623" priority="251" operator="lessThan">
      <formula>0</formula>
    </cfRule>
  </conditionalFormatting>
  <conditionalFormatting sqref="W131">
    <cfRule type="cellIs" dxfId="622" priority="250" operator="lessThan">
      <formula>0</formula>
    </cfRule>
  </conditionalFormatting>
  <conditionalFormatting sqref="W130">
    <cfRule type="cellIs" dxfId="621" priority="249" operator="lessThan">
      <formula>0</formula>
    </cfRule>
  </conditionalFormatting>
  <conditionalFormatting sqref="W133">
    <cfRule type="cellIs" dxfId="620" priority="248" operator="lessThan">
      <formula>0</formula>
    </cfRule>
  </conditionalFormatting>
  <conditionalFormatting sqref="W132">
    <cfRule type="cellIs" dxfId="619" priority="247" operator="lessThan">
      <formula>0</formula>
    </cfRule>
  </conditionalFormatting>
  <conditionalFormatting sqref="W135">
    <cfRule type="cellIs" dxfId="618" priority="246" operator="lessThan">
      <formula>0</formula>
    </cfRule>
  </conditionalFormatting>
  <conditionalFormatting sqref="W134">
    <cfRule type="cellIs" dxfId="617" priority="245" operator="lessThan">
      <formula>0</formula>
    </cfRule>
  </conditionalFormatting>
  <conditionalFormatting sqref="W19">
    <cfRule type="cellIs" dxfId="616" priority="232" operator="lessThan">
      <formula>0</formula>
    </cfRule>
  </conditionalFormatting>
  <conditionalFormatting sqref="W18">
    <cfRule type="cellIs" dxfId="615" priority="231" operator="lessThan">
      <formula>0</formula>
    </cfRule>
  </conditionalFormatting>
  <conditionalFormatting sqref="W21">
    <cfRule type="cellIs" dxfId="614" priority="230" operator="lessThan">
      <formula>0</formula>
    </cfRule>
  </conditionalFormatting>
  <conditionalFormatting sqref="W20">
    <cfRule type="cellIs" dxfId="613" priority="229" operator="lessThan">
      <formula>0</formula>
    </cfRule>
  </conditionalFormatting>
  <conditionalFormatting sqref="W11 W15">
    <cfRule type="cellIs" dxfId="612" priority="228" operator="lessThan">
      <formula>0</formula>
    </cfRule>
  </conditionalFormatting>
  <conditionalFormatting sqref="W10 W14">
    <cfRule type="cellIs" dxfId="611" priority="227" operator="lessThan">
      <formula>0</formula>
    </cfRule>
  </conditionalFormatting>
  <conditionalFormatting sqref="W13 W17">
    <cfRule type="cellIs" dxfId="610" priority="226" operator="lessThan">
      <formula>0</formula>
    </cfRule>
  </conditionalFormatting>
  <conditionalFormatting sqref="W12 W16">
    <cfRule type="cellIs" dxfId="609" priority="225" operator="lessThan">
      <formula>0</formula>
    </cfRule>
  </conditionalFormatting>
  <conditionalFormatting sqref="A22 A24">
    <cfRule type="expression" dxfId="608" priority="7478">
      <formula>(Z23+1)&lt;AB22</formula>
    </cfRule>
  </conditionalFormatting>
  <conditionalFormatting sqref="A23 A25">
    <cfRule type="expression" dxfId="607" priority="7479">
      <formula>Z22+1&lt;AB23</formula>
    </cfRule>
  </conditionalFormatting>
  <conditionalFormatting sqref="A136:A137">
    <cfRule type="expression" dxfId="606" priority="127">
      <formula>V136&lt;&gt;0</formula>
    </cfRule>
  </conditionalFormatting>
  <conditionalFormatting sqref="A138:A139">
    <cfRule type="expression" dxfId="605" priority="128">
      <formula>V132&lt;&gt;0</formula>
    </cfRule>
  </conditionalFormatting>
  <conditionalFormatting sqref="A140:A141">
    <cfRule type="expression" dxfId="604" priority="129">
      <formula>V134&lt;&gt;0</formula>
    </cfRule>
  </conditionalFormatting>
  <conditionalFormatting sqref="Z18">
    <cfRule type="cellIs" dxfId="603" priority="124" operator="lessThan">
      <formula>Z19</formula>
    </cfRule>
  </conditionalFormatting>
  <conditionalFormatting sqref="AA12 AA16 AA20">
    <cfRule type="cellIs" dxfId="602" priority="126" operator="greaterThan">
      <formula>Z10</formula>
    </cfRule>
  </conditionalFormatting>
  <conditionalFormatting sqref="Y124:Y129">
    <cfRule type="cellIs" dxfId="601" priority="110" operator="equal">
      <formula>0</formula>
    </cfRule>
  </conditionalFormatting>
  <conditionalFormatting sqref="Y124">
    <cfRule type="expression" dxfId="600" priority="114">
      <formula>Y125&gt;$AE$1*$AD$1</formula>
    </cfRule>
  </conditionalFormatting>
  <conditionalFormatting sqref="Y124:Y125">
    <cfRule type="cellIs" dxfId="599" priority="111" operator="lessThan">
      <formula>0</formula>
    </cfRule>
  </conditionalFormatting>
  <conditionalFormatting sqref="Y125">
    <cfRule type="expression" dxfId="598" priority="112">
      <formula>Y125&gt;$AE$1*$AD$1</formula>
    </cfRule>
    <cfRule type="expression" dxfId="597" priority="113">
      <formula>Y125&gt;$AE$1*$AD$1</formula>
    </cfRule>
  </conditionalFormatting>
  <conditionalFormatting sqref="Y126:Y129">
    <cfRule type="cellIs" dxfId="596" priority="115" operator="lessThan">
      <formula>0</formula>
    </cfRule>
  </conditionalFormatting>
  <conditionalFormatting sqref="A12">
    <cfRule type="expression" dxfId="591" priority="26">
      <formula>V12&lt;&gt;0</formula>
    </cfRule>
  </conditionalFormatting>
  <conditionalFormatting sqref="A13">
    <cfRule type="expression" dxfId="590" priority="25">
      <formula>V13&lt;&gt;0</formula>
    </cfRule>
  </conditionalFormatting>
  <conditionalFormatting sqref="A10">
    <cfRule type="expression" dxfId="589" priority="23">
      <formula>V10&lt;&gt;0</formula>
    </cfRule>
    <cfRule type="expression" priority="24">
      <formula>V10&lt;&gt;0</formula>
    </cfRule>
  </conditionalFormatting>
  <conditionalFormatting sqref="A11">
    <cfRule type="expression" dxfId="588" priority="22">
      <formula>V11&lt;&gt;0</formula>
    </cfRule>
  </conditionalFormatting>
  <conditionalFormatting sqref="A16">
    <cfRule type="expression" dxfId="587" priority="21">
      <formula>V16&lt;&gt;0</formula>
    </cfRule>
  </conditionalFormatting>
  <conditionalFormatting sqref="A17">
    <cfRule type="expression" dxfId="586" priority="20">
      <formula>V17&lt;&gt;0</formula>
    </cfRule>
  </conditionalFormatting>
  <conditionalFormatting sqref="A14">
    <cfRule type="expression" dxfId="585" priority="18">
      <formula>V14&lt;&gt;0</formula>
    </cfRule>
    <cfRule type="expression" priority="19">
      <formula>V14&lt;&gt;0</formula>
    </cfRule>
  </conditionalFormatting>
  <conditionalFormatting sqref="A15">
    <cfRule type="expression" dxfId="584" priority="17">
      <formula>V15&lt;&gt;0</formula>
    </cfRule>
  </conditionalFormatting>
  <conditionalFormatting sqref="A20">
    <cfRule type="expression" dxfId="583" priority="16">
      <formula>V20&lt;&gt;0</formula>
    </cfRule>
  </conditionalFormatting>
  <conditionalFormatting sqref="A21">
    <cfRule type="expression" dxfId="582" priority="15">
      <formula>V21&lt;&gt;0</formula>
    </cfRule>
  </conditionalFormatting>
  <conditionalFormatting sqref="A18">
    <cfRule type="expression" dxfId="581" priority="13">
      <formula>V18&lt;&gt;0</formula>
    </cfRule>
    <cfRule type="expression" priority="14">
      <formula>V18&lt;&gt;0</formula>
    </cfRule>
  </conditionalFormatting>
  <conditionalFormatting sqref="A19">
    <cfRule type="expression" dxfId="580" priority="12">
      <formula>V19&lt;&gt;0</formula>
    </cfRule>
  </conditionalFormatting>
  <conditionalFormatting sqref="Y9">
    <cfRule type="cellIs" dxfId="579" priority="11" operator="greaterThan">
      <formula>Y6</formula>
    </cfRule>
  </conditionalFormatting>
  <conditionalFormatting sqref="Y13">
    <cfRule type="cellIs" dxfId="578" priority="10" operator="greaterThan">
      <formula>Y10</formula>
    </cfRule>
  </conditionalFormatting>
  <conditionalFormatting sqref="Y17">
    <cfRule type="cellIs" dxfId="577" priority="9" operator="greaterThan">
      <formula>Y14</formula>
    </cfRule>
  </conditionalFormatting>
  <conditionalFormatting sqref="Y21">
    <cfRule type="cellIs" dxfId="576" priority="8" operator="greaterThan">
      <formula>Y18</formula>
    </cfRule>
  </conditionalFormatting>
  <conditionalFormatting sqref="Z6">
    <cfRule type="cellIs" dxfId="575" priority="7" operator="lessThan">
      <formula>Z7</formula>
    </cfRule>
  </conditionalFormatting>
  <conditionalFormatting sqref="Z10">
    <cfRule type="cellIs" dxfId="574" priority="6" operator="lessThan">
      <formula>Z11</formula>
    </cfRule>
  </conditionalFormatting>
  <conditionalFormatting sqref="Z14">
    <cfRule type="cellIs" dxfId="573" priority="5" operator="lessThan">
      <formula>Z15</formula>
    </cfRule>
  </conditionalFormatting>
  <conditionalFormatting sqref="F14:F17">
    <cfRule type="cellIs" dxfId="2" priority="3" operator="lessThanOrEqual">
      <formula>$C14</formula>
    </cfRule>
  </conditionalFormatting>
  <conditionalFormatting sqref="F18:F21">
    <cfRule type="cellIs" dxfId="1" priority="2" operator="lessThanOrEqual">
      <formula>$C18</formula>
    </cfRule>
  </conditionalFormatting>
  <conditionalFormatting sqref="F22:F25">
    <cfRule type="cellIs" dxfId="0" priority="1" operator="lessThanOrEqual">
      <formula>$C22</formula>
    </cfRule>
  </conditionalFormatting>
  <dataValidations count="2">
    <dataValidation type="list" allowBlank="1" showInputMessage="1" showErrorMessage="1" sqref="A11:A12 A22:A25 A15:A16 A19:A20" xr:uid="{67BBF281-2202-43B8-9E2B-7482F20B89F0}">
      <formula1>$A$46:$A$135</formula1>
    </dataValidation>
    <dataValidation type="list" allowBlank="1" showInputMessage="1" showErrorMessage="1" sqref="A2:A9" xr:uid="{8D7C6814-B3A5-4192-B58E-6BF96B8D69FC}">
      <formula1>$A$46:$A$141</formula1>
    </dataValidation>
  </dataValidations>
  <pageMargins left="0.7" right="0.7" top="0.75" bottom="0.75" header="0.3" footer="0.3"/>
  <pageSetup paperSize="9" orientation="portrait" r:id="rId1"/>
  <ignoredErrors>
    <ignoredError sqref="Y55 Y50 Z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H1" zoomScale="80" zoomScaleNormal="80" workbookViewId="0">
      <selection activeCell="D3" sqref="D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6.1406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675">
        <f>I76</f>
        <v>1136.8976000000002</v>
      </c>
      <c r="M2" s="676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3" t="s">
        <v>340</v>
      </c>
      <c r="U2" s="313" t="s">
        <v>341</v>
      </c>
      <c r="V2" s="313" t="s">
        <v>355</v>
      </c>
      <c r="W2" s="313"/>
      <c r="X2" s="313" t="s">
        <v>356</v>
      </c>
      <c r="Y2" s="388" t="s">
        <v>357</v>
      </c>
      <c r="Z2" s="388" t="s">
        <v>358</v>
      </c>
      <c r="AA2" s="388" t="s">
        <v>359</v>
      </c>
      <c r="AB2" s="388" t="s">
        <v>360</v>
      </c>
      <c r="AC2" s="388" t="s">
        <v>361</v>
      </c>
      <c r="AD2" s="389" t="s">
        <v>362</v>
      </c>
      <c r="AE2" s="241" t="s">
        <v>363</v>
      </c>
      <c r="AF2" s="314" t="s">
        <v>340</v>
      </c>
      <c r="AG2" s="315" t="s">
        <v>341</v>
      </c>
      <c r="AH2" s="314" t="s">
        <v>364</v>
      </c>
      <c r="AI2" s="314"/>
      <c r="AJ2" s="314" t="s">
        <v>356</v>
      </c>
      <c r="AK2" s="388" t="s">
        <v>357</v>
      </c>
      <c r="AL2" s="388" t="s">
        <v>358</v>
      </c>
      <c r="AM2" s="388" t="s">
        <v>359</v>
      </c>
      <c r="AN2" s="388" t="s">
        <v>360</v>
      </c>
      <c r="AO2" s="388" t="s">
        <v>361</v>
      </c>
      <c r="AP2" s="388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>
        <v>1</v>
      </c>
      <c r="C3" s="248">
        <v>1640</v>
      </c>
      <c r="D3" s="249">
        <v>144</v>
      </c>
      <c r="E3" s="256">
        <f t="shared" ref="E3:E72" si="0">+B3*D3*-100</f>
        <v>-14400</v>
      </c>
      <c r="F3" s="257">
        <f t="shared" ref="F3:F66" si="1">IF(B3&gt;0,+B3*D3*(1+($Q$53+0.002)*1.21)*-100,B3*D3*(1-($Q$53+0.002)*1.21)*-100)</f>
        <v>-14525.452799999999</v>
      </c>
      <c r="G3" s="252">
        <f>IFERROR(VLOOKUP(C3,$U$3:$AD$50,7,0),"")</f>
        <v>0</v>
      </c>
      <c r="H3" s="258">
        <f>IFERROR(+G3*B3*-100,0)</f>
        <v>0</v>
      </c>
      <c r="I3" s="259">
        <f t="shared" ref="I3:I72" si="2">+IF(G3="",0,(F3-H3))</f>
        <v>-14525.452799999999</v>
      </c>
      <c r="J3" s="69"/>
      <c r="K3" s="69"/>
      <c r="L3" s="69"/>
      <c r="M3" s="69"/>
      <c r="N3" s="107"/>
      <c r="O3" s="294">
        <f t="shared" ref="O3:O17" si="3">+O4*(1-$Q$42)</f>
        <v>0</v>
      </c>
      <c r="P3" s="108">
        <f t="shared" ref="P3:P34" si="4">EW3</f>
        <v>1136.9000000000001</v>
      </c>
      <c r="Q3" s="108">
        <f t="shared" ref="Q3:Q34" ca="1" si="5">GN3</f>
        <v>1136.9000000000001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1491.5</v>
      </c>
      <c r="V3" s="112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113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GFGC14915D - 24hs</v>
      </c>
      <c r="X3" s="113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GFGC14915D</v>
      </c>
      <c r="Y3" s="242">
        <f>IFERROR(VLOOKUP($X3,HomeBroker!$A$2:$F$103,2,0),0)</f>
        <v>0</v>
      </c>
      <c r="Z3" s="242">
        <f>IFERROR(VLOOKUP($X3,HomeBroker!$A$2:$F$103,3,0),0)</f>
        <v>0</v>
      </c>
      <c r="AA3" s="243">
        <f>IFERROR(VLOOKUP($X3,HomeBroker!$A$2:$F$103,6,0),0)</f>
        <v>0</v>
      </c>
      <c r="AB3" s="242">
        <f>IFERROR(VLOOKUP($X3,HomeBroker!$A$2:$F$103,4,0),0)</f>
        <v>0</v>
      </c>
      <c r="AC3" s="242">
        <f>IFERROR(VLOOKUP($X3,HomeBroker!$A$2:$F$103,5,0),0)</f>
        <v>0</v>
      </c>
      <c r="AD3" s="305">
        <f>IFERROR(VLOOKUP($X3,HomeBroker!$A$2:$N$103,14,0),0)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804.56</v>
      </c>
      <c r="AH3" s="112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113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GFGV80456I - 24hs</v>
      </c>
      <c r="AJ3" s="113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GFGV80456D</v>
      </c>
      <c r="AK3" s="237">
        <f>IFERROR(VLOOKUP($AJ3,HomeBroker!$A$2:$F$103,2,0),0)</f>
        <v>0</v>
      </c>
      <c r="AL3" s="242">
        <f>IFERROR(VLOOKUP($AJ3,HomeBroker!$A$2:$F$103,3,0),0)</f>
        <v>0</v>
      </c>
      <c r="AM3" s="243">
        <f>IFERROR(VLOOKUP($AJ3,HomeBroker!$A$2:$F$103,6,0),0)</f>
        <v>0</v>
      </c>
      <c r="AN3" s="242">
        <f>IFERROR(VLOOKUP($AJ3,HomeBroker!$A$2:$F$103,4,0),0)</f>
        <v>0</v>
      </c>
      <c r="AO3" s="237">
        <f>IFERROR(VLOOKUP($AJ3,HomeBroker!$A$2:$F$103,5,0),0)</f>
        <v>0</v>
      </c>
      <c r="AP3" s="115">
        <f>IFERROR(VLOOKUP($AJ3,HomeBroker!$A$2:$N$103,14,0),0)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1491.5</v>
      </c>
      <c r="AU3" s="62"/>
      <c r="AV3" s="116"/>
      <c r="AW3" s="117" t="s">
        <v>354</v>
      </c>
      <c r="AX3" s="118"/>
      <c r="AY3" s="106"/>
      <c r="AZ3" s="119"/>
      <c r="BA3" s="301">
        <f t="shared" ref="BA3:BA76" si="10">+AX3*AZ3*-100</f>
        <v>0</v>
      </c>
      <c r="BB3" s="302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06">
        <f t="shared" ref="BG3:BG76" si="12">+BD3*BF3*-100</f>
        <v>0</v>
      </c>
      <c r="BH3" s="307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09">
        <f t="shared" ref="BL3:BL76" si="14">-BK3*BJ3</f>
        <v>0</v>
      </c>
      <c r="BM3" s="310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1136.8976000000002</v>
      </c>
      <c r="EV3" s="128"/>
      <c r="EW3" s="129">
        <f t="shared" ref="EW3:EW34" si="53">ROUND($EU$3+ES3+EW36+EW70+EW103,2)</f>
        <v>1136.9000000000001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1136.8976000000002</v>
      </c>
      <c r="GM3" s="128"/>
      <c r="GN3" s="129">
        <f t="shared" ref="GN3:GN34" ca="1" si="56">ROUND($GL$3+GJ3+GN36+GN70+GN103,2)</f>
        <v>1136.9000000000001</v>
      </c>
    </row>
    <row r="4" spans="1:196" ht="15">
      <c r="A4" s="130" t="s">
        <v>410</v>
      </c>
      <c r="B4" s="255">
        <v>-2</v>
      </c>
      <c r="C4" s="248">
        <v>1931.5</v>
      </c>
      <c r="D4" s="249">
        <v>79</v>
      </c>
      <c r="E4" s="256">
        <f t="shared" si="0"/>
        <v>15800</v>
      </c>
      <c r="F4" s="257">
        <f t="shared" si="1"/>
        <v>15662.350399999999</v>
      </c>
      <c r="G4" s="252">
        <f t="shared" ref="G4:G37" si="57">IFERROR(VLOOKUP(C4,$U$3:$AD$50,7,0),"")</f>
        <v>0</v>
      </c>
      <c r="H4" s="258">
        <f t="shared" ref="H4:H67" si="58">IFERROR(+G4*B4*-100,0)</f>
        <v>0</v>
      </c>
      <c r="I4" s="259">
        <f t="shared" si="2"/>
        <v>15662.350399999999</v>
      </c>
      <c r="J4" s="131">
        <f>IFERROR(D3/D4,"")</f>
        <v>1.8227848101265822</v>
      </c>
      <c r="K4" s="132" t="str">
        <f>IFERROR(G3/G4,"")</f>
        <v/>
      </c>
      <c r="L4" s="133" t="str">
        <f>IFERROR(K4/J4-1,"")</f>
        <v/>
      </c>
      <c r="M4" s="134">
        <f>I3+I4</f>
        <v>1136.8976000000002</v>
      </c>
      <c r="N4" s="144"/>
      <c r="O4" s="295">
        <f t="shared" si="3"/>
        <v>0</v>
      </c>
      <c r="P4" s="135">
        <f t="shared" si="4"/>
        <v>1136.9000000000001</v>
      </c>
      <c r="Q4" s="135">
        <f t="shared" ca="1" si="5"/>
        <v>1136.9000000000001</v>
      </c>
      <c r="R4" s="62"/>
      <c r="S4" s="246" t="str">
        <f t="shared" si="6"/>
        <v/>
      </c>
      <c r="T4" s="110">
        <f t="shared" si="7"/>
        <v>0</v>
      </c>
      <c r="U4" s="240">
        <v>1570</v>
      </c>
      <c r="V4" s="112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113" t="str">
        <f t="shared" si="8"/>
        <v>MERV - XMEV - GFGC1570DI - 24hs</v>
      </c>
      <c r="X4" s="113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GFGC1570DI</v>
      </c>
      <c r="Y4" s="242">
        <f>IFERROR(VLOOKUP($X4,HomeBroker!$A$2:$F$103,2,0),0)</f>
        <v>0</v>
      </c>
      <c r="Z4" s="242">
        <f>IFERROR(VLOOKUP($X4,HomeBroker!$A$2:$F$103,3,0),0)</f>
        <v>0</v>
      </c>
      <c r="AA4" s="243">
        <f>IFERROR(VLOOKUP($X4,HomeBroker!$A$2:$F$103,6,0),0)</f>
        <v>0</v>
      </c>
      <c r="AB4" s="242">
        <f>IFERROR(VLOOKUP($X4,HomeBroker!$A$2:$F$103,4,0),0)</f>
        <v>0</v>
      </c>
      <c r="AC4" s="242">
        <f>IFERROR(VLOOKUP($X4,HomeBroker!$A$2:$F$103,5,0),0)</f>
        <v>0</v>
      </c>
      <c r="AD4" s="305">
        <f>IFERROR(VLOOKUP($X4,HomeBroker!$A$2:$N$103,14,0),0)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830</v>
      </c>
      <c r="AH4" s="112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113" t="str">
        <f t="shared" si="9"/>
        <v>MERV - XMEV - GFGV830.DI - 24hs</v>
      </c>
      <c r="AJ4" s="113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GFGV830.DI</v>
      </c>
      <c r="AK4" s="237">
        <f>IFERROR(VLOOKUP($AJ4,HomeBroker!$A$2:$F$103,2,0),0)</f>
        <v>0</v>
      </c>
      <c r="AL4" s="242">
        <f>IFERROR(VLOOKUP($AJ4,HomeBroker!$A$2:$F$103,3,0),0)</f>
        <v>0</v>
      </c>
      <c r="AM4" s="243">
        <f>IFERROR(VLOOKUP($AJ4,HomeBroker!$A$2:$F$103,6,0),0)</f>
        <v>0</v>
      </c>
      <c r="AN4" s="242">
        <f>IFERROR(VLOOKUP($AJ4,HomeBroker!$A$2:$F$103,4,0),0)</f>
        <v>0</v>
      </c>
      <c r="AO4" s="237">
        <f>IFERROR(VLOOKUP($AJ4,HomeBroker!$A$2:$F$103,5,0),0)</f>
        <v>0</v>
      </c>
      <c r="AP4" s="115">
        <f>IFERROR(VLOOKUP($AJ4,HomeBroker!$A$2:$N$103,14,0),0)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1570</v>
      </c>
      <c r="AU4" s="62"/>
      <c r="AV4" s="116"/>
      <c r="AW4" s="136" t="s">
        <v>354</v>
      </c>
      <c r="AX4" s="118"/>
      <c r="AY4" s="137"/>
      <c r="AZ4" s="119"/>
      <c r="BA4" s="303">
        <f t="shared" si="10"/>
        <v>0</v>
      </c>
      <c r="BB4" s="304">
        <f t="shared" si="11"/>
        <v>0</v>
      </c>
      <c r="BC4" s="120" t="s">
        <v>408</v>
      </c>
      <c r="BD4" s="118"/>
      <c r="BE4" s="106"/>
      <c r="BF4" s="121"/>
      <c r="BG4" s="306">
        <f t="shared" si="12"/>
        <v>0</v>
      </c>
      <c r="BH4" s="308">
        <f t="shared" si="13"/>
        <v>0</v>
      </c>
      <c r="BI4" s="122" t="s">
        <v>409</v>
      </c>
      <c r="BJ4" s="118"/>
      <c r="BK4" s="121"/>
      <c r="BL4" s="309">
        <f t="shared" si="14"/>
        <v>0</v>
      </c>
      <c r="BM4" s="310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1136.9000000000001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1136.9000000000001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95">
        <f t="shared" si="3"/>
        <v>0</v>
      </c>
      <c r="P5" s="135">
        <f t="shared" si="4"/>
        <v>1136.9000000000001</v>
      </c>
      <c r="Q5" s="135">
        <f t="shared" ca="1" si="5"/>
        <v>1136.9000000000001</v>
      </c>
      <c r="R5" s="62"/>
      <c r="S5" s="246" t="str">
        <f t="shared" si="6"/>
        <v/>
      </c>
      <c r="T5" s="110">
        <f t="shared" si="7"/>
        <v>1</v>
      </c>
      <c r="U5" s="240">
        <v>1640</v>
      </c>
      <c r="V5" s="112">
        <f t="shared" ca="1" si="59"/>
        <v>0</v>
      </c>
      <c r="W5" s="113" t="str">
        <f t="shared" si="8"/>
        <v>MERV - XMEV - GFGC1640DI - 24hs</v>
      </c>
      <c r="X5" s="113" t="str">
        <f t="shared" si="60"/>
        <v>GFGC1640DI</v>
      </c>
      <c r="Y5" s="242">
        <f>IFERROR(VLOOKUP($X5,HomeBroker!$A$2:$F$103,2,0),0)</f>
        <v>0</v>
      </c>
      <c r="Z5" s="242">
        <f>IFERROR(VLOOKUP($X5,HomeBroker!$A$2:$F$103,3,0),0)</f>
        <v>0</v>
      </c>
      <c r="AA5" s="243">
        <f>IFERROR(VLOOKUP($X5,HomeBroker!$A$2:$F$103,6,0),0)</f>
        <v>0</v>
      </c>
      <c r="AB5" s="242">
        <f>IFERROR(VLOOKUP($X5,HomeBroker!$A$2:$F$103,4,0),0)</f>
        <v>0</v>
      </c>
      <c r="AC5" s="242">
        <f>IFERROR(VLOOKUP($X5,HomeBroker!$A$2:$F$103,5,0),0)</f>
        <v>0</v>
      </c>
      <c r="AD5" s="305">
        <f>IFERROR(VLOOKUP($X5,HomeBroker!$A$2:$N$103,14,0),0)</f>
        <v>0</v>
      </c>
      <c r="AE5" s="247" t="str">
        <f t="shared" si="61"/>
        <v/>
      </c>
      <c r="AF5" s="110">
        <f t="shared" si="62"/>
        <v>0</v>
      </c>
      <c r="AG5" s="240">
        <v>901.52</v>
      </c>
      <c r="AH5" s="112">
        <f t="shared" ca="1" si="63"/>
        <v>0</v>
      </c>
      <c r="AI5" s="113" t="str">
        <f t="shared" si="9"/>
        <v>MERV - XMEV - GFGV90152I - 24hs</v>
      </c>
      <c r="AJ5" s="113" t="str">
        <f t="shared" si="64"/>
        <v>GFGV90152D</v>
      </c>
      <c r="AK5" s="237">
        <f>IFERROR(VLOOKUP($AJ5,HomeBroker!$A$2:$F$103,2,0),0)</f>
        <v>0</v>
      </c>
      <c r="AL5" s="242">
        <f>IFERROR(VLOOKUP($AJ5,HomeBroker!$A$2:$F$103,3,0),0)</f>
        <v>0</v>
      </c>
      <c r="AM5" s="243">
        <f>IFERROR(VLOOKUP($AJ5,HomeBroker!$A$2:$F$103,6,0),0)</f>
        <v>0</v>
      </c>
      <c r="AN5" s="242">
        <f>IFERROR(VLOOKUP($AJ5,HomeBroker!$A$2:$F$103,4,0),0)</f>
        <v>0</v>
      </c>
      <c r="AO5" s="237">
        <f>IFERROR(VLOOKUP($AJ5,HomeBroker!$A$2:$F$103,5,0),0)</f>
        <v>0</v>
      </c>
      <c r="AP5" s="115">
        <f>IFERROR(VLOOKUP($AJ5,HomeBroker!$A$2:$N$103,14,0),0)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1640</v>
      </c>
      <c r="AU5" s="62"/>
      <c r="AV5" s="116"/>
      <c r="AW5" s="136" t="s">
        <v>354</v>
      </c>
      <c r="AX5" s="118"/>
      <c r="AY5" s="140"/>
      <c r="AZ5" s="141"/>
      <c r="BA5" s="303">
        <f t="shared" si="10"/>
        <v>0</v>
      </c>
      <c r="BB5" s="304">
        <f t="shared" si="11"/>
        <v>0</v>
      </c>
      <c r="BC5" s="120" t="s">
        <v>408</v>
      </c>
      <c r="BD5" s="118"/>
      <c r="BE5" s="106"/>
      <c r="BF5" s="121"/>
      <c r="BG5" s="306">
        <f t="shared" si="12"/>
        <v>0</v>
      </c>
      <c r="BH5" s="308">
        <f t="shared" si="13"/>
        <v>0</v>
      </c>
      <c r="BI5" s="122" t="s">
        <v>409</v>
      </c>
      <c r="BJ5" s="118"/>
      <c r="BK5" s="121"/>
      <c r="BL5" s="309">
        <f t="shared" si="14"/>
        <v>0</v>
      </c>
      <c r="BM5" s="310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1136.9000000000001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1136.9000000000001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95">
        <f t="shared" si="3"/>
        <v>0</v>
      </c>
      <c r="P6" s="142">
        <f t="shared" si="4"/>
        <v>1136.9000000000001</v>
      </c>
      <c r="Q6" s="142">
        <f t="shared" ca="1" si="5"/>
        <v>1136.9000000000001</v>
      </c>
      <c r="R6" s="62"/>
      <c r="S6" s="246" t="str">
        <f t="shared" si="6"/>
        <v/>
      </c>
      <c r="T6" s="110">
        <f t="shared" si="7"/>
        <v>0</v>
      </c>
      <c r="U6" s="240">
        <v>1771.5</v>
      </c>
      <c r="V6" s="112">
        <f t="shared" ca="1" si="59"/>
        <v>0</v>
      </c>
      <c r="W6" s="113" t="str">
        <f t="shared" si="8"/>
        <v>MERV - XMEV - GFGC17715D - 24hs</v>
      </c>
      <c r="X6" s="113" t="str">
        <f t="shared" si="60"/>
        <v>GFGC17715D</v>
      </c>
      <c r="Y6" s="242">
        <f>IFERROR(VLOOKUP($X6,HomeBroker!$A$2:$F$103,2,0),0)</f>
        <v>0</v>
      </c>
      <c r="Z6" s="242">
        <f>IFERROR(VLOOKUP($X6,HomeBroker!$A$2:$F$103,3,0),0)</f>
        <v>0</v>
      </c>
      <c r="AA6" s="243">
        <f>IFERROR(VLOOKUP($X6,HomeBroker!$A$2:$F$103,6,0),0)</f>
        <v>0</v>
      </c>
      <c r="AB6" s="242">
        <f>IFERROR(VLOOKUP($X6,HomeBroker!$A$2:$F$103,4,0),0)</f>
        <v>0</v>
      </c>
      <c r="AC6" s="242">
        <f>IFERROR(VLOOKUP($X6,HomeBroker!$A$2:$F$103,5,0),0)</f>
        <v>0</v>
      </c>
      <c r="AD6" s="305">
        <f>IFERROR(VLOOKUP($X6,HomeBroker!$A$2:$N$103,14,0),0)</f>
        <v>0</v>
      </c>
      <c r="AE6" s="247" t="str">
        <f t="shared" si="61"/>
        <v/>
      </c>
      <c r="AF6" s="110">
        <f t="shared" si="62"/>
        <v>0</v>
      </c>
      <c r="AG6" s="240">
        <v>941.52</v>
      </c>
      <c r="AH6" s="112">
        <f t="shared" ca="1" si="63"/>
        <v>0</v>
      </c>
      <c r="AI6" s="113" t="str">
        <f t="shared" si="9"/>
        <v>MERV - XMEV - GFGV94152I - 24hs</v>
      </c>
      <c r="AJ6" s="113" t="str">
        <f t="shared" si="64"/>
        <v>GFGV94152D</v>
      </c>
      <c r="AK6" s="237">
        <f>IFERROR(VLOOKUP($AJ6,HomeBroker!$A$2:$F$103,2,0),0)</f>
        <v>0</v>
      </c>
      <c r="AL6" s="242">
        <f>IFERROR(VLOOKUP($AJ6,HomeBroker!$A$2:$F$103,3,0),0)</f>
        <v>0</v>
      </c>
      <c r="AM6" s="243">
        <f>IFERROR(VLOOKUP($AJ6,HomeBroker!$A$2:$F$103,6,0),0)</f>
        <v>0</v>
      </c>
      <c r="AN6" s="242">
        <f>IFERROR(VLOOKUP($AJ6,HomeBroker!$A$2:$F$103,4,0),0)</f>
        <v>0</v>
      </c>
      <c r="AO6" s="237">
        <f>IFERROR(VLOOKUP($AJ6,HomeBroker!$A$2:$F$103,5,0),0)</f>
        <v>0</v>
      </c>
      <c r="AP6" s="115">
        <f>IFERROR(VLOOKUP($AJ6,HomeBroker!$A$2:$N$103,14,0),0)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1771.5</v>
      </c>
      <c r="AU6" s="62"/>
      <c r="AV6" s="116"/>
      <c r="AW6" s="136" t="s">
        <v>354</v>
      </c>
      <c r="AX6" s="118"/>
      <c r="AY6" s="140"/>
      <c r="AZ6" s="141"/>
      <c r="BA6" s="303">
        <f t="shared" si="10"/>
        <v>0</v>
      </c>
      <c r="BB6" s="304">
        <f t="shared" si="11"/>
        <v>0</v>
      </c>
      <c r="BC6" s="120" t="s">
        <v>408</v>
      </c>
      <c r="BD6" s="118"/>
      <c r="BE6" s="143"/>
      <c r="BF6" s="121"/>
      <c r="BG6" s="306">
        <f t="shared" si="12"/>
        <v>0</v>
      </c>
      <c r="BH6" s="308">
        <f t="shared" si="13"/>
        <v>0</v>
      </c>
      <c r="BI6" s="122" t="s">
        <v>409</v>
      </c>
      <c r="BJ6" s="118"/>
      <c r="BK6" s="121"/>
      <c r="BL6" s="309">
        <f t="shared" si="14"/>
        <v>0</v>
      </c>
      <c r="BM6" s="310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1136.9000000000001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1136.9000000000001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e">
        <f>-1+(O7/$O$18)</f>
        <v>#DIV/0!</v>
      </c>
      <c r="O7" s="295">
        <f t="shared" si="3"/>
        <v>0</v>
      </c>
      <c r="P7" s="135">
        <f t="shared" si="4"/>
        <v>1136.9000000000001</v>
      </c>
      <c r="Q7" s="135">
        <f t="shared" ca="1" si="5"/>
        <v>1136.9000000000001</v>
      </c>
      <c r="R7" s="62"/>
      <c r="S7" s="246" t="str">
        <f t="shared" si="6"/>
        <v/>
      </c>
      <c r="T7" s="110">
        <f t="shared" si="7"/>
        <v>0</v>
      </c>
      <c r="U7" s="240">
        <v>1851.5</v>
      </c>
      <c r="V7" s="112">
        <f t="shared" ca="1" si="59"/>
        <v>0</v>
      </c>
      <c r="W7" s="113" t="str">
        <f t="shared" si="8"/>
        <v>MERV - XMEV - GFGC18515D - 24hs</v>
      </c>
      <c r="X7" s="113" t="str">
        <f t="shared" si="60"/>
        <v>GFGC18515D</v>
      </c>
      <c r="Y7" s="242">
        <f>IFERROR(VLOOKUP($X7,HomeBroker!$A$2:$F$103,2,0),0)</f>
        <v>0</v>
      </c>
      <c r="Z7" s="242">
        <f>IFERROR(VLOOKUP($X7,HomeBroker!$A$2:$F$103,3,0),0)</f>
        <v>0</v>
      </c>
      <c r="AA7" s="243">
        <f>IFERROR(VLOOKUP($X7,HomeBroker!$A$2:$F$103,6,0),0)</f>
        <v>0</v>
      </c>
      <c r="AB7" s="242">
        <f>IFERROR(VLOOKUP($X7,HomeBroker!$A$2:$F$103,4,0),0)</f>
        <v>0</v>
      </c>
      <c r="AC7" s="242">
        <f>IFERROR(VLOOKUP($X7,HomeBroker!$A$2:$F$103,5,0),0)</f>
        <v>0</v>
      </c>
      <c r="AD7" s="305">
        <f>IFERROR(VLOOKUP($X7,HomeBroker!$A$2:$N$103,14,0),0)</f>
        <v>0</v>
      </c>
      <c r="AE7" s="247" t="str">
        <f t="shared" si="61"/>
        <v/>
      </c>
      <c r="AF7" s="110">
        <f t="shared" si="62"/>
        <v>0</v>
      </c>
      <c r="AG7" s="240">
        <v>990</v>
      </c>
      <c r="AH7" s="112">
        <f t="shared" ca="1" si="63"/>
        <v>0</v>
      </c>
      <c r="AI7" s="113" t="str">
        <f t="shared" si="9"/>
        <v>MERV - XMEV - GFGV990.DI - 24hs</v>
      </c>
      <c r="AJ7" s="113" t="str">
        <f t="shared" si="64"/>
        <v>GFGV990.DI</v>
      </c>
      <c r="AK7" s="237">
        <f>IFERROR(VLOOKUP($AJ7,HomeBroker!$A$2:$F$103,2,0),0)</f>
        <v>0</v>
      </c>
      <c r="AL7" s="242">
        <f>IFERROR(VLOOKUP($AJ7,HomeBroker!$A$2:$F$103,3,0),0)</f>
        <v>0</v>
      </c>
      <c r="AM7" s="243">
        <f>IFERROR(VLOOKUP($AJ7,HomeBroker!$A$2:$F$103,6,0),0)</f>
        <v>0</v>
      </c>
      <c r="AN7" s="242">
        <f>IFERROR(VLOOKUP($AJ7,HomeBroker!$A$2:$F$103,4,0),0)</f>
        <v>0</v>
      </c>
      <c r="AO7" s="237">
        <f>IFERROR(VLOOKUP($AJ7,HomeBroker!$A$2:$F$103,5,0),0)</f>
        <v>0</v>
      </c>
      <c r="AP7" s="115">
        <f>IFERROR(VLOOKUP($AJ7,HomeBroker!$A$2:$N$103,14,0),0)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1851.5</v>
      </c>
      <c r="AU7" s="62"/>
      <c r="AV7" s="116"/>
      <c r="AW7" s="136" t="s">
        <v>354</v>
      </c>
      <c r="AX7" s="118"/>
      <c r="AY7" s="140"/>
      <c r="AZ7" s="141"/>
      <c r="BA7" s="303">
        <f t="shared" si="10"/>
        <v>0</v>
      </c>
      <c r="BB7" s="304">
        <f t="shared" si="11"/>
        <v>0</v>
      </c>
      <c r="BC7" s="120" t="s">
        <v>408</v>
      </c>
      <c r="BD7" s="118"/>
      <c r="BE7" s="143"/>
      <c r="BF7" s="121"/>
      <c r="BG7" s="306">
        <f t="shared" si="12"/>
        <v>0</v>
      </c>
      <c r="BH7" s="308">
        <f t="shared" si="13"/>
        <v>0</v>
      </c>
      <c r="BI7" s="122" t="s">
        <v>409</v>
      </c>
      <c r="BJ7" s="118"/>
      <c r="BK7" s="121"/>
      <c r="BL7" s="309">
        <f t="shared" si="14"/>
        <v>0</v>
      </c>
      <c r="BM7" s="310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1136.9000000000001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1136.9000000000001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96">
        <f t="shared" si="3"/>
        <v>0</v>
      </c>
      <c r="P8" s="135">
        <f t="shared" si="4"/>
        <v>1136.9000000000001</v>
      </c>
      <c r="Q8" s="135">
        <f t="shared" ca="1" si="5"/>
        <v>1136.9000000000001</v>
      </c>
      <c r="R8" s="62"/>
      <c r="S8" s="246" t="str">
        <f t="shared" si="6"/>
        <v/>
      </c>
      <c r="T8" s="110">
        <f t="shared" si="7"/>
        <v>-2</v>
      </c>
      <c r="U8" s="240">
        <v>1931.5</v>
      </c>
      <c r="V8" s="112">
        <f t="shared" ca="1" si="59"/>
        <v>0</v>
      </c>
      <c r="W8" s="113" t="str">
        <f t="shared" si="8"/>
        <v>MERV - XMEV - GFGC19315D - 24hs</v>
      </c>
      <c r="X8" s="113" t="str">
        <f t="shared" si="60"/>
        <v>GFGC19315D</v>
      </c>
      <c r="Y8" s="242">
        <f>IFERROR(VLOOKUP($X8,HomeBroker!$A$2:$F$103,2,0),0)</f>
        <v>0</v>
      </c>
      <c r="Z8" s="242">
        <f>IFERROR(VLOOKUP($X8,HomeBroker!$A$2:$F$103,3,0),0)</f>
        <v>0</v>
      </c>
      <c r="AA8" s="243">
        <f>IFERROR(VLOOKUP($X8,HomeBroker!$A$2:$F$103,6,0),0)</f>
        <v>0</v>
      </c>
      <c r="AB8" s="242">
        <f>IFERROR(VLOOKUP($X8,HomeBroker!$A$2:$F$103,4,0),0)</f>
        <v>0</v>
      </c>
      <c r="AC8" s="242">
        <f>IFERROR(VLOOKUP($X8,HomeBroker!$A$2:$F$103,5,0),0)</f>
        <v>0</v>
      </c>
      <c r="AD8" s="305">
        <f>IFERROR(VLOOKUP($X8,HomeBroker!$A$2:$N$103,14,0),0)</f>
        <v>0</v>
      </c>
      <c r="AE8" s="247" t="str">
        <f t="shared" si="61"/>
        <v/>
      </c>
      <c r="AF8" s="110">
        <f t="shared" si="62"/>
        <v>0</v>
      </c>
      <c r="AG8" s="240">
        <v>1033</v>
      </c>
      <c r="AH8" s="112">
        <f t="shared" ca="1" si="63"/>
        <v>0</v>
      </c>
      <c r="AI8" s="113" t="str">
        <f t="shared" si="9"/>
        <v>MERV - XMEV - GFGV1033DI - 24hs</v>
      </c>
      <c r="AJ8" s="113" t="str">
        <f t="shared" si="64"/>
        <v>GFGV1033DI</v>
      </c>
      <c r="AK8" s="237">
        <f>IFERROR(VLOOKUP($AJ8,HomeBroker!$A$2:$F$103,2,0),0)</f>
        <v>0</v>
      </c>
      <c r="AL8" s="242">
        <f>IFERROR(VLOOKUP($AJ8,HomeBroker!$A$2:$F$103,3,0),0)</f>
        <v>0</v>
      </c>
      <c r="AM8" s="243">
        <f>IFERROR(VLOOKUP($AJ8,HomeBroker!$A$2:$F$103,6,0),0)</f>
        <v>0</v>
      </c>
      <c r="AN8" s="242">
        <f>IFERROR(VLOOKUP($AJ8,HomeBroker!$A$2:$F$103,4,0),0)</f>
        <v>0</v>
      </c>
      <c r="AO8" s="237">
        <f>IFERROR(VLOOKUP($AJ8,HomeBroker!$A$2:$F$103,5,0),0)</f>
        <v>0</v>
      </c>
      <c r="AP8" s="115">
        <f>IFERROR(VLOOKUP($AJ8,HomeBroker!$A$2:$N$103,14,0),0)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1931.5</v>
      </c>
      <c r="AU8" s="62"/>
      <c r="AV8" s="116"/>
      <c r="AW8" s="136" t="s">
        <v>354</v>
      </c>
      <c r="AX8" s="118"/>
      <c r="AY8" s="140"/>
      <c r="AZ8" s="141"/>
      <c r="BA8" s="303">
        <f t="shared" si="10"/>
        <v>0</v>
      </c>
      <c r="BB8" s="304">
        <f t="shared" si="11"/>
        <v>0</v>
      </c>
      <c r="BC8" s="120" t="s">
        <v>408</v>
      </c>
      <c r="BD8" s="118"/>
      <c r="BE8" s="143"/>
      <c r="BF8" s="121"/>
      <c r="BG8" s="306">
        <f t="shared" si="12"/>
        <v>0</v>
      </c>
      <c r="BH8" s="308">
        <f t="shared" si="13"/>
        <v>0</v>
      </c>
      <c r="BI8" s="122" t="s">
        <v>409</v>
      </c>
      <c r="BJ8" s="118"/>
      <c r="BK8" s="121"/>
      <c r="BL8" s="309">
        <f t="shared" si="14"/>
        <v>0</v>
      </c>
      <c r="BM8" s="310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1136.9000000000001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1136.9000000000001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96">
        <f t="shared" si="3"/>
        <v>0</v>
      </c>
      <c r="P9" s="142">
        <f t="shared" si="4"/>
        <v>1136.9000000000001</v>
      </c>
      <c r="Q9" s="142">
        <f t="shared" ca="1" si="5"/>
        <v>1136.9000000000001</v>
      </c>
      <c r="R9" s="62"/>
      <c r="S9" s="246" t="str">
        <f t="shared" si="6"/>
        <v/>
      </c>
      <c r="T9" s="110">
        <f>SUMIFS(B$3:B$37,C$3:C$37,U9)</f>
        <v>0</v>
      </c>
      <c r="U9" s="240">
        <v>2020</v>
      </c>
      <c r="V9" s="112">
        <f t="shared" ca="1" si="59"/>
        <v>0</v>
      </c>
      <c r="W9" s="113" t="str">
        <f t="shared" si="8"/>
        <v>MERV - XMEV - GFGC2020DI - 24hs</v>
      </c>
      <c r="X9" s="113" t="str">
        <f t="shared" si="60"/>
        <v>GFGC2020DI</v>
      </c>
      <c r="Y9" s="242">
        <f>IFERROR(VLOOKUP($X9,HomeBroker!$A$2:$F$103,2,0),0)</f>
        <v>0</v>
      </c>
      <c r="Z9" s="242">
        <f>IFERROR(VLOOKUP($X9,HomeBroker!$A$2:$F$103,3,0),0)</f>
        <v>0</v>
      </c>
      <c r="AA9" s="243">
        <f>IFERROR(VLOOKUP($X9,HomeBroker!$A$2:$F$103,6,0),0)</f>
        <v>0</v>
      </c>
      <c r="AB9" s="242">
        <f>IFERROR(VLOOKUP($X9,HomeBroker!$A$2:$F$103,4,0),0)</f>
        <v>0</v>
      </c>
      <c r="AC9" s="242">
        <f>IFERROR(VLOOKUP($X9,HomeBroker!$A$2:$F$103,5,0),0)</f>
        <v>0</v>
      </c>
      <c r="AD9" s="305">
        <f>IFERROR(VLOOKUP($X9,HomeBroker!$A$2:$N$103,14,0),0)</f>
        <v>0</v>
      </c>
      <c r="AE9" s="247" t="str">
        <f t="shared" si="61"/>
        <v/>
      </c>
      <c r="AF9" s="110">
        <f t="shared" si="62"/>
        <v>0</v>
      </c>
      <c r="AG9" s="240">
        <v>1091.5</v>
      </c>
      <c r="AH9" s="112">
        <f t="shared" ca="1" si="63"/>
        <v>0</v>
      </c>
      <c r="AI9" s="113" t="str">
        <f t="shared" si="9"/>
        <v>MERV - XMEV - GFGV10915D - 24hs</v>
      </c>
      <c r="AJ9" s="113" t="str">
        <f t="shared" si="64"/>
        <v>GFGV10915D</v>
      </c>
      <c r="AK9" s="237">
        <f>IFERROR(VLOOKUP($AJ9,HomeBroker!$A$2:$F$103,2,0),0)</f>
        <v>0</v>
      </c>
      <c r="AL9" s="242">
        <f>IFERROR(VLOOKUP($AJ9,HomeBroker!$A$2:$F$103,3,0),0)</f>
        <v>0</v>
      </c>
      <c r="AM9" s="243">
        <f>IFERROR(VLOOKUP($AJ9,HomeBroker!$A$2:$F$103,6,0),0)</f>
        <v>0</v>
      </c>
      <c r="AN9" s="242">
        <f>IFERROR(VLOOKUP($AJ9,HomeBroker!$A$2:$F$103,4,0),0)</f>
        <v>0</v>
      </c>
      <c r="AO9" s="237">
        <f>IFERROR(VLOOKUP($AJ9,HomeBroker!$A$2:$F$103,5,0),0)</f>
        <v>0</v>
      </c>
      <c r="AP9" s="115">
        <f>IFERROR(VLOOKUP($AJ9,HomeBroker!$A$2:$N$103,14,0),0)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>
        <f t="shared" si="67"/>
        <v>2020</v>
      </c>
      <c r="AU9" s="62"/>
      <c r="AV9" s="116"/>
      <c r="AW9" s="136" t="s">
        <v>354</v>
      </c>
      <c r="AX9" s="118"/>
      <c r="AY9" s="140"/>
      <c r="AZ9" s="141"/>
      <c r="BA9" s="303">
        <f t="shared" si="10"/>
        <v>0</v>
      </c>
      <c r="BB9" s="304">
        <f t="shared" si="11"/>
        <v>0</v>
      </c>
      <c r="BC9" s="120" t="s">
        <v>408</v>
      </c>
      <c r="BD9" s="118"/>
      <c r="BE9" s="143"/>
      <c r="BF9" s="121"/>
      <c r="BG9" s="306">
        <f t="shared" si="12"/>
        <v>0</v>
      </c>
      <c r="BH9" s="308">
        <f t="shared" si="13"/>
        <v>0</v>
      </c>
      <c r="BI9" s="122" t="s">
        <v>409</v>
      </c>
      <c r="BJ9" s="118"/>
      <c r="BK9" s="121"/>
      <c r="BL9" s="309">
        <f t="shared" si="14"/>
        <v>0</v>
      </c>
      <c r="BM9" s="310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1136.9000000000001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1136.9000000000001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96">
        <f t="shared" si="3"/>
        <v>0</v>
      </c>
      <c r="P10" s="135">
        <f t="shared" si="4"/>
        <v>1136.9000000000001</v>
      </c>
      <c r="Q10" s="135">
        <f t="shared" ca="1" si="5"/>
        <v>1136.9000000000001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>
        <v>2091.5</v>
      </c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>MERV - XMEV - GFGC20915D - 24hs</v>
      </c>
      <c r="X10" s="113" t="str">
        <f t="shared" si="60"/>
        <v>GFGC20915D</v>
      </c>
      <c r="Y10" s="242">
        <f>IFERROR(VLOOKUP($X10,HomeBroker!$A$2:$F$103,2,0),0)</f>
        <v>0</v>
      </c>
      <c r="Z10" s="242">
        <f>IFERROR(VLOOKUP($X10,HomeBroker!$A$2:$F$103,3,0),0)</f>
        <v>0</v>
      </c>
      <c r="AA10" s="243">
        <f>IFERROR(VLOOKUP($X10,HomeBroker!$A$2:$F$103,6,0),0)</f>
        <v>0</v>
      </c>
      <c r="AB10" s="242">
        <f>IFERROR(VLOOKUP($X10,HomeBroker!$A$2:$F$103,4,0),0)</f>
        <v>0</v>
      </c>
      <c r="AC10" s="242">
        <f>IFERROR(VLOOKUP($X10,HomeBroker!$A$2:$F$103,5,0),0)</f>
        <v>0</v>
      </c>
      <c r="AD10" s="305">
        <f>IFERROR(VLOOKUP($X10,HomeBroker!$A$2:$N$103,14,0),0)</f>
        <v>0</v>
      </c>
      <c r="AE10" s="247" t="str">
        <f t="shared" si="61"/>
        <v/>
      </c>
      <c r="AF10" s="110">
        <f t="shared" si="62"/>
        <v>0</v>
      </c>
      <c r="AG10" s="240">
        <v>1150</v>
      </c>
      <c r="AH10" s="112">
        <f t="shared" ca="1" si="63"/>
        <v>0</v>
      </c>
      <c r="AI10" s="113" t="str">
        <f t="shared" si="9"/>
        <v>MERV - XMEV - GFGV1150DI - 24hs</v>
      </c>
      <c r="AJ10" s="113" t="str">
        <f t="shared" si="64"/>
        <v>GFGV1150DI</v>
      </c>
      <c r="AK10" s="237">
        <f>IFERROR(VLOOKUP($AJ10,HomeBroker!$A$2:$F$103,2,0),0)</f>
        <v>0</v>
      </c>
      <c r="AL10" s="242">
        <f>IFERROR(VLOOKUP($AJ10,HomeBroker!$A$2:$F$103,3,0),0)</f>
        <v>0</v>
      </c>
      <c r="AM10" s="243">
        <f>IFERROR(VLOOKUP($AJ10,HomeBroker!$A$2:$F$103,6,0),0)</f>
        <v>0</v>
      </c>
      <c r="AN10" s="242">
        <f>IFERROR(VLOOKUP($AJ10,HomeBroker!$A$2:$F$103,4,0),0)</f>
        <v>0</v>
      </c>
      <c r="AO10" s="237">
        <f>IFERROR(VLOOKUP($AJ10,HomeBroker!$A$2:$F$103,5,0),0)</f>
        <v>0</v>
      </c>
      <c r="AP10" s="115">
        <f>IFERROR(VLOOKUP($AJ10,HomeBroker!$A$2:$N$103,14,0),0)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>
        <f t="shared" si="67"/>
        <v>2091.5</v>
      </c>
      <c r="AU10" s="62"/>
      <c r="AV10" s="116"/>
      <c r="AW10" s="136" t="s">
        <v>354</v>
      </c>
      <c r="AX10" s="118"/>
      <c r="AY10" s="140"/>
      <c r="AZ10" s="141"/>
      <c r="BA10" s="303">
        <f t="shared" si="10"/>
        <v>0</v>
      </c>
      <c r="BB10" s="304">
        <f t="shared" si="11"/>
        <v>0</v>
      </c>
      <c r="BC10" s="120" t="s">
        <v>408</v>
      </c>
      <c r="BD10" s="118"/>
      <c r="BE10" s="143"/>
      <c r="BF10" s="121"/>
      <c r="BG10" s="306">
        <f t="shared" si="12"/>
        <v>0</v>
      </c>
      <c r="BH10" s="308">
        <f t="shared" si="13"/>
        <v>0</v>
      </c>
      <c r="BI10" s="122" t="s">
        <v>409</v>
      </c>
      <c r="BJ10" s="118"/>
      <c r="BK10" s="121"/>
      <c r="BL10" s="309">
        <f t="shared" si="14"/>
        <v>0</v>
      </c>
      <c r="BM10" s="310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1136.9000000000001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1136.9000000000001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96">
        <f t="shared" si="3"/>
        <v>0</v>
      </c>
      <c r="P11" s="135">
        <f t="shared" si="4"/>
        <v>1136.9000000000001</v>
      </c>
      <c r="Q11" s="135">
        <f t="shared" ca="1" si="5"/>
        <v>1136.9000000000001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IFERROR(VLOOKUP($X11,HomeBroker!$A$2:$F$103,2,0),0)</f>
        <v>0</v>
      </c>
      <c r="Z11" s="242">
        <f>IFERROR(VLOOKUP($X11,HomeBroker!$A$2:$F$103,3,0),0)</f>
        <v>0</v>
      </c>
      <c r="AA11" s="243">
        <f>IFERROR(VLOOKUP($X11,HomeBroker!$A$2:$F$103,6,0),0)</f>
        <v>0</v>
      </c>
      <c r="AB11" s="242">
        <f>IFERROR(VLOOKUP($X11,HomeBroker!$A$2:$F$103,4,0),0)</f>
        <v>0</v>
      </c>
      <c r="AC11" s="242">
        <f>IFERROR(VLOOKUP($X11,HomeBroker!$A$2:$F$103,5,0),0)</f>
        <v>0</v>
      </c>
      <c r="AD11" s="305">
        <f>IFERROR(VLOOKUP($X11,HomeBroker!$A$2:$N$103,14,0),0)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IFERROR(VLOOKUP($AJ11,HomeBroker!$A$2:$F$103,2,0),0)</f>
        <v>0</v>
      </c>
      <c r="AL11" s="242">
        <f>IFERROR(VLOOKUP($AJ11,HomeBroker!$A$2:$F$103,3,0),0)</f>
        <v>0</v>
      </c>
      <c r="AM11" s="243">
        <f>IFERROR(VLOOKUP($AJ11,HomeBroker!$A$2:$F$103,6,0),0)</f>
        <v>0</v>
      </c>
      <c r="AN11" s="242">
        <f>IFERROR(VLOOKUP($AJ11,HomeBroker!$A$2:$F$103,4,0),0)</f>
        <v>0</v>
      </c>
      <c r="AO11" s="237">
        <f>IFERROR(VLOOKUP($AJ11,HomeBroker!$A$2:$F$103,5,0),0)</f>
        <v>0</v>
      </c>
      <c r="AP11" s="115">
        <f>IFERROR(VLOOKUP($AJ11,HomeBroker!$A$2:$N$103,14,0),0)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3">
        <f t="shared" si="10"/>
        <v>0</v>
      </c>
      <c r="BB11" s="304">
        <f t="shared" si="11"/>
        <v>0</v>
      </c>
      <c r="BC11" s="120" t="s">
        <v>408</v>
      </c>
      <c r="BD11" s="118"/>
      <c r="BE11" s="143"/>
      <c r="BF11" s="121"/>
      <c r="BG11" s="306">
        <f t="shared" si="12"/>
        <v>0</v>
      </c>
      <c r="BH11" s="308">
        <f t="shared" si="13"/>
        <v>0</v>
      </c>
      <c r="BI11" s="122" t="s">
        <v>409</v>
      </c>
      <c r="BJ11" s="118"/>
      <c r="BK11" s="121"/>
      <c r="BL11" s="309">
        <f t="shared" si="14"/>
        <v>0</v>
      </c>
      <c r="BM11" s="310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1136.9000000000001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1136.9000000000001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e">
        <f t="shared" ref="N12:N17" si="71">-1+(O12/$O$18)</f>
        <v>#DIV/0!</v>
      </c>
      <c r="O12" s="296">
        <f t="shared" si="3"/>
        <v>0</v>
      </c>
      <c r="P12" s="142">
        <f t="shared" si="4"/>
        <v>1136.9000000000001</v>
      </c>
      <c r="Q12" s="142">
        <f t="shared" ca="1" si="5"/>
        <v>1136.9000000000001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IFERROR(VLOOKUP($X12,HomeBroker!$A$2:$F$103,2,0),0)</f>
        <v>0</v>
      </c>
      <c r="Z12" s="242">
        <f>IFERROR(VLOOKUP($X12,HomeBroker!$A$2:$F$103,3,0),0)</f>
        <v>0</v>
      </c>
      <c r="AA12" s="243">
        <f>IFERROR(VLOOKUP($X12,HomeBroker!$A$2:$F$103,6,0),0)</f>
        <v>0</v>
      </c>
      <c r="AB12" s="242">
        <f>IFERROR(VLOOKUP($X12,HomeBroker!$A$2:$F$103,4,0),0)</f>
        <v>0</v>
      </c>
      <c r="AC12" s="242">
        <f>IFERROR(VLOOKUP($X12,HomeBroker!$A$2:$F$103,5,0),0)</f>
        <v>0</v>
      </c>
      <c r="AD12" s="305">
        <f>IFERROR(VLOOKUP($X12,HomeBroker!$A$2:$N$103,14,0),0)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IFERROR(VLOOKUP($AJ12,HomeBroker!$A$2:$F$103,2,0),0)</f>
        <v>0</v>
      </c>
      <c r="AL12" s="242">
        <f>IFERROR(VLOOKUP($AJ12,HomeBroker!$A$2:$F$103,3,0),0)</f>
        <v>0</v>
      </c>
      <c r="AM12" s="243">
        <f>IFERROR(VLOOKUP($AJ12,HomeBroker!$A$2:$F$103,6,0),0)</f>
        <v>0</v>
      </c>
      <c r="AN12" s="242">
        <f>IFERROR(VLOOKUP($AJ12,HomeBroker!$A$2:$F$103,4,0),0)</f>
        <v>0</v>
      </c>
      <c r="AO12" s="237">
        <f>IFERROR(VLOOKUP($AJ12,HomeBroker!$A$2:$F$103,5,0),0)</f>
        <v>0</v>
      </c>
      <c r="AP12" s="115">
        <f>IFERROR(VLOOKUP($AJ12,HomeBroker!$A$2:$N$103,14,0),0)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3">
        <f t="shared" si="10"/>
        <v>0</v>
      </c>
      <c r="BB12" s="304">
        <f t="shared" si="11"/>
        <v>0</v>
      </c>
      <c r="BC12" s="120" t="s">
        <v>408</v>
      </c>
      <c r="BD12" s="118"/>
      <c r="BE12" s="143"/>
      <c r="BF12" s="121"/>
      <c r="BG12" s="306">
        <f t="shared" si="12"/>
        <v>0</v>
      </c>
      <c r="BH12" s="308">
        <f t="shared" si="13"/>
        <v>0</v>
      </c>
      <c r="BI12" s="122" t="s">
        <v>409</v>
      </c>
      <c r="BJ12" s="118"/>
      <c r="BK12" s="121"/>
      <c r="BL12" s="309">
        <f t="shared" si="14"/>
        <v>0</v>
      </c>
      <c r="BM12" s="310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1136.9000000000001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1136.9000000000001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e">
        <f t="shared" si="71"/>
        <v>#DIV/0!</v>
      </c>
      <c r="O13" s="297">
        <f t="shared" si="3"/>
        <v>0</v>
      </c>
      <c r="P13" s="135">
        <f t="shared" si="4"/>
        <v>1136.9000000000001</v>
      </c>
      <c r="Q13" s="135">
        <f t="shared" ca="1" si="5"/>
        <v>1136.9000000000001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IFERROR(VLOOKUP($X13,HomeBroker!$A$2:$F$103,2,0),0)</f>
        <v>0</v>
      </c>
      <c r="Z13" s="242">
        <f>IFERROR(VLOOKUP($X13,HomeBroker!$A$2:$F$103,3,0),0)</f>
        <v>0</v>
      </c>
      <c r="AA13" s="243">
        <f>IFERROR(VLOOKUP($X13,HomeBroker!$A$2:$F$103,6,0),0)</f>
        <v>0</v>
      </c>
      <c r="AB13" s="242">
        <f>IFERROR(VLOOKUP($X13,HomeBroker!$A$2:$F$103,4,0),0)</f>
        <v>0</v>
      </c>
      <c r="AC13" s="242">
        <f>IFERROR(VLOOKUP($X13,HomeBroker!$A$2:$F$103,5,0),0)</f>
        <v>0</v>
      </c>
      <c r="AD13" s="305">
        <f>IFERROR(VLOOKUP($X13,HomeBroker!$A$2:$N$103,14,0),0)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IFERROR(VLOOKUP($AJ13,HomeBroker!$A$2:$F$103,2,0),0)</f>
        <v>0</v>
      </c>
      <c r="AL13" s="242">
        <f>IFERROR(VLOOKUP($AJ13,HomeBroker!$A$2:$F$103,3,0),0)</f>
        <v>0</v>
      </c>
      <c r="AM13" s="243">
        <f>IFERROR(VLOOKUP($AJ13,HomeBroker!$A$2:$F$103,6,0),0)</f>
        <v>0</v>
      </c>
      <c r="AN13" s="242">
        <f>IFERROR(VLOOKUP($AJ13,HomeBroker!$A$2:$F$103,4,0),0)</f>
        <v>0</v>
      </c>
      <c r="AO13" s="237">
        <f>IFERROR(VLOOKUP($AJ13,HomeBroker!$A$2:$F$103,5,0),0)</f>
        <v>0</v>
      </c>
      <c r="AP13" s="115">
        <f>IFERROR(VLOOKUP($AJ13,HomeBroker!$A$2:$N$103,14,0),0)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3">
        <f t="shared" si="10"/>
        <v>0</v>
      </c>
      <c r="BB13" s="304">
        <f t="shared" si="11"/>
        <v>0</v>
      </c>
      <c r="BC13" s="120" t="s">
        <v>408</v>
      </c>
      <c r="BD13" s="118"/>
      <c r="BE13" s="143"/>
      <c r="BF13" s="121"/>
      <c r="BG13" s="306">
        <f t="shared" si="12"/>
        <v>0</v>
      </c>
      <c r="BH13" s="308">
        <f t="shared" si="13"/>
        <v>0</v>
      </c>
      <c r="BI13" s="122" t="s">
        <v>409</v>
      </c>
      <c r="BJ13" s="118"/>
      <c r="BK13" s="121"/>
      <c r="BL13" s="309">
        <f t="shared" si="14"/>
        <v>0</v>
      </c>
      <c r="BM13" s="310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1136.9000000000001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1136.9000000000001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e">
        <f t="shared" si="71"/>
        <v>#DIV/0!</v>
      </c>
      <c r="O14" s="297">
        <f t="shared" si="3"/>
        <v>0</v>
      </c>
      <c r="P14" s="135">
        <f t="shared" si="4"/>
        <v>1136.9000000000001</v>
      </c>
      <c r="Q14" s="135">
        <f t="shared" ca="1" si="5"/>
        <v>1136.9000000000001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IFERROR(VLOOKUP($X14,HomeBroker!$A$2:$F$103,2,0),0)</f>
        <v>0</v>
      </c>
      <c r="Z14" s="242">
        <f>IFERROR(VLOOKUP($X14,HomeBroker!$A$2:$F$103,3,0),0)</f>
        <v>0</v>
      </c>
      <c r="AA14" s="243">
        <f>IFERROR(VLOOKUP($X14,HomeBroker!$A$2:$F$103,6,0),0)</f>
        <v>0</v>
      </c>
      <c r="AB14" s="242">
        <f>IFERROR(VLOOKUP($X14,HomeBroker!$A$2:$F$103,4,0),0)</f>
        <v>0</v>
      </c>
      <c r="AC14" s="242">
        <f>IFERROR(VLOOKUP($X14,HomeBroker!$A$2:$F$88,5,0),0)</f>
        <v>0</v>
      </c>
      <c r="AD14" s="305">
        <f>IFERROR(VLOOKUP($X14,HomeBroker!$A$2:$N$103,14,0),0)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IFERROR(VLOOKUP($AJ14,HomeBroker!$A$2:$F$103,2,0),0)</f>
        <v>0</v>
      </c>
      <c r="AL14" s="242">
        <f>IFERROR(VLOOKUP($AJ14,HomeBroker!$A$2:$F$103,3,0),0)</f>
        <v>0</v>
      </c>
      <c r="AM14" s="243">
        <f>IFERROR(VLOOKUP($AJ14,HomeBroker!$A$2:$F$103,6,0),0)</f>
        <v>0</v>
      </c>
      <c r="AN14" s="242">
        <f>IFERROR(VLOOKUP($AJ14,HomeBroker!$A$2:$F$103,4,0),0)</f>
        <v>0</v>
      </c>
      <c r="AO14" s="237">
        <f>IFERROR(VLOOKUP($AJ14,HomeBroker!$A$2:$F$103,5,0),0)</f>
        <v>0</v>
      </c>
      <c r="AP14" s="115">
        <f>IFERROR(VLOOKUP($AJ14,HomeBroker!$A$2:$N$103,14,0),0)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3">
        <f t="shared" si="10"/>
        <v>0</v>
      </c>
      <c r="BB14" s="304">
        <f t="shared" si="11"/>
        <v>0</v>
      </c>
      <c r="BC14" s="120" t="s">
        <v>408</v>
      </c>
      <c r="BD14" s="118"/>
      <c r="BE14" s="143"/>
      <c r="BF14" s="121"/>
      <c r="BG14" s="306">
        <f t="shared" si="12"/>
        <v>0</v>
      </c>
      <c r="BH14" s="308">
        <f t="shared" si="13"/>
        <v>0</v>
      </c>
      <c r="BI14" s="122" t="s">
        <v>409</v>
      </c>
      <c r="BJ14" s="118"/>
      <c r="BK14" s="121"/>
      <c r="BL14" s="309">
        <f t="shared" si="14"/>
        <v>0</v>
      </c>
      <c r="BM14" s="310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1136.9000000000001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1136.9000000000001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e">
        <f t="shared" si="71"/>
        <v>#DIV/0!</v>
      </c>
      <c r="O15" s="297">
        <f t="shared" si="3"/>
        <v>0</v>
      </c>
      <c r="P15" s="142">
        <f t="shared" si="4"/>
        <v>1136.9000000000001</v>
      </c>
      <c r="Q15" s="142">
        <f t="shared" ca="1" si="5"/>
        <v>1136.9000000000001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IFERROR(VLOOKUP($X15,HomeBroker!$A$2:$F$88,2,0),0)</f>
        <v>0</v>
      </c>
      <c r="Z15" s="242">
        <f>IFERROR(VLOOKUP($X15,HomeBroker!$A$2:$F$88,3,0),0)</f>
        <v>0</v>
      </c>
      <c r="AA15" s="243">
        <f>IFERROR(VLOOKUP($X15,HomeBroker!$A$2:$F$88,6,0),0)</f>
        <v>0</v>
      </c>
      <c r="AB15" s="242">
        <f>IFERROR(VLOOKUP($X15,HomeBroker!$A$2:$F$88,4,0),0)</f>
        <v>0</v>
      </c>
      <c r="AC15" s="242">
        <f>IFERROR(VLOOKUP($X15,HomeBroker!$A$2:$F$88,5,0),0)</f>
        <v>0</v>
      </c>
      <c r="AD15" s="305">
        <f>IFERROR(VLOOKUP($X15,HomeBroker!$A$2:$N$88,14,0),0)</f>
        <v>0</v>
      </c>
      <c r="AE15" s="247" t="str">
        <f t="shared" si="61"/>
        <v/>
      </c>
      <c r="AF15" s="110">
        <f t="shared" si="62"/>
        <v>0</v>
      </c>
      <c r="AG15" s="312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IFERROR(VLOOKUP($AJ15,HomeBroker!$A$2:$F$88,2,0),0)</f>
        <v>0</v>
      </c>
      <c r="AL15" s="242">
        <f>IFERROR(VLOOKUP($AJ15,HomeBroker!$A$2:$F$88,3,0),0)</f>
        <v>0</v>
      </c>
      <c r="AM15" s="243">
        <f>IFERROR(VLOOKUP($AJ15,HomeBroker!$A$2:$F$88,6,0),0)</f>
        <v>0</v>
      </c>
      <c r="AN15" s="242">
        <f>IFERROR(VLOOKUP($AJ15,HomeBroker!$A$2:$F$88,4,0),0)</f>
        <v>0</v>
      </c>
      <c r="AO15" s="237">
        <f>IFERROR(VLOOKUP($AJ15,HomeBroker!$A$2:$F$88,5,0),0)</f>
        <v>0</v>
      </c>
      <c r="AP15" s="115">
        <f>IFERROR(VLOOKUP($AJ15,HomeBroker!$A$2:$N$88,14,0),0)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3">
        <f t="shared" si="10"/>
        <v>0</v>
      </c>
      <c r="BB15" s="304">
        <f t="shared" si="11"/>
        <v>0</v>
      </c>
      <c r="BC15" s="120" t="s">
        <v>408</v>
      </c>
      <c r="BD15" s="118"/>
      <c r="BE15" s="143"/>
      <c r="BF15" s="121"/>
      <c r="BG15" s="306">
        <f t="shared" si="12"/>
        <v>0</v>
      </c>
      <c r="BH15" s="308">
        <f t="shared" si="13"/>
        <v>0</v>
      </c>
      <c r="BI15" s="122" t="s">
        <v>409</v>
      </c>
      <c r="BJ15" s="118"/>
      <c r="BK15" s="121"/>
      <c r="BL15" s="309">
        <f t="shared" si="14"/>
        <v>0</v>
      </c>
      <c r="BM15" s="310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1136.9000000000001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1136.9000000000001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e">
        <f t="shared" si="71"/>
        <v>#DIV/0!</v>
      </c>
      <c r="O16" s="297">
        <f t="shared" si="3"/>
        <v>0</v>
      </c>
      <c r="P16" s="135">
        <f t="shared" si="4"/>
        <v>1136.9000000000001</v>
      </c>
      <c r="Q16" s="135">
        <f t="shared" ca="1" si="5"/>
        <v>1136.9000000000001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IFERROR(VLOOKUP($X16,HomeBroker!$A$2:$F$88,2,0),0)</f>
        <v>0</v>
      </c>
      <c r="Z16" s="242">
        <f>IFERROR(VLOOKUP($X16,HomeBroker!$A$2:$F$88,3,0),0)</f>
        <v>0</v>
      </c>
      <c r="AA16" s="243">
        <f>IFERROR(VLOOKUP($X16,HomeBroker!$A$2:$F$88,6,0),0)</f>
        <v>0</v>
      </c>
      <c r="AB16" s="242">
        <f>IFERROR(VLOOKUP($X16,HomeBroker!$A$2:$F$88,4,0),0)</f>
        <v>0</v>
      </c>
      <c r="AC16" s="242">
        <f>IFERROR(VLOOKUP($X16,HomeBroker!$A$2:$F$88,5,0),0)</f>
        <v>0</v>
      </c>
      <c r="AD16" s="305">
        <f>IFERROR(VLOOKUP($X16,HomeBroker!$A$2:$N$88,14,0),0)</f>
        <v>0</v>
      </c>
      <c r="AE16" s="247" t="str">
        <f t="shared" si="61"/>
        <v/>
      </c>
      <c r="AF16" s="110">
        <f t="shared" si="62"/>
        <v>0</v>
      </c>
      <c r="AG16" s="312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IFERROR(VLOOKUP($AJ16,HomeBroker!$A$2:$F$88,2,0),0)</f>
        <v>0</v>
      </c>
      <c r="AL16" s="242">
        <f>IFERROR(VLOOKUP($AJ16,HomeBroker!$A$2:$F$88,3,0),0)</f>
        <v>0</v>
      </c>
      <c r="AM16" s="243">
        <f>IFERROR(VLOOKUP($AJ16,HomeBroker!$A$2:$F$88,6,0),0)</f>
        <v>0</v>
      </c>
      <c r="AN16" s="242">
        <f>IFERROR(VLOOKUP($AJ16,HomeBroker!$A$2:$F$88,4,0),0)</f>
        <v>0</v>
      </c>
      <c r="AO16" s="237">
        <f>IFERROR(VLOOKUP($AJ16,HomeBroker!$A$2:$F$88,5,0),0)</f>
        <v>0</v>
      </c>
      <c r="AP16" s="115">
        <f>IFERROR(VLOOKUP($AJ16,HomeBroker!$A$2:$N$88,14,0),0)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3">
        <f t="shared" si="10"/>
        <v>0</v>
      </c>
      <c r="BB16" s="304">
        <f t="shared" si="11"/>
        <v>0</v>
      </c>
      <c r="BC16" s="120" t="s">
        <v>408</v>
      </c>
      <c r="BD16" s="118"/>
      <c r="BE16" s="143"/>
      <c r="BF16" s="121"/>
      <c r="BG16" s="306">
        <f t="shared" si="12"/>
        <v>0</v>
      </c>
      <c r="BH16" s="308">
        <f t="shared" si="13"/>
        <v>0</v>
      </c>
      <c r="BI16" s="122" t="s">
        <v>409</v>
      </c>
      <c r="BJ16" s="118"/>
      <c r="BK16" s="121"/>
      <c r="BL16" s="309">
        <f t="shared" si="14"/>
        <v>0</v>
      </c>
      <c r="BM16" s="310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1136.9000000000001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1136.9000000000001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e">
        <f t="shared" si="71"/>
        <v>#DIV/0!</v>
      </c>
      <c r="O17" s="297">
        <f t="shared" si="3"/>
        <v>0</v>
      </c>
      <c r="P17" s="135">
        <f t="shared" si="4"/>
        <v>1136.9000000000001</v>
      </c>
      <c r="Q17" s="135">
        <f t="shared" ca="1" si="5"/>
        <v>1136.9000000000001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IFERROR(VLOOKUP($X17,HomeBroker!$A$2:$F$88,2,0),0)</f>
        <v>0</v>
      </c>
      <c r="Z17" s="242">
        <f>IFERROR(VLOOKUP($X17,HomeBroker!$A$2:$F$88,3,0),0)</f>
        <v>0</v>
      </c>
      <c r="AA17" s="243">
        <f>IFERROR(VLOOKUP($X17,HomeBroker!$A$2:$F$88,6,0),0)</f>
        <v>0</v>
      </c>
      <c r="AB17" s="242">
        <f>IFERROR(VLOOKUP($X17,HomeBroker!$A$2:$F$88,4,0),0)</f>
        <v>0</v>
      </c>
      <c r="AC17" s="242">
        <f>IFERROR(VLOOKUP($X17,HomeBroker!$A$2:$F$88,5,0),0)</f>
        <v>0</v>
      </c>
      <c r="AD17" s="305">
        <f>IFERROR(VLOOKUP($X17,HomeBroker!$A$2:$N$88,14,0),0)</f>
        <v>0</v>
      </c>
      <c r="AE17" s="247" t="str">
        <f t="shared" si="61"/>
        <v/>
      </c>
      <c r="AF17" s="110">
        <f t="shared" si="62"/>
        <v>0</v>
      </c>
      <c r="AG17" s="312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IFERROR(VLOOKUP($AJ17,HomeBroker!$A$2:$F$88,2,0),0)</f>
        <v>0</v>
      </c>
      <c r="AL17" s="242">
        <f>IFERROR(VLOOKUP($AJ17,HomeBroker!$A$2:$F$88,3,0),0)</f>
        <v>0</v>
      </c>
      <c r="AM17" s="243">
        <f>IFERROR(VLOOKUP($AJ17,HomeBroker!$A$2:$F$88,6,0),0)</f>
        <v>0</v>
      </c>
      <c r="AN17" s="242">
        <f>IFERROR(VLOOKUP($AJ17,HomeBroker!$A$2:$F$88,4,0),0)</f>
        <v>0</v>
      </c>
      <c r="AO17" s="237">
        <f>IFERROR(VLOOKUP($AJ17,HomeBroker!$A$2:$F$88,5,0),0)</f>
        <v>0</v>
      </c>
      <c r="AP17" s="115">
        <f>IFERROR(VLOOKUP($AJ17,HomeBroker!$A$2:$N$88,14,0),0)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3">
        <f t="shared" si="10"/>
        <v>0</v>
      </c>
      <c r="BB17" s="304">
        <f t="shared" si="11"/>
        <v>0</v>
      </c>
      <c r="BC17" s="120" t="s">
        <v>408</v>
      </c>
      <c r="BD17" s="118"/>
      <c r="BE17" s="143"/>
      <c r="BF17" s="121"/>
      <c r="BG17" s="306">
        <f t="shared" si="12"/>
        <v>0</v>
      </c>
      <c r="BH17" s="308">
        <f t="shared" si="13"/>
        <v>0</v>
      </c>
      <c r="BI17" s="122" t="s">
        <v>409</v>
      </c>
      <c r="BJ17" s="118"/>
      <c r="BK17" s="121"/>
      <c r="BL17" s="309">
        <f t="shared" si="14"/>
        <v>0</v>
      </c>
      <c r="BM17" s="310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1136.9000000000001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1136.9000000000001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98">
        <f>IF($Q$45&lt;&gt;"",$Q$45,$B$76)</f>
        <v>0</v>
      </c>
      <c r="P18" s="142">
        <f t="shared" si="4"/>
        <v>1136.9000000000001</v>
      </c>
      <c r="Q18" s="142">
        <f t="shared" ca="1" si="5"/>
        <v>1136.9000000000001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IFERROR(VLOOKUP($X18,HomeBroker!$A$2:$F$88,2,0),0)</f>
        <v>0</v>
      </c>
      <c r="Z18" s="242">
        <f>IFERROR(VLOOKUP($X18,HomeBroker!$A$2:$F$88,3,0),0)</f>
        <v>0</v>
      </c>
      <c r="AA18" s="243">
        <f>IFERROR(VLOOKUP($X18,HomeBroker!$A$2:$F$88,6,0),0)</f>
        <v>0</v>
      </c>
      <c r="AB18" s="242">
        <f>IFERROR(VLOOKUP($X18,HomeBroker!$A$2:$F$88,4,0),0)</f>
        <v>0</v>
      </c>
      <c r="AC18" s="242">
        <f>IFERROR(VLOOKUP($X18,HomeBroker!$A$2:$F$88,5,0),0)</f>
        <v>0</v>
      </c>
      <c r="AD18" s="305">
        <f>IFERROR(VLOOKUP($X18,HomeBroker!$A$2:$N$88,14,0),0)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IFERROR(VLOOKUP($AJ18,HomeBroker!$A$2:$F$88,2,0),0)</f>
        <v>0</v>
      </c>
      <c r="AL18" s="242">
        <f>IFERROR(VLOOKUP($AJ18,HomeBroker!$A$2:$F$88,3,0),0)</f>
        <v>0</v>
      </c>
      <c r="AM18" s="243">
        <f>IFERROR(VLOOKUP($AJ18,HomeBroker!$A$2:$F$88,6,0),0)</f>
        <v>0</v>
      </c>
      <c r="AN18" s="242">
        <f>IFERROR(VLOOKUP($AJ18,HomeBroker!$A$2:$F$88,4,0),0)</f>
        <v>0</v>
      </c>
      <c r="AO18" s="114">
        <f>IFERROR(VLOOKUP($AJ18,HomeBroker!$A$2:$F$88,5,0),0)</f>
        <v>0</v>
      </c>
      <c r="AP18" s="115">
        <f>IFERROR(VLOOKUP($AJ18,HomeBroker!$A$2:$N$88,14,0),0)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3">
        <f t="shared" si="10"/>
        <v>0</v>
      </c>
      <c r="BB18" s="304">
        <f t="shared" si="11"/>
        <v>0</v>
      </c>
      <c r="BC18" s="120" t="s">
        <v>408</v>
      </c>
      <c r="BD18" s="118"/>
      <c r="BE18" s="143"/>
      <c r="BF18" s="121"/>
      <c r="BG18" s="306">
        <f t="shared" si="12"/>
        <v>0</v>
      </c>
      <c r="BH18" s="308">
        <f t="shared" si="13"/>
        <v>0</v>
      </c>
      <c r="BI18" s="122" t="s">
        <v>409</v>
      </c>
      <c r="BJ18" s="118"/>
      <c r="BK18" s="121"/>
      <c r="BL18" s="309">
        <f t="shared" si="14"/>
        <v>0</v>
      </c>
      <c r="BM18" s="310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1136.9000000000001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1136.9000000000001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e">
        <f t="shared" ref="N19:N24" si="79">+O19/$O$18-1</f>
        <v>#DIV/0!</v>
      </c>
      <c r="O19" s="297">
        <f t="shared" ref="O19:O34" si="80">+O18*(1+$Q$42)</f>
        <v>0</v>
      </c>
      <c r="P19" s="135">
        <f t="shared" si="4"/>
        <v>1136.9000000000001</v>
      </c>
      <c r="Q19" s="135">
        <f t="shared" ca="1" si="5"/>
        <v>1136.9000000000001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1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IFERROR(VLOOKUP($X19,HomeBroker!$A$2:$F$88,2,0),0)</f>
        <v>0</v>
      </c>
      <c r="Z19" s="242">
        <f>IFERROR(VLOOKUP($X19,HomeBroker!$A$2:$F$88,3,0),0)</f>
        <v>0</v>
      </c>
      <c r="AA19" s="243">
        <f>IFERROR(VLOOKUP($X19,HomeBroker!$A$2:$F$88,6,0),0)</f>
        <v>0</v>
      </c>
      <c r="AB19" s="242">
        <f>IFERROR(VLOOKUP($X19,HomeBroker!$A$2:$F$88,4,0),0)</f>
        <v>0</v>
      </c>
      <c r="AC19" s="242">
        <f>IFERROR(VLOOKUP($X19,HomeBroker!$A$2:$F$88,5,0),0)</f>
        <v>0</v>
      </c>
      <c r="AD19" s="305">
        <f>IFERROR(VLOOKUP($X19,HomeBroker!$A$2:$N$88,14,0),0)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IFERROR(VLOOKUP($AJ19,HomeBroker!$A$2:$F$88,2,0),0)</f>
        <v>0</v>
      </c>
      <c r="AL19" s="242">
        <f>IFERROR(VLOOKUP($AJ19,HomeBroker!$A$2:$F$88,3,0),0)</f>
        <v>0</v>
      </c>
      <c r="AM19" s="243">
        <f>IFERROR(VLOOKUP($AJ19,HomeBroker!$A$2:$F$88,6,0),0)</f>
        <v>0</v>
      </c>
      <c r="AN19" s="242">
        <f>IFERROR(VLOOKUP($AJ19,HomeBroker!$A$2:$F$88,4,0),0)</f>
        <v>0</v>
      </c>
      <c r="AO19" s="114">
        <f>IFERROR(VLOOKUP($AJ19,HomeBroker!$A$2:$F$88,5,0),0)</f>
        <v>0</v>
      </c>
      <c r="AP19" s="115">
        <f>IFERROR(VLOOKUP($AJ19,HomeBroker!$A$2:$N$88,14,0),0)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3">
        <f t="shared" si="10"/>
        <v>0</v>
      </c>
      <c r="BB19" s="304">
        <f t="shared" si="11"/>
        <v>0</v>
      </c>
      <c r="BC19" s="120" t="s">
        <v>408</v>
      </c>
      <c r="BD19" s="118"/>
      <c r="BE19" s="143"/>
      <c r="BF19" s="121"/>
      <c r="BG19" s="306">
        <f t="shared" si="12"/>
        <v>0</v>
      </c>
      <c r="BH19" s="308">
        <f t="shared" si="13"/>
        <v>0</v>
      </c>
      <c r="BI19" s="122" t="s">
        <v>409</v>
      </c>
      <c r="BJ19" s="118"/>
      <c r="BK19" s="121"/>
      <c r="BL19" s="309">
        <f t="shared" si="14"/>
        <v>0</v>
      </c>
      <c r="BM19" s="310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1136.9000000000001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1136.9000000000001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e">
        <f t="shared" si="79"/>
        <v>#DIV/0!</v>
      </c>
      <c r="O20" s="297">
        <f t="shared" si="80"/>
        <v>0</v>
      </c>
      <c r="P20" s="135">
        <f t="shared" si="4"/>
        <v>1136.9000000000001</v>
      </c>
      <c r="Q20" s="135">
        <f t="shared" ca="1" si="5"/>
        <v>1136.9000000000001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1"/>
        <v/>
      </c>
      <c r="X20" s="113" t="str">
        <f t="shared" si="75"/>
        <v/>
      </c>
      <c r="Y20" s="242">
        <f>IFERROR(VLOOKUP($X20,HomeBroker!$A$2:$F$88,2,0),0)</f>
        <v>0</v>
      </c>
      <c r="Z20" s="242">
        <f>IFERROR(VLOOKUP($X20,HomeBroker!$A$2:$F$88,3,0),0)</f>
        <v>0</v>
      </c>
      <c r="AA20" s="243">
        <f>IFERROR(VLOOKUP($X20,HomeBroker!$A$2:$F$88,6,0),0)</f>
        <v>0</v>
      </c>
      <c r="AB20" s="242">
        <f>IFERROR(VLOOKUP($X20,HomeBroker!$A$2:$F$88,4,0),0)</f>
        <v>0</v>
      </c>
      <c r="AC20" s="242">
        <f>IFERROR(VLOOKUP($X20,HomeBroker!$A$2:$F$88,5,0),0)</f>
        <v>0</v>
      </c>
      <c r="AD20" s="305">
        <f>IFERROR(VLOOKUP($X20,HomeBroker!$A$2:$N$88,14,0),0)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IFERROR(VLOOKUP($AJ20,HomeBroker!$A$2:$F$88,2,0),0)</f>
        <v>0</v>
      </c>
      <c r="AL20" s="242">
        <f>IFERROR(VLOOKUP($AJ20,HomeBroker!$A$2:$F$88,3,0),0)</f>
        <v>0</v>
      </c>
      <c r="AM20" s="243">
        <f>IFERROR(VLOOKUP($AJ20,HomeBroker!$A$2:$F$88,6,0),0)</f>
        <v>0</v>
      </c>
      <c r="AN20" s="242">
        <f>IFERROR(VLOOKUP($AJ20,HomeBroker!$A$2:$F$88,4,0),0)</f>
        <v>0</v>
      </c>
      <c r="AO20" s="114">
        <f>IFERROR(VLOOKUP($AJ20,HomeBroker!$A$2:$F$88,5,0),0)</f>
        <v>0</v>
      </c>
      <c r="AP20" s="115">
        <f>IFERROR(VLOOKUP($AJ20,HomeBroker!$A$2:$N$88,14,0),0)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3">
        <f t="shared" si="10"/>
        <v>0</v>
      </c>
      <c r="BB20" s="304">
        <f t="shared" si="11"/>
        <v>0</v>
      </c>
      <c r="BC20" s="120" t="s">
        <v>408</v>
      </c>
      <c r="BD20" s="118"/>
      <c r="BE20" s="143"/>
      <c r="BF20" s="121"/>
      <c r="BG20" s="306">
        <f t="shared" si="12"/>
        <v>0</v>
      </c>
      <c r="BH20" s="308">
        <f t="shared" si="13"/>
        <v>0</v>
      </c>
      <c r="BI20" s="122" t="s">
        <v>409</v>
      </c>
      <c r="BJ20" s="118"/>
      <c r="BK20" s="121"/>
      <c r="BL20" s="309">
        <f t="shared" si="14"/>
        <v>0</v>
      </c>
      <c r="BM20" s="310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1136.9000000000001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1136.9000000000001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e">
        <f t="shared" si="79"/>
        <v>#DIV/0!</v>
      </c>
      <c r="O21" s="297">
        <f t="shared" si="80"/>
        <v>0</v>
      </c>
      <c r="P21" s="142">
        <f t="shared" si="4"/>
        <v>1136.9000000000001</v>
      </c>
      <c r="Q21" s="142">
        <f t="shared" ca="1" si="5"/>
        <v>1136.9000000000001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1"/>
        <v/>
      </c>
      <c r="X21" s="113" t="str">
        <f t="shared" si="75"/>
        <v/>
      </c>
      <c r="Y21" s="242">
        <f>IFERROR(VLOOKUP($X21,HomeBroker!$A$2:$F$88,2,0),0)</f>
        <v>0</v>
      </c>
      <c r="Z21" s="242">
        <f>IFERROR(VLOOKUP($X21,HomeBroker!$A$2:$F$88,3,0),0)</f>
        <v>0</v>
      </c>
      <c r="AA21" s="243">
        <f>IFERROR(VLOOKUP($X21,HomeBroker!$A$2:$F$88,6,0),0)</f>
        <v>0</v>
      </c>
      <c r="AB21" s="242">
        <f>IFERROR(VLOOKUP($X21,HomeBroker!$A$2:$F$88,4,0),0)</f>
        <v>0</v>
      </c>
      <c r="AC21" s="242">
        <f>IFERROR(VLOOKUP($X21,HomeBroker!$A$2:$F$88,5,0),0)</f>
        <v>0</v>
      </c>
      <c r="AD21" s="305">
        <f>IFERROR(VLOOKUP($X21,HomeBroker!$A$2:$N$88,14,0),0)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IFERROR(VLOOKUP($AJ21,HomeBroker!$A$2:$F$88,2,0),0)</f>
        <v>0</v>
      </c>
      <c r="AL21" s="242">
        <f>IFERROR(VLOOKUP($AJ21,HomeBroker!$A$2:$F$88,3,0),0)</f>
        <v>0</v>
      </c>
      <c r="AM21" s="243">
        <f>IFERROR(VLOOKUP($AJ21,HomeBroker!$A$2:$F$88,6,0),0)</f>
        <v>0</v>
      </c>
      <c r="AN21" s="242">
        <f>IFERROR(VLOOKUP($AJ21,HomeBroker!$A$2:$F$88,4,0),0)</f>
        <v>0</v>
      </c>
      <c r="AO21" s="114">
        <f>IFERROR(VLOOKUP($AJ21,HomeBroker!$A$2:$F$88,5,0),0)</f>
        <v>0</v>
      </c>
      <c r="AP21" s="115">
        <f>IFERROR(VLOOKUP($AJ21,HomeBroker!$A$2:$N$88,14,0),0)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3">
        <f t="shared" si="10"/>
        <v>0</v>
      </c>
      <c r="BB21" s="304">
        <f t="shared" si="11"/>
        <v>0</v>
      </c>
      <c r="BC21" s="120" t="s">
        <v>408</v>
      </c>
      <c r="BD21" s="118"/>
      <c r="BE21" s="143"/>
      <c r="BF21" s="121"/>
      <c r="BG21" s="306">
        <f t="shared" si="12"/>
        <v>0</v>
      </c>
      <c r="BH21" s="308">
        <f t="shared" si="13"/>
        <v>0</v>
      </c>
      <c r="BI21" s="122" t="s">
        <v>409</v>
      </c>
      <c r="BJ21" s="118"/>
      <c r="BK21" s="121"/>
      <c r="BL21" s="309">
        <f t="shared" si="14"/>
        <v>0</v>
      </c>
      <c r="BM21" s="310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1136.9000000000001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1136.9000000000001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e">
        <f t="shared" si="79"/>
        <v>#DIV/0!</v>
      </c>
      <c r="O22" s="297">
        <f t="shared" si="80"/>
        <v>0</v>
      </c>
      <c r="P22" s="135">
        <f t="shared" si="4"/>
        <v>1136.9000000000001</v>
      </c>
      <c r="Q22" s="135">
        <f t="shared" ca="1" si="5"/>
        <v>1136.9000000000001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1"/>
        <v/>
      </c>
      <c r="X22" s="113" t="str">
        <f t="shared" si="75"/>
        <v/>
      </c>
      <c r="Y22" s="242">
        <f>IFERROR(VLOOKUP($X22,HomeBroker!$A$2:$F$88,2,0),0)</f>
        <v>0</v>
      </c>
      <c r="Z22" s="242">
        <f>IFERROR(VLOOKUP($X22,HomeBroker!$A$2:$F$88,3,0),0)</f>
        <v>0</v>
      </c>
      <c r="AA22" s="243">
        <f>IFERROR(VLOOKUP($X22,HomeBroker!$A$2:$F$88,6,0),0)</f>
        <v>0</v>
      </c>
      <c r="AB22" s="242">
        <f>IFERROR(VLOOKUP($X22,HomeBroker!$A$2:$F$88,4,0),0)</f>
        <v>0</v>
      </c>
      <c r="AC22" s="242">
        <f>IFERROR(VLOOKUP($X22,HomeBroker!$A$2:$F$88,5,0),0)</f>
        <v>0</v>
      </c>
      <c r="AD22" s="305">
        <f>IFERROR(VLOOKUP($X22,HomeBroker!$A$2:$N$88,14,0),0)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IFERROR(VLOOKUP($AJ22,HomeBroker!$A$2:$F$88,2,0),0)</f>
        <v>0</v>
      </c>
      <c r="AL22" s="242">
        <f>IFERROR(VLOOKUP($AJ22,HomeBroker!$A$2:$F$88,3,0),0)</f>
        <v>0</v>
      </c>
      <c r="AM22" s="243">
        <f>IFERROR(VLOOKUP($AJ22,HomeBroker!$A$2:$F$88,6,0),0)</f>
        <v>0</v>
      </c>
      <c r="AN22" s="242">
        <f>IFERROR(VLOOKUP($AJ22,HomeBroker!$A$2:$F$88,4,0),0)</f>
        <v>0</v>
      </c>
      <c r="AO22" s="114">
        <f>IFERROR(VLOOKUP($AJ22,HomeBroker!$A$2:$F$88,5,0),0)</f>
        <v>0</v>
      </c>
      <c r="AP22" s="115">
        <f>IFERROR(VLOOKUP($AJ22,HomeBroker!$A$2:$N$88,14,0),0)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3">
        <f t="shared" si="10"/>
        <v>0</v>
      </c>
      <c r="BB22" s="304">
        <f t="shared" si="11"/>
        <v>0</v>
      </c>
      <c r="BC22" s="120" t="s">
        <v>408</v>
      </c>
      <c r="BD22" s="118"/>
      <c r="BE22" s="143"/>
      <c r="BF22" s="121"/>
      <c r="BG22" s="306">
        <f t="shared" si="12"/>
        <v>0</v>
      </c>
      <c r="BH22" s="308">
        <f t="shared" si="13"/>
        <v>0</v>
      </c>
      <c r="BI22" s="122" t="s">
        <v>409</v>
      </c>
      <c r="BJ22" s="118"/>
      <c r="BK22" s="121"/>
      <c r="BL22" s="309">
        <f t="shared" si="14"/>
        <v>0</v>
      </c>
      <c r="BM22" s="310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1136.9000000000001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1136.9000000000001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e">
        <f t="shared" si="79"/>
        <v>#DIV/0!</v>
      </c>
      <c r="O23" s="297">
        <f t="shared" si="80"/>
        <v>0</v>
      </c>
      <c r="P23" s="135">
        <f t="shared" si="4"/>
        <v>1136.9000000000001</v>
      </c>
      <c r="Q23" s="135">
        <f t="shared" ca="1" si="5"/>
        <v>1136.9000000000001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1"/>
        <v/>
      </c>
      <c r="X23" s="113" t="str">
        <f t="shared" si="75"/>
        <v/>
      </c>
      <c r="Y23" s="242">
        <f>IFERROR(VLOOKUP($X23,HomeBroker!$A$2:$F$88,2,0),0)</f>
        <v>0</v>
      </c>
      <c r="Z23" s="242">
        <f>IFERROR(VLOOKUP($X23,HomeBroker!$A$2:$F$88,3,0),0)</f>
        <v>0</v>
      </c>
      <c r="AA23" s="243">
        <f>IFERROR(VLOOKUP($X23,HomeBroker!$A$2:$F$88,6,0),0)</f>
        <v>0</v>
      </c>
      <c r="AB23" s="242">
        <f>IFERROR(VLOOKUP($X23,HomeBroker!$A$2:$F$88,4,0),0)</f>
        <v>0</v>
      </c>
      <c r="AC23" s="242">
        <f>IFERROR(VLOOKUP($X23,HomeBroker!$A$2:$F$88,5,0),0)</f>
        <v>0</v>
      </c>
      <c r="AD23" s="305">
        <f>IFERROR(VLOOKUP($X23,HomeBroker!$A$2:$N$88,14,0),0)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IFERROR(VLOOKUP($AJ23,HomeBroker!$A$2:$F$88,2,0),0)</f>
        <v>0</v>
      </c>
      <c r="AL23" s="242">
        <f>IFERROR(VLOOKUP($AJ23,HomeBroker!$A$2:$F$88,3,0),0)</f>
        <v>0</v>
      </c>
      <c r="AM23" s="243">
        <f>IFERROR(VLOOKUP($AJ23,HomeBroker!$A$2:$F$88,6,0),0)</f>
        <v>0</v>
      </c>
      <c r="AN23" s="242">
        <f>IFERROR(VLOOKUP($AJ23,HomeBroker!$A$2:$F$88,4,0),0)</f>
        <v>0</v>
      </c>
      <c r="AO23" s="114">
        <f>IFERROR(VLOOKUP($AJ23,HomeBroker!$A$2:$F$88,5,0),0)</f>
        <v>0</v>
      </c>
      <c r="AP23" s="115">
        <f>IFERROR(VLOOKUP($AJ23,HomeBroker!$A$2:$N$88,14,0),0)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3">
        <f t="shared" si="10"/>
        <v>0</v>
      </c>
      <c r="BB23" s="304">
        <f t="shared" si="11"/>
        <v>0</v>
      </c>
      <c r="BC23" s="120" t="s">
        <v>408</v>
      </c>
      <c r="BD23" s="118"/>
      <c r="BE23" s="143"/>
      <c r="BF23" s="121"/>
      <c r="BG23" s="306">
        <f t="shared" si="12"/>
        <v>0</v>
      </c>
      <c r="BH23" s="308">
        <f t="shared" si="13"/>
        <v>0</v>
      </c>
      <c r="BI23" s="122" t="s">
        <v>409</v>
      </c>
      <c r="BJ23" s="118"/>
      <c r="BK23" s="121"/>
      <c r="BL23" s="309">
        <f t="shared" si="14"/>
        <v>0</v>
      </c>
      <c r="BM23" s="310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1136.9000000000001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1136.9000000000001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e">
        <f t="shared" si="79"/>
        <v>#DIV/0!</v>
      </c>
      <c r="O24" s="296">
        <f t="shared" si="80"/>
        <v>0</v>
      </c>
      <c r="P24" s="142">
        <f t="shared" si="4"/>
        <v>1136.9000000000001</v>
      </c>
      <c r="Q24" s="142">
        <f t="shared" ca="1" si="5"/>
        <v>1136.9000000000001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1"/>
        <v/>
      </c>
      <c r="X24" s="113" t="str">
        <f t="shared" si="75"/>
        <v/>
      </c>
      <c r="Y24" s="242">
        <f>IFERROR(VLOOKUP($X24,HomeBroker!$A$2:$F$88,2,0),0)</f>
        <v>0</v>
      </c>
      <c r="Z24" s="242">
        <f>IFERROR(VLOOKUP($X24,HomeBroker!$A$2:$F$88,3,0),0)</f>
        <v>0</v>
      </c>
      <c r="AA24" s="243">
        <f>IFERROR(VLOOKUP($X24,HomeBroker!$A$2:$F$88,6,0),0)</f>
        <v>0</v>
      </c>
      <c r="AB24" s="242">
        <f>IFERROR(VLOOKUP($X24,HomeBroker!$A$2:$F$88,4,0),0)</f>
        <v>0</v>
      </c>
      <c r="AC24" s="242">
        <f>IFERROR(VLOOKUP($X24,HomeBroker!$A$2:$F$88,5,0),0)</f>
        <v>0</v>
      </c>
      <c r="AD24" s="305">
        <f>IFERROR(VLOOKUP($X24,HomeBroker!$A$2:$N$88,14,0),0)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IFERROR(VLOOKUP($AJ24,HomeBroker!$A$2:$F$88,2,0),0)</f>
        <v>0</v>
      </c>
      <c r="AL24" s="242">
        <f>IFERROR(VLOOKUP($AJ24,HomeBroker!$A$2:$F$88,3,0),0)</f>
        <v>0</v>
      </c>
      <c r="AM24" s="243">
        <f>IFERROR(VLOOKUP($AJ24,HomeBroker!$A$2:$F$88,6,0),0)</f>
        <v>0</v>
      </c>
      <c r="AN24" s="242">
        <f>IFERROR(VLOOKUP($AJ24,HomeBroker!$A$2:$F$88,4,0),0)</f>
        <v>0</v>
      </c>
      <c r="AO24" s="114">
        <f>IFERROR(VLOOKUP($AJ24,HomeBroker!$A$2:$F$88,5,0),0)</f>
        <v>0</v>
      </c>
      <c r="AP24" s="115">
        <f>IFERROR(VLOOKUP($AJ24,HomeBroker!$A$2:$N$88,14,0),0)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3">
        <f t="shared" si="10"/>
        <v>0</v>
      </c>
      <c r="BB24" s="304">
        <f t="shared" si="11"/>
        <v>0</v>
      </c>
      <c r="BC24" s="120" t="s">
        <v>408</v>
      </c>
      <c r="BD24" s="118"/>
      <c r="BE24" s="143"/>
      <c r="BF24" s="121"/>
      <c r="BG24" s="306">
        <f t="shared" si="12"/>
        <v>0</v>
      </c>
      <c r="BH24" s="308">
        <f t="shared" si="13"/>
        <v>0</v>
      </c>
      <c r="BI24" s="122" t="s">
        <v>409</v>
      </c>
      <c r="BJ24" s="118"/>
      <c r="BK24" s="121"/>
      <c r="BL24" s="309">
        <f t="shared" si="14"/>
        <v>0</v>
      </c>
      <c r="BM24" s="310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1136.9000000000001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1136.9000000000001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96">
        <f t="shared" si="80"/>
        <v>0</v>
      </c>
      <c r="P25" s="135">
        <f t="shared" si="4"/>
        <v>1136.9000000000001</v>
      </c>
      <c r="Q25" s="135">
        <f t="shared" ca="1" si="5"/>
        <v>1136.9000000000001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1"/>
        <v/>
      </c>
      <c r="X25" s="113" t="str">
        <f t="shared" si="75"/>
        <v/>
      </c>
      <c r="Y25" s="242">
        <f>IFERROR(VLOOKUP($X25,HomeBroker!$A$2:$F$88,2,0),0)</f>
        <v>0</v>
      </c>
      <c r="Z25" s="242">
        <f>IFERROR(VLOOKUP($X25,HomeBroker!$A$2:$F$88,3,0),0)</f>
        <v>0</v>
      </c>
      <c r="AA25" s="243">
        <f>IFERROR(VLOOKUP($X25,HomeBroker!$A$2:$F$88,6,0),0)</f>
        <v>0</v>
      </c>
      <c r="AB25" s="242">
        <f>IFERROR(VLOOKUP($X25,HomeBroker!$A$2:$F$88,4,0),0)</f>
        <v>0</v>
      </c>
      <c r="AC25" s="242">
        <f>IFERROR(VLOOKUP($X25,HomeBroker!$A$2:$F$88,5,0),0)</f>
        <v>0</v>
      </c>
      <c r="AD25" s="305">
        <f>IFERROR(VLOOKUP($X25,HomeBroker!$A$2:$N$88,14,0),0)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IFERROR(VLOOKUP($AJ25,HomeBroker!$A$2:$F$88,2,0),0)</f>
        <v>0</v>
      </c>
      <c r="AL25" s="242">
        <f>IFERROR(VLOOKUP($AJ25,HomeBroker!$A$2:$F$88,3,0),0)</f>
        <v>0</v>
      </c>
      <c r="AM25" s="243">
        <f>IFERROR(VLOOKUP($AJ25,HomeBroker!$A$2:$F$88,6,0),0)</f>
        <v>0</v>
      </c>
      <c r="AN25" s="242">
        <f>IFERROR(VLOOKUP($AJ25,HomeBroker!$A$2:$F$88,4,0),0)</f>
        <v>0</v>
      </c>
      <c r="AO25" s="114">
        <f>IFERROR(VLOOKUP($AJ25,HomeBroker!$A$2:$F$88,5,0),0)</f>
        <v>0</v>
      </c>
      <c r="AP25" s="115">
        <f>IFERROR(VLOOKUP($AJ25,HomeBroker!$A$2:$N$88,14,0),0)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3">
        <f t="shared" si="10"/>
        <v>0</v>
      </c>
      <c r="BB25" s="304">
        <f t="shared" si="11"/>
        <v>0</v>
      </c>
      <c r="BC25" s="120" t="s">
        <v>408</v>
      </c>
      <c r="BD25" s="118"/>
      <c r="BE25" s="143"/>
      <c r="BF25" s="121"/>
      <c r="BG25" s="306">
        <f t="shared" si="12"/>
        <v>0</v>
      </c>
      <c r="BH25" s="308">
        <f t="shared" si="13"/>
        <v>0</v>
      </c>
      <c r="BI25" s="122" t="s">
        <v>409</v>
      </c>
      <c r="BJ25" s="118"/>
      <c r="BK25" s="121"/>
      <c r="BL25" s="309">
        <f t="shared" si="14"/>
        <v>0</v>
      </c>
      <c r="BM25" s="310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1136.9000000000001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1136.9000000000001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96">
        <f t="shared" si="80"/>
        <v>0</v>
      </c>
      <c r="P26" s="135">
        <f t="shared" si="4"/>
        <v>1136.9000000000001</v>
      </c>
      <c r="Q26" s="135">
        <f t="shared" ca="1" si="5"/>
        <v>1136.9000000000001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1"/>
        <v/>
      </c>
      <c r="X26" s="113" t="str">
        <f t="shared" si="75"/>
        <v/>
      </c>
      <c r="Y26" s="242">
        <f>IFERROR(VLOOKUP($X26,HomeBroker!$A$2:$F$88,2,0),0)</f>
        <v>0</v>
      </c>
      <c r="Z26" s="242">
        <f>IFERROR(VLOOKUP($X26,HomeBroker!$A$2:$F$88,3,0),0)</f>
        <v>0</v>
      </c>
      <c r="AA26" s="243">
        <f>IFERROR(VLOOKUP($X26,HomeBroker!$A$2:$F$88,6,0),0)</f>
        <v>0</v>
      </c>
      <c r="AB26" s="242">
        <f>IFERROR(VLOOKUP($X26,HomeBroker!$A$2:$F$88,4,0),0)</f>
        <v>0</v>
      </c>
      <c r="AC26" s="242">
        <f>IFERROR(VLOOKUP($X26,HomeBroker!$A$2:$F$88,5,0),0)</f>
        <v>0</v>
      </c>
      <c r="AD26" s="305">
        <f>IFERROR(VLOOKUP($X26,HomeBroker!$A$2:$N$88,14,0),0)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IFERROR(VLOOKUP($AJ26,HomeBroker!$A$2:$F$88,2,0),0)</f>
        <v>0</v>
      </c>
      <c r="AL26" s="242">
        <f>IFERROR(VLOOKUP($AJ26,HomeBroker!$A$2:$F$88,3,0),0)</f>
        <v>0</v>
      </c>
      <c r="AM26" s="243">
        <f>IFERROR(VLOOKUP($AJ26,HomeBroker!$A$2:$F$88,6,0),0)</f>
        <v>0</v>
      </c>
      <c r="AN26" s="242">
        <f>IFERROR(VLOOKUP($AJ26,HomeBroker!$A$2:$F$88,4,0),0)</f>
        <v>0</v>
      </c>
      <c r="AO26" s="114">
        <f>IFERROR(VLOOKUP($AJ26,HomeBroker!$A$2:$F$88,5,0),0)</f>
        <v>0</v>
      </c>
      <c r="AP26" s="115">
        <f>IFERROR(VLOOKUP($AJ26,HomeBroker!$A$2:$N$88,14,0),0)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3">
        <f t="shared" si="10"/>
        <v>0</v>
      </c>
      <c r="BB26" s="304">
        <f t="shared" si="11"/>
        <v>0</v>
      </c>
      <c r="BC26" s="120" t="s">
        <v>408</v>
      </c>
      <c r="BD26" s="118"/>
      <c r="BE26" s="143"/>
      <c r="BF26" s="121"/>
      <c r="BG26" s="306">
        <f t="shared" si="12"/>
        <v>0</v>
      </c>
      <c r="BH26" s="308">
        <f t="shared" si="13"/>
        <v>0</v>
      </c>
      <c r="BI26" s="122" t="s">
        <v>409</v>
      </c>
      <c r="BJ26" s="118"/>
      <c r="BK26" s="121"/>
      <c r="BL26" s="309">
        <f t="shared" si="14"/>
        <v>0</v>
      </c>
      <c r="BM26" s="310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1136.9000000000001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1136.9000000000001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96">
        <f t="shared" si="80"/>
        <v>0</v>
      </c>
      <c r="P27" s="142">
        <f t="shared" si="4"/>
        <v>1136.9000000000001</v>
      </c>
      <c r="Q27" s="142">
        <f t="shared" ca="1" si="5"/>
        <v>1136.9000000000001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1"/>
        <v/>
      </c>
      <c r="X27" s="113" t="str">
        <f t="shared" si="75"/>
        <v/>
      </c>
      <c r="Y27" s="242">
        <f>IFERROR(VLOOKUP($X27,HomeBroker!$A$2:$F$88,2,0),0)</f>
        <v>0</v>
      </c>
      <c r="Z27" s="242">
        <f>IFERROR(VLOOKUP($X27,HomeBroker!$A$2:$F$88,3,0),0)</f>
        <v>0</v>
      </c>
      <c r="AA27" s="243">
        <f>IFERROR(VLOOKUP($X27,HomeBroker!$A$2:$F$88,6,0),0)</f>
        <v>0</v>
      </c>
      <c r="AB27" s="242">
        <f>IFERROR(VLOOKUP($X27,HomeBroker!$A$2:$F$88,4,0),0)</f>
        <v>0</v>
      </c>
      <c r="AC27" s="242">
        <f>IFERROR(VLOOKUP($X27,HomeBroker!$A$2:$F$88,5,0),0)</f>
        <v>0</v>
      </c>
      <c r="AD27" s="305">
        <f>IFERROR(VLOOKUP($X27,HomeBroker!$A$2:$N$88,14,0),0)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IFERROR(VLOOKUP($AJ27,HomeBroker!$A$2:$F$88,2,0),0)</f>
        <v>0</v>
      </c>
      <c r="AL27" s="242">
        <f>IFERROR(VLOOKUP($AJ27,HomeBroker!$A$2:$F$88,3,0),0)</f>
        <v>0</v>
      </c>
      <c r="AM27" s="243">
        <f>IFERROR(VLOOKUP($AJ27,HomeBroker!$A$2:$F$88,6,0),0)</f>
        <v>0</v>
      </c>
      <c r="AN27" s="242">
        <f>IFERROR(VLOOKUP($AJ27,HomeBroker!$A$2:$F$88,4,0),0)</f>
        <v>0</v>
      </c>
      <c r="AO27" s="114">
        <f>IFERROR(VLOOKUP($AJ27,HomeBroker!$A$2:$F$88,5,0),0)</f>
        <v>0</v>
      </c>
      <c r="AP27" s="115">
        <f>IFERROR(VLOOKUP($AJ27,HomeBroker!$A$2:$N$88,14,0),0)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3">
        <f t="shared" si="10"/>
        <v>0</v>
      </c>
      <c r="BB27" s="304">
        <f t="shared" si="11"/>
        <v>0</v>
      </c>
      <c r="BC27" s="120" t="s">
        <v>408</v>
      </c>
      <c r="BD27" s="118"/>
      <c r="BE27" s="143"/>
      <c r="BF27" s="121"/>
      <c r="BG27" s="306">
        <f t="shared" si="12"/>
        <v>0</v>
      </c>
      <c r="BH27" s="308">
        <f t="shared" si="13"/>
        <v>0</v>
      </c>
      <c r="BI27" s="122" t="s">
        <v>409</v>
      </c>
      <c r="BJ27" s="118"/>
      <c r="BK27" s="121"/>
      <c r="BL27" s="309">
        <f t="shared" si="14"/>
        <v>0</v>
      </c>
      <c r="BM27" s="310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1136.9000000000001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1136.9000000000001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96">
        <f t="shared" si="80"/>
        <v>0</v>
      </c>
      <c r="P28" s="135">
        <f t="shared" si="4"/>
        <v>1136.9000000000001</v>
      </c>
      <c r="Q28" s="135">
        <f t="shared" ca="1" si="5"/>
        <v>1136.9000000000001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1"/>
        <v/>
      </c>
      <c r="X28" s="113" t="str">
        <f t="shared" si="75"/>
        <v/>
      </c>
      <c r="Y28" s="242">
        <f>IFERROR(VLOOKUP($X28,HomeBroker!$A$2:$F$88,2,0),0)</f>
        <v>0</v>
      </c>
      <c r="Z28" s="242">
        <f>IFERROR(VLOOKUP($X28,HomeBroker!$A$2:$F$88,3,0),0)</f>
        <v>0</v>
      </c>
      <c r="AA28" s="243">
        <f>IFERROR(VLOOKUP($X28,HomeBroker!$A$2:$F$88,6,0),0)</f>
        <v>0</v>
      </c>
      <c r="AB28" s="242">
        <f>IFERROR(VLOOKUP($X28,HomeBroker!$A$2:$F$88,4,0),0)</f>
        <v>0</v>
      </c>
      <c r="AC28" s="242">
        <f>IFERROR(VLOOKUP($X28,HomeBroker!$A$2:$F$88,5,0),0)</f>
        <v>0</v>
      </c>
      <c r="AD28" s="305">
        <f>IFERROR(VLOOKUP($X28,HomeBroker!$A$2:$N$88,14,0),0)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IFERROR(VLOOKUP($AJ28,HomeBroker!$A$2:$F$88,2,0),0)</f>
        <v>0</v>
      </c>
      <c r="AL28" s="242">
        <f>IFERROR(VLOOKUP($AJ28,HomeBroker!$A$2:$F$88,3,0),0)</f>
        <v>0</v>
      </c>
      <c r="AM28" s="243">
        <f>IFERROR(VLOOKUP($AJ28,HomeBroker!$A$2:$F$88,6,0),0)</f>
        <v>0</v>
      </c>
      <c r="AN28" s="242">
        <f>IFERROR(VLOOKUP($AJ28,HomeBroker!$A$2:$F$88,4,0),0)</f>
        <v>0</v>
      </c>
      <c r="AO28" s="114">
        <f>IFERROR(VLOOKUP($AJ28,HomeBroker!$A$2:$F$88,5,0),0)</f>
        <v>0</v>
      </c>
      <c r="AP28" s="115">
        <f>IFERROR(VLOOKUP($AJ28,HomeBroker!$A$2:$N$88,14,0),0)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3">
        <f t="shared" si="10"/>
        <v>0</v>
      </c>
      <c r="BB28" s="304">
        <f t="shared" si="11"/>
        <v>0</v>
      </c>
      <c r="BC28" s="120" t="s">
        <v>408</v>
      </c>
      <c r="BD28" s="118"/>
      <c r="BE28" s="143"/>
      <c r="BF28" s="121"/>
      <c r="BG28" s="306">
        <f t="shared" si="12"/>
        <v>0</v>
      </c>
      <c r="BH28" s="308">
        <f t="shared" si="13"/>
        <v>0</v>
      </c>
      <c r="BI28" s="122" t="s">
        <v>409</v>
      </c>
      <c r="BJ28" s="118"/>
      <c r="BK28" s="121"/>
      <c r="BL28" s="309">
        <f t="shared" si="14"/>
        <v>0</v>
      </c>
      <c r="BM28" s="310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1136.9000000000001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1136.9000000000001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e">
        <f>+O29/$O$18-1</f>
        <v>#DIV/0!</v>
      </c>
      <c r="O29" s="299">
        <f t="shared" si="80"/>
        <v>0</v>
      </c>
      <c r="P29" s="135">
        <f t="shared" si="4"/>
        <v>1136.9000000000001</v>
      </c>
      <c r="Q29" s="135">
        <f t="shared" ca="1" si="5"/>
        <v>1136.9000000000001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1"/>
        <v/>
      </c>
      <c r="X29" s="113" t="str">
        <f t="shared" si="75"/>
        <v/>
      </c>
      <c r="Y29" s="242">
        <f>IFERROR(VLOOKUP($X29,HomeBroker!$A$2:$F$88,2,0),0)</f>
        <v>0</v>
      </c>
      <c r="Z29" s="242">
        <f>IFERROR(VLOOKUP($X29,HomeBroker!$A$2:$F$88,3,0),0)</f>
        <v>0</v>
      </c>
      <c r="AA29" s="243">
        <f>IFERROR(VLOOKUP($X29,HomeBroker!$A$2:$F$88,6,0),0)</f>
        <v>0</v>
      </c>
      <c r="AB29" s="242">
        <f>IFERROR(VLOOKUP($X29,HomeBroker!$A$2:$F$88,4,0),0)</f>
        <v>0</v>
      </c>
      <c r="AC29" s="242">
        <f>IFERROR(VLOOKUP($X29,HomeBroker!$A$2:$F$88,5,0),0)</f>
        <v>0</v>
      </c>
      <c r="AD29" s="305">
        <f>IFERROR(VLOOKUP($X29,HomeBroker!$A$2:$N$88,14,0),0)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IFERROR(VLOOKUP($AJ29,HomeBroker!$A$2:$F$88,2,0),0)</f>
        <v>0</v>
      </c>
      <c r="AL29" s="242">
        <f>IFERROR(VLOOKUP($AJ29,HomeBroker!$A$2:$F$88,3,0),0)</f>
        <v>0</v>
      </c>
      <c r="AM29" s="243">
        <f>IFERROR(VLOOKUP($AJ29,HomeBroker!$A$2:$F$88,6,0),0)</f>
        <v>0</v>
      </c>
      <c r="AN29" s="242">
        <f>IFERROR(VLOOKUP($AJ29,HomeBroker!$A$2:$F$88,4,0),0)</f>
        <v>0</v>
      </c>
      <c r="AO29" s="114">
        <f>IFERROR(VLOOKUP($AJ29,HomeBroker!$A$2:$F$88,5,0),0)</f>
        <v>0</v>
      </c>
      <c r="AP29" s="115">
        <f>IFERROR(VLOOKUP($AJ29,HomeBroker!$A$2:$N$88,14,0),0)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3">
        <f t="shared" si="10"/>
        <v>0</v>
      </c>
      <c r="BB29" s="304">
        <f t="shared" si="11"/>
        <v>0</v>
      </c>
      <c r="BC29" s="120" t="s">
        <v>408</v>
      </c>
      <c r="BD29" s="118"/>
      <c r="BE29" s="143"/>
      <c r="BF29" s="121"/>
      <c r="BG29" s="306">
        <f t="shared" si="12"/>
        <v>0</v>
      </c>
      <c r="BH29" s="308">
        <f t="shared" si="13"/>
        <v>0</v>
      </c>
      <c r="BI29" s="122" t="s">
        <v>409</v>
      </c>
      <c r="BJ29" s="118"/>
      <c r="BK29" s="121"/>
      <c r="BL29" s="309">
        <f t="shared" si="14"/>
        <v>0</v>
      </c>
      <c r="BM29" s="310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1136.9000000000001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1136.9000000000001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99">
        <f t="shared" si="80"/>
        <v>0</v>
      </c>
      <c r="P30" s="142">
        <f t="shared" si="4"/>
        <v>1136.9000000000001</v>
      </c>
      <c r="Q30" s="142">
        <f t="shared" ca="1" si="5"/>
        <v>1136.9000000000001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1"/>
        <v/>
      </c>
      <c r="X30" s="113" t="str">
        <f t="shared" si="75"/>
        <v/>
      </c>
      <c r="Y30" s="242">
        <f>IFERROR(VLOOKUP($X30,HomeBroker!$A$2:$F$88,2,0),0)</f>
        <v>0</v>
      </c>
      <c r="Z30" s="242">
        <f>IFERROR(VLOOKUP($X30,HomeBroker!$A$2:$F$88,3,0),0)</f>
        <v>0</v>
      </c>
      <c r="AA30" s="243">
        <f>IFERROR(VLOOKUP($X30,HomeBroker!$A$2:$F$88,6,0),0)</f>
        <v>0</v>
      </c>
      <c r="AB30" s="242">
        <f>IFERROR(VLOOKUP($X30,HomeBroker!$A$2:$F$88,4,0),0)</f>
        <v>0</v>
      </c>
      <c r="AC30" s="242">
        <f>IFERROR(VLOOKUP($X30,HomeBroker!$A$2:$F$88,5,0),0)</f>
        <v>0</v>
      </c>
      <c r="AD30" s="305">
        <f>IFERROR(VLOOKUP($X30,HomeBroker!$A$2:$N$88,14,0),0)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IFERROR(VLOOKUP($AJ30,HomeBroker!$A$2:$F$88,2,0),0)</f>
        <v>0</v>
      </c>
      <c r="AL30" s="242">
        <f>IFERROR(VLOOKUP($AJ30,HomeBroker!$A$2:$F$88,3,0),0)</f>
        <v>0</v>
      </c>
      <c r="AM30" s="243">
        <f>IFERROR(VLOOKUP($AJ30,HomeBroker!$A$2:$F$88,6,0),0)</f>
        <v>0</v>
      </c>
      <c r="AN30" s="242">
        <f>IFERROR(VLOOKUP($AJ30,HomeBroker!$A$2:$F$88,4,0),0)</f>
        <v>0</v>
      </c>
      <c r="AO30" s="114">
        <f>IFERROR(VLOOKUP($AJ30,HomeBroker!$A$2:$F$88,5,0),0)</f>
        <v>0</v>
      </c>
      <c r="AP30" s="115">
        <f>IFERROR(VLOOKUP($AJ30,HomeBroker!$A$2:$N$88,14,0),0)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3">
        <f t="shared" si="10"/>
        <v>0</v>
      </c>
      <c r="BB30" s="304">
        <f t="shared" si="11"/>
        <v>0</v>
      </c>
      <c r="BC30" s="120" t="s">
        <v>408</v>
      </c>
      <c r="BD30" s="118"/>
      <c r="BE30" s="143"/>
      <c r="BF30" s="121"/>
      <c r="BG30" s="306">
        <f t="shared" si="12"/>
        <v>0</v>
      </c>
      <c r="BH30" s="308">
        <f t="shared" si="13"/>
        <v>0</v>
      </c>
      <c r="BI30" s="122" t="s">
        <v>409</v>
      </c>
      <c r="BJ30" s="118"/>
      <c r="BK30" s="121"/>
      <c r="BL30" s="309">
        <f t="shared" si="14"/>
        <v>0</v>
      </c>
      <c r="BM30" s="310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1136.9000000000001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1136.9000000000001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99">
        <f t="shared" si="80"/>
        <v>0</v>
      </c>
      <c r="P31" s="135">
        <f t="shared" si="4"/>
        <v>1136.9000000000001</v>
      </c>
      <c r="Q31" s="135">
        <f t="shared" ca="1" si="5"/>
        <v>1136.9000000000001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1"/>
        <v/>
      </c>
      <c r="X31" s="113" t="str">
        <f t="shared" si="75"/>
        <v/>
      </c>
      <c r="Y31" s="242">
        <f>IFERROR(VLOOKUP($X31,HomeBroker!$A$2:$F$88,2,0),0)</f>
        <v>0</v>
      </c>
      <c r="Z31" s="242">
        <f>IFERROR(VLOOKUP($X31,HomeBroker!$A$2:$F$88,3,0),0)</f>
        <v>0</v>
      </c>
      <c r="AA31" s="243">
        <f>IFERROR(VLOOKUP($X31,HomeBroker!$A$2:$F$88,6,0),0)</f>
        <v>0</v>
      </c>
      <c r="AB31" s="242">
        <f>IFERROR(VLOOKUP($X31,HomeBroker!$A$2:$F$88,4,0),0)</f>
        <v>0</v>
      </c>
      <c r="AC31" s="242">
        <f>IFERROR(VLOOKUP($X31,HomeBroker!$A$2:$F$88,5,0),0)</f>
        <v>0</v>
      </c>
      <c r="AD31" s="305">
        <f>IFERROR(VLOOKUP($X31,HomeBroker!$A$2:$N$88,14,0),0)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IFERROR(VLOOKUP($AJ31,HomeBroker!$A$2:$F$88,2,0),0)</f>
        <v>0</v>
      </c>
      <c r="AL31" s="242">
        <f>IFERROR(VLOOKUP($AJ31,HomeBroker!$A$2:$F$88,3,0),0)</f>
        <v>0</v>
      </c>
      <c r="AM31" s="243">
        <f>IFERROR(VLOOKUP($AJ31,HomeBroker!$A$2:$F$88,6,0),0)</f>
        <v>0</v>
      </c>
      <c r="AN31" s="242">
        <f>IFERROR(VLOOKUP($AJ31,HomeBroker!$A$2:$F$88,4,0),0)</f>
        <v>0</v>
      </c>
      <c r="AO31" s="114">
        <f>IFERROR(VLOOKUP($AJ31,HomeBroker!$A$2:$F$88,5,0),0)</f>
        <v>0</v>
      </c>
      <c r="AP31" s="115">
        <f>IFERROR(VLOOKUP($AJ31,HomeBroker!$A$2:$N$88,14,0),0)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3">
        <f t="shared" si="10"/>
        <v>0</v>
      </c>
      <c r="BB31" s="304">
        <f t="shared" si="11"/>
        <v>0</v>
      </c>
      <c r="BC31" s="120" t="s">
        <v>408</v>
      </c>
      <c r="BD31" s="118"/>
      <c r="BE31" s="143"/>
      <c r="BF31" s="121"/>
      <c r="BG31" s="306">
        <f t="shared" si="12"/>
        <v>0</v>
      </c>
      <c r="BH31" s="308">
        <f t="shared" si="13"/>
        <v>0</v>
      </c>
      <c r="BI31" s="122" t="s">
        <v>409</v>
      </c>
      <c r="BJ31" s="118"/>
      <c r="BK31" s="121"/>
      <c r="BL31" s="309">
        <f t="shared" si="14"/>
        <v>0</v>
      </c>
      <c r="BM31" s="310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1136.9000000000001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1136.9000000000001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99">
        <f t="shared" si="80"/>
        <v>0</v>
      </c>
      <c r="P32" s="135">
        <f t="shared" si="4"/>
        <v>1136.9000000000001</v>
      </c>
      <c r="Q32" s="135">
        <f t="shared" ca="1" si="5"/>
        <v>1136.9000000000001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1"/>
        <v/>
      </c>
      <c r="X32" s="113" t="str">
        <f t="shared" si="75"/>
        <v/>
      </c>
      <c r="Y32" s="242">
        <f>IFERROR(VLOOKUP($X32,HomeBroker!$A$2:$F$88,2,0),0)</f>
        <v>0</v>
      </c>
      <c r="Z32" s="242">
        <f>IFERROR(VLOOKUP($X32,HomeBroker!$A$2:$F$88,3,0),0)</f>
        <v>0</v>
      </c>
      <c r="AA32" s="243">
        <f>IFERROR(VLOOKUP($X32,HomeBroker!$A$2:$F$88,6,0),0)</f>
        <v>0</v>
      </c>
      <c r="AB32" s="242">
        <f>IFERROR(VLOOKUP($X32,HomeBroker!$A$2:$F$88,4,0),0)</f>
        <v>0</v>
      </c>
      <c r="AC32" s="242">
        <f>IFERROR(VLOOKUP($X32,HomeBroker!$A$2:$F$88,5,0),0)</f>
        <v>0</v>
      </c>
      <c r="AD32" s="305">
        <f>IFERROR(VLOOKUP($X32,HomeBroker!$A$2:$N$88,14,0),0)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IFERROR(VLOOKUP($AJ32,HomeBroker!$A$2:$F$88,2,0),0)</f>
        <v>0</v>
      </c>
      <c r="AL32" s="242">
        <f>IFERROR(VLOOKUP($AJ32,HomeBroker!$A$2:$F$88,3,0),0)</f>
        <v>0</v>
      </c>
      <c r="AM32" s="243">
        <f>IFERROR(VLOOKUP($AJ32,HomeBroker!$A$2:$F$88,6,0),0)</f>
        <v>0</v>
      </c>
      <c r="AN32" s="242">
        <f>IFERROR(VLOOKUP($AJ32,HomeBroker!$A$2:$F$88,4,0),0)</f>
        <v>0</v>
      </c>
      <c r="AO32" s="114">
        <f>IFERROR(VLOOKUP($AJ32,HomeBroker!$A$2:$F$88,5,0),0)</f>
        <v>0</v>
      </c>
      <c r="AP32" s="115">
        <f>IFERROR(VLOOKUP($AJ32,HomeBroker!$A$2:$N$88,14,0),0)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3">
        <f t="shared" si="10"/>
        <v>0</v>
      </c>
      <c r="BB32" s="304">
        <f t="shared" si="11"/>
        <v>0</v>
      </c>
      <c r="BC32" s="120" t="s">
        <v>408</v>
      </c>
      <c r="BD32" s="118"/>
      <c r="BE32" s="143"/>
      <c r="BF32" s="121"/>
      <c r="BG32" s="306">
        <f t="shared" si="12"/>
        <v>0</v>
      </c>
      <c r="BH32" s="308">
        <f t="shared" si="13"/>
        <v>0</v>
      </c>
      <c r="BI32" s="122" t="s">
        <v>409</v>
      </c>
      <c r="BJ32" s="118"/>
      <c r="BK32" s="121"/>
      <c r="BL32" s="309">
        <f t="shared" si="14"/>
        <v>0</v>
      </c>
      <c r="BM32" s="310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1136.9000000000001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1136.9000000000001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99">
        <f t="shared" si="80"/>
        <v>0</v>
      </c>
      <c r="P33" s="142">
        <f t="shared" si="4"/>
        <v>1136.9000000000001</v>
      </c>
      <c r="Q33" s="142">
        <f t="shared" ca="1" si="5"/>
        <v>1136.9000000000001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1"/>
        <v/>
      </c>
      <c r="X33" s="113" t="str">
        <f t="shared" si="75"/>
        <v/>
      </c>
      <c r="Y33" s="242">
        <f>IFERROR(VLOOKUP($X33,HomeBroker!$A$2:$F$88,2,0),0)</f>
        <v>0</v>
      </c>
      <c r="Z33" s="242">
        <f>IFERROR(VLOOKUP($X33,HomeBroker!$A$2:$F$88,3,0),0)</f>
        <v>0</v>
      </c>
      <c r="AA33" s="243">
        <f>IFERROR(VLOOKUP($X33,HomeBroker!$A$2:$F$88,6,0),0)</f>
        <v>0</v>
      </c>
      <c r="AB33" s="242">
        <f>IFERROR(VLOOKUP($X33,HomeBroker!$A$2:$F$88,4,0),0)</f>
        <v>0</v>
      </c>
      <c r="AC33" s="242">
        <f>IFERROR(VLOOKUP($X33,HomeBroker!$A$2:$F$88,5,0),0)</f>
        <v>0</v>
      </c>
      <c r="AD33" s="305">
        <f>IFERROR(VLOOKUP($X33,HomeBroker!$A$2:$N$88,14,0),0)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IFERROR(VLOOKUP($AJ33,HomeBroker!$A$2:$F$88,2,0),0)</f>
        <v>0</v>
      </c>
      <c r="AL33" s="242">
        <f>IFERROR(VLOOKUP($AJ33,HomeBroker!$A$2:$F$88,3,0),0)</f>
        <v>0</v>
      </c>
      <c r="AM33" s="243">
        <f>IFERROR(VLOOKUP($AJ33,HomeBroker!$A$2:$F$88,6,0),0)</f>
        <v>0</v>
      </c>
      <c r="AN33" s="242">
        <f>IFERROR(VLOOKUP($AJ33,HomeBroker!$A$2:$F$88,4,0),0)</f>
        <v>0</v>
      </c>
      <c r="AO33" s="114">
        <f>IFERROR(VLOOKUP($AJ33,HomeBroker!$A$2:$F$88,5,0),0)</f>
        <v>0</v>
      </c>
      <c r="AP33" s="115">
        <f>IFERROR(VLOOKUP($AJ33,HomeBroker!$A$2:$N$88,14,0),0)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3">
        <f t="shared" si="10"/>
        <v>0</v>
      </c>
      <c r="BB33" s="304">
        <f t="shared" si="11"/>
        <v>0</v>
      </c>
      <c r="BC33" s="120" t="s">
        <v>408</v>
      </c>
      <c r="BD33" s="118"/>
      <c r="BE33" s="143"/>
      <c r="BF33" s="121"/>
      <c r="BG33" s="306">
        <f t="shared" si="12"/>
        <v>0</v>
      </c>
      <c r="BH33" s="308">
        <f t="shared" si="13"/>
        <v>0</v>
      </c>
      <c r="BI33" s="122" t="s">
        <v>409</v>
      </c>
      <c r="BJ33" s="118"/>
      <c r="BK33" s="121"/>
      <c r="BL33" s="309">
        <f t="shared" si="14"/>
        <v>0</v>
      </c>
      <c r="BM33" s="310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1136.9000000000001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1136.9000000000001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0">
        <f t="shared" si="80"/>
        <v>0</v>
      </c>
      <c r="P34" s="154">
        <f t="shared" si="4"/>
        <v>1136.9000000000001</v>
      </c>
      <c r="Q34" s="154">
        <f t="shared" ca="1" si="5"/>
        <v>1136.9000000000001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1"/>
        <v/>
      </c>
      <c r="X34" s="113" t="str">
        <f t="shared" si="75"/>
        <v/>
      </c>
      <c r="Y34" s="242">
        <f>IFERROR(VLOOKUP($X34,HomeBroker!$A$2:$F$88,2,0),0)</f>
        <v>0</v>
      </c>
      <c r="Z34" s="242">
        <f>IFERROR(VLOOKUP($X34,HomeBroker!$A$2:$F$88,3,0),0)</f>
        <v>0</v>
      </c>
      <c r="AA34" s="243">
        <f>IFERROR(VLOOKUP($X34,HomeBroker!$A$2:$F$88,6,0),0)</f>
        <v>0</v>
      </c>
      <c r="AB34" s="242">
        <f>IFERROR(VLOOKUP($X34,HomeBroker!$A$2:$F$88,4,0),0)</f>
        <v>0</v>
      </c>
      <c r="AC34" s="242">
        <f>IFERROR(VLOOKUP($X34,HomeBroker!$A$2:$F$88,5,0),0)</f>
        <v>0</v>
      </c>
      <c r="AD34" s="305">
        <f>IFERROR(VLOOKUP($X34,HomeBroker!$A$2:$N$88,14,0),0)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IFERROR(VLOOKUP($AJ34,HomeBroker!$A$2:$F$88,2,0),0)</f>
        <v>0</v>
      </c>
      <c r="AL34" s="242">
        <f>IFERROR(VLOOKUP($AJ34,HomeBroker!$A$2:$F$88,3,0),0)</f>
        <v>0</v>
      </c>
      <c r="AM34" s="243">
        <f>IFERROR(VLOOKUP($AJ34,HomeBroker!$A$2:$F$88,6,0),0)</f>
        <v>0</v>
      </c>
      <c r="AN34" s="242">
        <f>IFERROR(VLOOKUP($AJ34,HomeBroker!$A$2:$F$88,4,0),0)</f>
        <v>0</v>
      </c>
      <c r="AO34" s="114">
        <f>IFERROR(VLOOKUP($AJ34,HomeBroker!$A$2:$F$88,5,0),0)</f>
        <v>0</v>
      </c>
      <c r="AP34" s="115">
        <f>IFERROR(VLOOKUP($AJ34,HomeBroker!$A$2:$N$88,14,0),0)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3">
        <f t="shared" si="10"/>
        <v>0</v>
      </c>
      <c r="BB34" s="304">
        <f t="shared" si="11"/>
        <v>0</v>
      </c>
      <c r="BC34" s="120" t="s">
        <v>408</v>
      </c>
      <c r="BD34" s="118"/>
      <c r="BE34" s="143"/>
      <c r="BF34" s="121"/>
      <c r="BG34" s="306">
        <f t="shared" si="12"/>
        <v>0</v>
      </c>
      <c r="BH34" s="308">
        <f t="shared" si="13"/>
        <v>0</v>
      </c>
      <c r="BI34" s="122" t="s">
        <v>409</v>
      </c>
      <c r="BJ34" s="118"/>
      <c r="BK34" s="121"/>
      <c r="BL34" s="309">
        <f t="shared" si="14"/>
        <v>0</v>
      </c>
      <c r="BM34" s="310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1136.9000000000001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1136.9000000000001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1"/>
        <v/>
      </c>
      <c r="X35" s="113" t="str">
        <f t="shared" si="75"/>
        <v/>
      </c>
      <c r="Y35" s="242">
        <f>IFERROR(VLOOKUP($X35,HomeBroker!$A$2:$F$88,2,0),0)</f>
        <v>0</v>
      </c>
      <c r="Z35" s="242">
        <f>IFERROR(VLOOKUP($X35,HomeBroker!$A$2:$F$88,3,0),0)</f>
        <v>0</v>
      </c>
      <c r="AA35" s="243">
        <f>IFERROR(VLOOKUP($X35,HomeBroker!$A$2:$F$88,6,0),0)</f>
        <v>0</v>
      </c>
      <c r="AB35" s="242">
        <f>IFERROR(VLOOKUP($X35,HomeBroker!$A$2:$F$88,4,0),0)</f>
        <v>0</v>
      </c>
      <c r="AC35" s="242">
        <f>IFERROR(VLOOKUP($X35,HomeBroker!$A$2:$F$88,5,0),0)</f>
        <v>0</v>
      </c>
      <c r="AD35" s="305">
        <f>IFERROR(VLOOKUP($X35,HomeBroker!$A$2:$N$88,14,0),0)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IFERROR(VLOOKUP($AJ35,HomeBroker!$A$2:$F$88,2,0),0)</f>
        <v>0</v>
      </c>
      <c r="AL35" s="242">
        <f>IFERROR(VLOOKUP($AJ35,HomeBroker!$A$2:$F$88,3,0),0)</f>
        <v>0</v>
      </c>
      <c r="AM35" s="243">
        <f>IFERROR(VLOOKUP($AJ35,HomeBroker!$A$2:$F$88,6,0),0)</f>
        <v>0</v>
      </c>
      <c r="AN35" s="242">
        <f>IFERROR(VLOOKUP($AJ35,HomeBroker!$A$2:$F$88,4,0),0)</f>
        <v>0</v>
      </c>
      <c r="AO35" s="114">
        <f>IFERROR(VLOOKUP($AJ35,HomeBroker!$A$2:$F$88,5,0),0)</f>
        <v>0</v>
      </c>
      <c r="AP35" s="115">
        <f>IFERROR(VLOOKUP($AJ35,HomeBroker!$A$2:$N$88,14,0),0)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3">
        <f t="shared" si="10"/>
        <v>0</v>
      </c>
      <c r="BB35" s="304">
        <f t="shared" si="11"/>
        <v>0</v>
      </c>
      <c r="BC35" s="120" t="s">
        <v>408</v>
      </c>
      <c r="BD35" s="118"/>
      <c r="BE35" s="143"/>
      <c r="BF35" s="121"/>
      <c r="BG35" s="306">
        <f t="shared" si="12"/>
        <v>0</v>
      </c>
      <c r="BH35" s="308">
        <f t="shared" si="13"/>
        <v>0</v>
      </c>
      <c r="BI35" s="122" t="s">
        <v>409</v>
      </c>
      <c r="BJ35" s="118"/>
      <c r="BK35" s="121"/>
      <c r="BL35" s="309">
        <f t="shared" si="14"/>
        <v>0</v>
      </c>
      <c r="BM35" s="310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677" t="s">
        <v>450</v>
      </c>
      <c r="O36" s="654"/>
      <c r="P36" s="655"/>
      <c r="Q36" s="165">
        <f>SUM(BB:BB)+SUM(BH:BH)+SUM(BM:BM)+$F$76</f>
        <v>1136.8976000000002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1"/>
        <v/>
      </c>
      <c r="X36" s="113" t="str">
        <f t="shared" si="75"/>
        <v/>
      </c>
      <c r="Y36" s="242">
        <f>IFERROR(VLOOKUP($X36,HomeBroker!$A$2:$F$88,2,0),0)</f>
        <v>0</v>
      </c>
      <c r="Z36" s="242">
        <f>IFERROR(VLOOKUP($X36,HomeBroker!$A$2:$F$88,3,0),0)</f>
        <v>0</v>
      </c>
      <c r="AA36" s="243">
        <f>IFERROR(VLOOKUP($X36,HomeBroker!$A$2:$F$88,6,0),0)</f>
        <v>0</v>
      </c>
      <c r="AB36" s="242">
        <f>IFERROR(VLOOKUP($X36,HomeBroker!$A$2:$F$88,4,0),0)</f>
        <v>0</v>
      </c>
      <c r="AC36" s="242">
        <f>IFERROR(VLOOKUP($X36,HomeBroker!$A$2:$F$88,5,0),0)</f>
        <v>0</v>
      </c>
      <c r="AD36" s="305">
        <f>IFERROR(VLOOKUP($X36,HomeBroker!$A$2:$N$88,14,0),0)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IFERROR(VLOOKUP($AJ36,HomeBroker!$A$2:$F$88,2,0),0)</f>
        <v>0</v>
      </c>
      <c r="AL36" s="242">
        <f>IFERROR(VLOOKUP($AJ36,HomeBroker!$A$2:$F$88,3,0),0)</f>
        <v>0</v>
      </c>
      <c r="AM36" s="243">
        <f>IFERROR(VLOOKUP($AJ36,HomeBroker!$A$2:$F$88,6,0),0)</f>
        <v>0</v>
      </c>
      <c r="AN36" s="242">
        <f>IFERROR(VLOOKUP($AJ36,HomeBroker!$A$2:$F$88,4,0),0)</f>
        <v>0</v>
      </c>
      <c r="AO36" s="114">
        <f>IFERROR(VLOOKUP($AJ36,HomeBroker!$A$2:$F$88,5,0),0)</f>
        <v>0</v>
      </c>
      <c r="AP36" s="115">
        <f>IFERROR(VLOOKUP($AJ36,HomeBroker!$A$2:$N$88,14,0),0)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3">
        <f t="shared" si="10"/>
        <v>0</v>
      </c>
      <c r="BB36" s="304">
        <f t="shared" si="11"/>
        <v>0</v>
      </c>
      <c r="BC36" s="120" t="s">
        <v>408</v>
      </c>
      <c r="BD36" s="118"/>
      <c r="BE36" s="143"/>
      <c r="BF36" s="121"/>
      <c r="BG36" s="306">
        <f t="shared" si="12"/>
        <v>0</v>
      </c>
      <c r="BH36" s="308">
        <f t="shared" si="13"/>
        <v>0</v>
      </c>
      <c r="BI36" s="122" t="s">
        <v>409</v>
      </c>
      <c r="BJ36" s="118"/>
      <c r="BK36" s="121"/>
      <c r="BL36" s="309">
        <f t="shared" si="14"/>
        <v>0</v>
      </c>
      <c r="BM36" s="310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677" t="s">
        <v>451</v>
      </c>
      <c r="O37" s="654"/>
      <c r="P37" s="655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1136.8976000000002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1"/>
        <v/>
      </c>
      <c r="X37" s="113" t="str">
        <f t="shared" si="75"/>
        <v/>
      </c>
      <c r="Y37" s="242">
        <f>IFERROR(VLOOKUP($X37,HomeBroker!$A$2:$F$88,2,0),0)</f>
        <v>0</v>
      </c>
      <c r="Z37" s="242">
        <f>IFERROR(VLOOKUP($X37,HomeBroker!$A$2:$F$88,3,0),0)</f>
        <v>0</v>
      </c>
      <c r="AA37" s="243">
        <f>IFERROR(VLOOKUP($X37,HomeBroker!$A$2:$F$88,6,0),0)</f>
        <v>0</v>
      </c>
      <c r="AB37" s="242">
        <f>IFERROR(VLOOKUP($X37,HomeBroker!$A$2:$F$88,4,0),0)</f>
        <v>0</v>
      </c>
      <c r="AC37" s="242">
        <f>IFERROR(VLOOKUP($X37,HomeBroker!$A$2:$F$88,5,0),0)</f>
        <v>0</v>
      </c>
      <c r="AD37" s="305">
        <f>IFERROR(VLOOKUP($X37,HomeBroker!$A$2:$N$88,14,0),0)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IFERROR(VLOOKUP($AJ37,HomeBroker!$A$2:$F$88,2,0),0)</f>
        <v>0</v>
      </c>
      <c r="AL37" s="242">
        <f>IFERROR(VLOOKUP($AJ37,HomeBroker!$A$2:$F$88,3,0),0)</f>
        <v>0</v>
      </c>
      <c r="AM37" s="243">
        <f>IFERROR(VLOOKUP($AJ37,HomeBroker!$A$2:$F$88,6,0),0)</f>
        <v>0</v>
      </c>
      <c r="AN37" s="242">
        <f>IFERROR(VLOOKUP($AJ37,HomeBroker!$A$2:$F$88,4,0),0)</f>
        <v>0</v>
      </c>
      <c r="AO37" s="114">
        <f>IFERROR(VLOOKUP($AJ37,HomeBroker!$A$2:$F$88,5,0),0)</f>
        <v>0</v>
      </c>
      <c r="AP37" s="115">
        <f>IFERROR(VLOOKUP($AJ37,HomeBroker!$A$2:$N$88,14,0),0)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3">
        <f t="shared" si="10"/>
        <v>0</v>
      </c>
      <c r="BB37" s="304">
        <f t="shared" si="11"/>
        <v>0</v>
      </c>
      <c r="BC37" s="120" t="s">
        <v>408</v>
      </c>
      <c r="BD37" s="118"/>
      <c r="BE37" s="143"/>
      <c r="BF37" s="121"/>
      <c r="BG37" s="306">
        <f t="shared" si="12"/>
        <v>0</v>
      </c>
      <c r="BH37" s="308">
        <f t="shared" si="13"/>
        <v>0</v>
      </c>
      <c r="BI37" s="122" t="s">
        <v>409</v>
      </c>
      <c r="BJ37" s="118"/>
      <c r="BK37" s="121"/>
      <c r="BL37" s="309">
        <f t="shared" si="14"/>
        <v>0</v>
      </c>
      <c r="BM37" s="310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678" t="s">
        <v>452</v>
      </c>
      <c r="O38" s="654"/>
      <c r="P38" s="655"/>
      <c r="Q38" s="174">
        <f>SUM(T3:T42)</f>
        <v>-1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1"/>
        <v/>
      </c>
      <c r="X38" s="113" t="str">
        <f t="shared" si="75"/>
        <v/>
      </c>
      <c r="Y38" s="242">
        <f>IFERROR(VLOOKUP($X38,HomeBroker!$A$2:$F$88,2,0),0)</f>
        <v>0</v>
      </c>
      <c r="Z38" s="242">
        <f>IFERROR(VLOOKUP($X38,HomeBroker!$A$2:$F$88,3,0),0)</f>
        <v>0</v>
      </c>
      <c r="AA38" s="243">
        <f>IFERROR(VLOOKUP($X38,HomeBroker!$A$2:$F$88,6,0),0)</f>
        <v>0</v>
      </c>
      <c r="AB38" s="242">
        <f>IFERROR(VLOOKUP($X38,HomeBroker!$A$2:$F$88,4,0),0)</f>
        <v>0</v>
      </c>
      <c r="AC38" s="242">
        <f>IFERROR(VLOOKUP($X38,HomeBroker!$A$2:$F$88,5,0),0)</f>
        <v>0</v>
      </c>
      <c r="AD38" s="305">
        <f>IFERROR(VLOOKUP($X38,HomeBroker!$A$2:$N$88,14,0),0)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IFERROR(VLOOKUP($AJ38,HomeBroker!$A$2:$F$88,2,0),0)</f>
        <v>0</v>
      </c>
      <c r="AL38" s="242">
        <f>IFERROR(VLOOKUP($AJ38,HomeBroker!$A$2:$F$88,3,0),0)</f>
        <v>0</v>
      </c>
      <c r="AM38" s="243">
        <f>IFERROR(VLOOKUP($AJ38,HomeBroker!$A$2:$F$88,6,0),0)</f>
        <v>0</v>
      </c>
      <c r="AN38" s="242">
        <f>IFERROR(VLOOKUP($AJ38,HomeBroker!$A$2:$F$88,4,0),0)</f>
        <v>0</v>
      </c>
      <c r="AO38" s="114">
        <f>IFERROR(VLOOKUP($AJ38,HomeBroker!$A$2:$F$88,5,0),0)</f>
        <v>0</v>
      </c>
      <c r="AP38" s="115">
        <f>IFERROR(VLOOKUP($AJ38,HomeBroker!$A$2:$N$88,14,0),0)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3">
        <f t="shared" si="10"/>
        <v>0</v>
      </c>
      <c r="BB38" s="304">
        <f t="shared" si="11"/>
        <v>0</v>
      </c>
      <c r="BC38" s="177" t="s">
        <v>408</v>
      </c>
      <c r="BD38" s="118"/>
      <c r="BE38" s="143"/>
      <c r="BF38" s="121"/>
      <c r="BG38" s="306">
        <f t="shared" si="12"/>
        <v>0</v>
      </c>
      <c r="BH38" s="308">
        <f t="shared" si="13"/>
        <v>0</v>
      </c>
      <c r="BI38" s="178" t="s">
        <v>409</v>
      </c>
      <c r="BJ38" s="118"/>
      <c r="BK38" s="121"/>
      <c r="BL38" s="309">
        <f t="shared" si="14"/>
        <v>0</v>
      </c>
      <c r="BM38" s="310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679" t="s">
        <v>453</v>
      </c>
      <c r="O39" s="654"/>
      <c r="P39" s="655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1"/>
        <v/>
      </c>
      <c r="X39" s="113" t="str">
        <f t="shared" si="75"/>
        <v/>
      </c>
      <c r="Y39" s="242">
        <f>IFERROR(VLOOKUP($X39,HomeBroker!$A$2:$F$88,2,0),0)</f>
        <v>0</v>
      </c>
      <c r="Z39" s="242">
        <f>IFERROR(VLOOKUP($X39,HomeBroker!$A$2:$F$88,3,0),0)</f>
        <v>0</v>
      </c>
      <c r="AA39" s="243">
        <f>IFERROR(VLOOKUP($X39,HomeBroker!$A$2:$F$88,6,0),0)</f>
        <v>0</v>
      </c>
      <c r="AB39" s="242">
        <f>IFERROR(VLOOKUP($X39,HomeBroker!$A$2:$F$88,4,0),0)</f>
        <v>0</v>
      </c>
      <c r="AC39" s="242">
        <f>IFERROR(VLOOKUP($X39,HomeBroker!$A$2:$F$88,5,0),0)</f>
        <v>0</v>
      </c>
      <c r="AD39" s="305">
        <f>IFERROR(VLOOKUP($X39,HomeBroker!$A$2:$N$88,14,0),0)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IFERROR(VLOOKUP($AJ39,HomeBroker!$A$2:$F$88,2,0),0)</f>
        <v>0</v>
      </c>
      <c r="AL39" s="242">
        <f>IFERROR(VLOOKUP($AJ39,HomeBroker!$A$2:$F$88,3,0),0)</f>
        <v>0</v>
      </c>
      <c r="AM39" s="243">
        <f>IFERROR(VLOOKUP($AJ39,HomeBroker!$A$2:$F$88,6,0),0)</f>
        <v>0</v>
      </c>
      <c r="AN39" s="242">
        <f>IFERROR(VLOOKUP($AJ39,HomeBroker!$A$2:$F$88,4,0),0)</f>
        <v>0</v>
      </c>
      <c r="AO39" s="114">
        <f>IFERROR(VLOOKUP($AJ39,HomeBroker!$A$2:$F$88,5,0),0)</f>
        <v>0</v>
      </c>
      <c r="AP39" s="115">
        <f>IFERROR(VLOOKUP($AJ39,HomeBroker!$A$2:$N$88,14,0),0)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3">
        <f t="shared" si="10"/>
        <v>0</v>
      </c>
      <c r="BB39" s="304">
        <f t="shared" si="11"/>
        <v>0</v>
      </c>
      <c r="BC39" s="177" t="s">
        <v>408</v>
      </c>
      <c r="BD39" s="118"/>
      <c r="BE39" s="143"/>
      <c r="BF39" s="121"/>
      <c r="BG39" s="306">
        <f t="shared" si="12"/>
        <v>0</v>
      </c>
      <c r="BH39" s="308">
        <f t="shared" si="13"/>
        <v>0</v>
      </c>
      <c r="BI39" s="178" t="s">
        <v>409</v>
      </c>
      <c r="BJ39" s="118"/>
      <c r="BK39" s="121"/>
      <c r="BL39" s="309">
        <f t="shared" si="14"/>
        <v>0</v>
      </c>
      <c r="BM39" s="310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674" t="s">
        <v>0</v>
      </c>
      <c r="O40" s="654"/>
      <c r="P40" s="655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1"/>
        <v/>
      </c>
      <c r="X40" s="113" t="str">
        <f t="shared" si="75"/>
        <v/>
      </c>
      <c r="Y40" s="242">
        <f>IFERROR(VLOOKUP($X40,HomeBroker!$A$2:$F$88,2,0),0)</f>
        <v>0</v>
      </c>
      <c r="Z40" s="242">
        <f>IFERROR(VLOOKUP($X40,HomeBroker!$A$2:$F$88,3,0),0)</f>
        <v>0</v>
      </c>
      <c r="AA40" s="243">
        <f>IFERROR(VLOOKUP($X40,HomeBroker!$A$2:$F$88,6,0),0)</f>
        <v>0</v>
      </c>
      <c r="AB40" s="242">
        <f>IFERROR(VLOOKUP($X40,HomeBroker!$A$2:$F$88,4,0),0)</f>
        <v>0</v>
      </c>
      <c r="AC40" s="242">
        <f>IFERROR(VLOOKUP($X40,HomeBroker!$A$2:$F$88,5,0),0)</f>
        <v>0</v>
      </c>
      <c r="AD40" s="305">
        <f>IFERROR(VLOOKUP($X40,HomeBroker!$A$2:$N$88,14,0),0)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IFERROR(VLOOKUP($AJ40,HomeBroker!$A$2:$F$88,2,0),0)</f>
        <v>0</v>
      </c>
      <c r="AL40" s="242">
        <f>IFERROR(VLOOKUP($AJ40,HomeBroker!$A$2:$F$88,3,0),0)</f>
        <v>0</v>
      </c>
      <c r="AM40" s="243">
        <f>IFERROR(VLOOKUP($AJ40,HomeBroker!$A$2:$F$88,6,0),0)</f>
        <v>0</v>
      </c>
      <c r="AN40" s="242">
        <f>IFERROR(VLOOKUP($AJ40,HomeBroker!$A$2:$F$88,4,0),0)</f>
        <v>0</v>
      </c>
      <c r="AO40" s="114">
        <f>IFERROR(VLOOKUP($AJ40,HomeBroker!$A$2:$F$88,5,0),0)</f>
        <v>0</v>
      </c>
      <c r="AP40" s="115">
        <f>IFERROR(VLOOKUP($AJ40,HomeBroker!$A$2:$N$88,14,0),0)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3">
        <f t="shared" si="10"/>
        <v>0</v>
      </c>
      <c r="BB40" s="304">
        <f t="shared" si="11"/>
        <v>0</v>
      </c>
      <c r="BC40" s="177" t="s">
        <v>408</v>
      </c>
      <c r="BD40" s="118"/>
      <c r="BE40" s="143"/>
      <c r="BF40" s="121"/>
      <c r="BG40" s="306">
        <f t="shared" si="12"/>
        <v>0</v>
      </c>
      <c r="BH40" s="308">
        <f t="shared" si="13"/>
        <v>0</v>
      </c>
      <c r="BI40" s="178" t="s">
        <v>409</v>
      </c>
      <c r="BJ40" s="118"/>
      <c r="BK40" s="121"/>
      <c r="BL40" s="309">
        <f t="shared" si="14"/>
        <v>0</v>
      </c>
      <c r="BM40" s="310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1"/>
        <v/>
      </c>
      <c r="X41" s="113" t="str">
        <f t="shared" si="75"/>
        <v/>
      </c>
      <c r="Y41" s="242">
        <f>IFERROR(VLOOKUP($X41,HomeBroker!$A$2:$F$88,2,0),0)</f>
        <v>0</v>
      </c>
      <c r="Z41" s="242">
        <f>IFERROR(VLOOKUP($X41,HomeBroker!$A$2:$F$88,3,0),0)</f>
        <v>0</v>
      </c>
      <c r="AA41" s="243">
        <f>IFERROR(VLOOKUP($X41,HomeBroker!$A$2:$F$88,6,0),0)</f>
        <v>0</v>
      </c>
      <c r="AB41" s="242">
        <f>IFERROR(VLOOKUP($X41,HomeBroker!$A$2:$F$88,4,0),0)</f>
        <v>0</v>
      </c>
      <c r="AC41" s="242">
        <f>IFERROR(VLOOKUP($X41,HomeBroker!$A$2:$F$88,5,0),0)</f>
        <v>0</v>
      </c>
      <c r="AD41" s="305">
        <f>IFERROR(VLOOKUP($X41,HomeBroker!$A$2:$N$88,14,0),0)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IFERROR(VLOOKUP($AJ41,HomeBroker!$A$2:$F$88,2,0),0)</f>
        <v>0</v>
      </c>
      <c r="AL41" s="242">
        <f>IFERROR(VLOOKUP($AJ41,HomeBroker!$A$2:$F$88,3,0),0)</f>
        <v>0</v>
      </c>
      <c r="AM41" s="243">
        <f>IFERROR(VLOOKUP($AJ41,HomeBroker!$A$2:$F$88,6,0),0)</f>
        <v>0</v>
      </c>
      <c r="AN41" s="242">
        <f>IFERROR(VLOOKUP($AJ41,HomeBroker!$A$2:$F$88,4,0),0)</f>
        <v>0</v>
      </c>
      <c r="AO41" s="114">
        <f>IFERROR(VLOOKUP($AJ41,HomeBroker!$A$2:$F$88,5,0),0)</f>
        <v>0</v>
      </c>
      <c r="AP41" s="115">
        <f>IFERROR(VLOOKUP($AJ41,HomeBroker!$A$2:$N$88,14,0),0)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3">
        <f t="shared" si="10"/>
        <v>0</v>
      </c>
      <c r="BB41" s="304">
        <f t="shared" si="11"/>
        <v>0</v>
      </c>
      <c r="BC41" s="177" t="s">
        <v>408</v>
      </c>
      <c r="BD41" s="118"/>
      <c r="BE41" s="143"/>
      <c r="BF41" s="121"/>
      <c r="BG41" s="306">
        <f t="shared" si="12"/>
        <v>0</v>
      </c>
      <c r="BH41" s="308">
        <f t="shared" si="13"/>
        <v>0</v>
      </c>
      <c r="BI41" s="178" t="s">
        <v>409</v>
      </c>
      <c r="BJ41" s="118"/>
      <c r="BK41" s="121"/>
      <c r="BL41" s="309">
        <f t="shared" si="14"/>
        <v>0</v>
      </c>
      <c r="BM41" s="310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658" t="s">
        <v>454</v>
      </c>
      <c r="O42" s="654"/>
      <c r="P42" s="655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1"/>
        <v/>
      </c>
      <c r="X42" s="113" t="str">
        <f t="shared" si="75"/>
        <v/>
      </c>
      <c r="Y42" s="242">
        <f>IFERROR(VLOOKUP($X42,HomeBroker!$A$2:$F$88,2,0),0)</f>
        <v>0</v>
      </c>
      <c r="Z42" s="242">
        <f>IFERROR(VLOOKUP($X42,HomeBroker!$A$2:$F$88,3,0),0)</f>
        <v>0</v>
      </c>
      <c r="AA42" s="243">
        <f>IFERROR(VLOOKUP($X42,HomeBroker!$A$2:$F$88,6,0),0)</f>
        <v>0</v>
      </c>
      <c r="AB42" s="242">
        <f>IFERROR(VLOOKUP($X42,HomeBroker!$A$2:$F$88,4,0),0)</f>
        <v>0</v>
      </c>
      <c r="AC42" s="242">
        <f>IFERROR(VLOOKUP($X42,HomeBroker!$A$2:$F$88,5,0),0)</f>
        <v>0</v>
      </c>
      <c r="AD42" s="305">
        <f>IFERROR(VLOOKUP($X42,HomeBroker!$A$2:$N$88,14,0),0)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IFERROR(VLOOKUP($AJ42,HomeBroker!$A$2:$F$88,2,0),0)</f>
        <v>0</v>
      </c>
      <c r="AL42" s="242">
        <f>IFERROR(VLOOKUP($AJ42,HomeBroker!$A$2:$F$88,3,0),0)</f>
        <v>0</v>
      </c>
      <c r="AM42" s="243">
        <f>IFERROR(VLOOKUP($AJ42,HomeBroker!$A$2:$F$88,6,0),0)</f>
        <v>0</v>
      </c>
      <c r="AN42" s="242">
        <f>IFERROR(VLOOKUP($AJ42,HomeBroker!$A$2:$F$88,4,0),0)</f>
        <v>0</v>
      </c>
      <c r="AO42" s="114">
        <f>IFERROR(VLOOKUP($AJ42,HomeBroker!$A$2:$F$88,5,0),0)</f>
        <v>0</v>
      </c>
      <c r="AP42" s="115">
        <f>IFERROR(VLOOKUP($AJ42,HomeBroker!$A$2:$N$88,14,0),0)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3">
        <f t="shared" si="10"/>
        <v>0</v>
      </c>
      <c r="BB42" s="304">
        <f t="shared" si="11"/>
        <v>0</v>
      </c>
      <c r="BC42" s="177" t="s">
        <v>408</v>
      </c>
      <c r="BD42" s="118"/>
      <c r="BE42" s="143"/>
      <c r="BF42" s="121"/>
      <c r="BG42" s="306">
        <f t="shared" si="12"/>
        <v>0</v>
      </c>
      <c r="BH42" s="308">
        <f t="shared" si="13"/>
        <v>0</v>
      </c>
      <c r="BI42" s="178" t="s">
        <v>409</v>
      </c>
      <c r="BJ42" s="118"/>
      <c r="BK42" s="121"/>
      <c r="BL42" s="309">
        <f t="shared" si="14"/>
        <v>0</v>
      </c>
      <c r="BM42" s="310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569</v>
      </c>
      <c r="R43" s="62"/>
      <c r="S43" s="659" t="s">
        <v>409</v>
      </c>
      <c r="T43" s="660"/>
      <c r="U43" s="660"/>
      <c r="V43" s="660"/>
      <c r="W43" s="660"/>
      <c r="X43" s="660"/>
      <c r="Y43" s="660"/>
      <c r="Z43" s="660"/>
      <c r="AA43" s="660"/>
      <c r="AB43" s="660"/>
      <c r="AC43" s="660"/>
      <c r="AD43" s="661"/>
      <c r="AE43" s="665">
        <f>SUMIFS(BJ:BJ,BI:BI,S43)</f>
        <v>0</v>
      </c>
      <c r="AF43" s="665"/>
      <c r="AG43" s="665"/>
      <c r="AH43" s="665"/>
      <c r="AI43" s="665"/>
      <c r="AJ43" s="665"/>
      <c r="AK43" s="665"/>
      <c r="AL43" s="665"/>
      <c r="AM43" s="665"/>
      <c r="AN43" s="665"/>
      <c r="AO43" s="665"/>
      <c r="AP43" s="666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3">
        <f t="shared" si="10"/>
        <v>0</v>
      </c>
      <c r="BB43" s="304">
        <f t="shared" si="11"/>
        <v>0</v>
      </c>
      <c r="BC43" s="177" t="s">
        <v>408</v>
      </c>
      <c r="BD43" s="118"/>
      <c r="BE43" s="143"/>
      <c r="BF43" s="121"/>
      <c r="BG43" s="306">
        <f t="shared" si="12"/>
        <v>0</v>
      </c>
      <c r="BH43" s="308">
        <f t="shared" si="13"/>
        <v>0</v>
      </c>
      <c r="BI43" s="178" t="s">
        <v>409</v>
      </c>
      <c r="BJ43" s="118"/>
      <c r="BK43" s="121"/>
      <c r="BL43" s="309">
        <f t="shared" si="14"/>
        <v>0</v>
      </c>
      <c r="BM43" s="310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656" t="s">
        <v>458</v>
      </c>
      <c r="O44" s="654"/>
      <c r="P44" s="655"/>
      <c r="Q44" s="188"/>
      <c r="R44" s="62"/>
      <c r="S44" s="662"/>
      <c r="T44" s="663"/>
      <c r="U44" s="663"/>
      <c r="V44" s="663"/>
      <c r="W44" s="663"/>
      <c r="X44" s="663"/>
      <c r="Y44" s="663"/>
      <c r="Z44" s="663"/>
      <c r="AA44" s="663"/>
      <c r="AB44" s="663"/>
      <c r="AC44" s="663"/>
      <c r="AD44" s="664"/>
      <c r="AE44" s="667"/>
      <c r="AF44" s="667"/>
      <c r="AG44" s="667"/>
      <c r="AH44" s="667"/>
      <c r="AI44" s="667"/>
      <c r="AJ44" s="667"/>
      <c r="AK44" s="667"/>
      <c r="AL44" s="667"/>
      <c r="AM44" s="667"/>
      <c r="AN44" s="667"/>
      <c r="AO44" s="667"/>
      <c r="AP44" s="668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3">
        <f t="shared" si="10"/>
        <v>0</v>
      </c>
      <c r="BB44" s="304">
        <f t="shared" si="11"/>
        <v>0</v>
      </c>
      <c r="BC44" s="177" t="s">
        <v>408</v>
      </c>
      <c r="BD44" s="118"/>
      <c r="BE44" s="143"/>
      <c r="BF44" s="121"/>
      <c r="BG44" s="306">
        <f t="shared" si="12"/>
        <v>0</v>
      </c>
      <c r="BH44" s="308">
        <f t="shared" si="13"/>
        <v>0</v>
      </c>
      <c r="BI44" s="178" t="s">
        <v>409</v>
      </c>
      <c r="BJ44" s="118"/>
      <c r="BK44" s="121"/>
      <c r="BL44" s="309">
        <f t="shared" si="14"/>
        <v>0</v>
      </c>
      <c r="BM44" s="310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669" t="s">
        <v>459</v>
      </c>
      <c r="O45" s="654"/>
      <c r="P45" s="655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3">
        <f t="shared" si="10"/>
        <v>0</v>
      </c>
      <c r="BB45" s="304">
        <f t="shared" si="11"/>
        <v>0</v>
      </c>
      <c r="BC45" s="177" t="s">
        <v>408</v>
      </c>
      <c r="BD45" s="118"/>
      <c r="BE45" s="143"/>
      <c r="BF45" s="121"/>
      <c r="BG45" s="306">
        <f t="shared" si="12"/>
        <v>0</v>
      </c>
      <c r="BH45" s="308">
        <f t="shared" si="13"/>
        <v>0</v>
      </c>
      <c r="BI45" s="178" t="s">
        <v>409</v>
      </c>
      <c r="BJ45" s="118"/>
      <c r="BK45" s="121"/>
      <c r="BL45" s="309">
        <f t="shared" si="14"/>
        <v>0</v>
      </c>
      <c r="BM45" s="310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673" t="s">
        <v>460</v>
      </c>
      <c r="O46" s="654"/>
      <c r="P46" s="655"/>
      <c r="Q46" s="193">
        <f>Q48</f>
        <v>0.71200000000000008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3">
        <f t="shared" si="10"/>
        <v>0</v>
      </c>
      <c r="BB46" s="304">
        <f t="shared" si="11"/>
        <v>0</v>
      </c>
      <c r="BC46" s="177" t="s">
        <v>408</v>
      </c>
      <c r="BD46" s="118"/>
      <c r="BE46" s="143"/>
      <c r="BF46" s="121"/>
      <c r="BG46" s="306">
        <f t="shared" si="12"/>
        <v>0</v>
      </c>
      <c r="BH46" s="308">
        <f t="shared" si="13"/>
        <v>0</v>
      </c>
      <c r="BI46" s="178" t="s">
        <v>409</v>
      </c>
      <c r="BJ46" s="118"/>
      <c r="BK46" s="121"/>
      <c r="BL46" s="309">
        <f t="shared" si="14"/>
        <v>0</v>
      </c>
      <c r="BM46" s="310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653" t="s">
        <v>461</v>
      </c>
      <c r="O47" s="654"/>
      <c r="P47" s="655"/>
      <c r="Q47" s="193">
        <f>Q46</f>
        <v>0.71200000000000008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3">
        <f t="shared" si="10"/>
        <v>0</v>
      </c>
      <c r="BB47" s="304">
        <f t="shared" si="11"/>
        <v>0</v>
      </c>
      <c r="BC47" s="177" t="s">
        <v>408</v>
      </c>
      <c r="BD47" s="118"/>
      <c r="BE47" s="143"/>
      <c r="BF47" s="121"/>
      <c r="BG47" s="306">
        <f t="shared" si="12"/>
        <v>0</v>
      </c>
      <c r="BH47" s="308">
        <f t="shared" si="13"/>
        <v>0</v>
      </c>
      <c r="BI47" s="178" t="s">
        <v>409</v>
      </c>
      <c r="BJ47" s="118"/>
      <c r="BK47" s="121"/>
      <c r="BL47" s="309">
        <f t="shared" si="14"/>
        <v>0</v>
      </c>
      <c r="BM47" s="310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656" t="s">
        <v>462</v>
      </c>
      <c r="O48" s="654"/>
      <c r="P48" s="655"/>
      <c r="Q48" s="193">
        <f>HomeBroker!AE1*365</f>
        <v>0.71200000000000008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3">
        <f t="shared" si="10"/>
        <v>0</v>
      </c>
      <c r="BB48" s="304">
        <f t="shared" si="11"/>
        <v>0</v>
      </c>
      <c r="BC48" s="177" t="s">
        <v>408</v>
      </c>
      <c r="BD48" s="118"/>
      <c r="BE48" s="143"/>
      <c r="BF48" s="121"/>
      <c r="BG48" s="306">
        <f t="shared" si="12"/>
        <v>0</v>
      </c>
      <c r="BH48" s="308">
        <f t="shared" si="13"/>
        <v>0</v>
      </c>
      <c r="BI48" s="178" t="s">
        <v>409</v>
      </c>
      <c r="BJ48" s="118"/>
      <c r="BK48" s="121"/>
      <c r="BL48" s="309">
        <f t="shared" si="14"/>
        <v>0</v>
      </c>
      <c r="BM48" s="310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657" t="s">
        <v>463</v>
      </c>
      <c r="O49" s="654"/>
      <c r="P49" s="655"/>
      <c r="Q49" s="194">
        <v>45280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3">
        <f t="shared" si="10"/>
        <v>0</v>
      </c>
      <c r="BB49" s="304">
        <f t="shared" si="11"/>
        <v>0</v>
      </c>
      <c r="BC49" s="177" t="s">
        <v>408</v>
      </c>
      <c r="BD49" s="118"/>
      <c r="BE49" s="143"/>
      <c r="BF49" s="121"/>
      <c r="BG49" s="306">
        <f t="shared" si="12"/>
        <v>0</v>
      </c>
      <c r="BH49" s="308">
        <f t="shared" si="13"/>
        <v>0</v>
      </c>
      <c r="BI49" s="178" t="s">
        <v>409</v>
      </c>
      <c r="BJ49" s="118"/>
      <c r="BK49" s="121"/>
      <c r="BL49" s="309">
        <f t="shared" si="14"/>
        <v>0</v>
      </c>
      <c r="BM49" s="310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657" t="s">
        <v>464</v>
      </c>
      <c r="O50" s="654"/>
      <c r="P50" s="655"/>
      <c r="Q50" s="195">
        <f ca="1">Q49-TODAY()-Q44</f>
        <v>7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3">
        <f t="shared" si="10"/>
        <v>0</v>
      </c>
      <c r="BB50" s="304">
        <f t="shared" si="11"/>
        <v>0</v>
      </c>
      <c r="BC50" s="177" t="s">
        <v>408</v>
      </c>
      <c r="BD50" s="118"/>
      <c r="BE50" s="143"/>
      <c r="BF50" s="121"/>
      <c r="BG50" s="306">
        <f t="shared" si="12"/>
        <v>0</v>
      </c>
      <c r="BH50" s="308">
        <f t="shared" si="13"/>
        <v>0</v>
      </c>
      <c r="BI50" s="178" t="s">
        <v>409</v>
      </c>
      <c r="BJ50" s="118"/>
      <c r="BK50" s="121"/>
      <c r="BL50" s="309">
        <f t="shared" si="14"/>
        <v>0</v>
      </c>
      <c r="BM50" s="310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657" t="s">
        <v>465</v>
      </c>
      <c r="O51" s="654"/>
      <c r="P51" s="655"/>
      <c r="Q51" s="196">
        <f ca="1">Q50/365</f>
        <v>1.9178082191780823E-2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3">
        <f t="shared" si="10"/>
        <v>0</v>
      </c>
      <c r="BB51" s="304">
        <f t="shared" si="11"/>
        <v>0</v>
      </c>
      <c r="BC51" s="177" t="s">
        <v>408</v>
      </c>
      <c r="BD51" s="118"/>
      <c r="BE51" s="143"/>
      <c r="BF51" s="121"/>
      <c r="BG51" s="306">
        <f t="shared" si="12"/>
        <v>0</v>
      </c>
      <c r="BH51" s="308">
        <f t="shared" si="13"/>
        <v>0</v>
      </c>
      <c r="BI51" s="178" t="s">
        <v>409</v>
      </c>
      <c r="BJ51" s="118"/>
      <c r="BK51" s="121"/>
      <c r="BL51" s="309">
        <f t="shared" si="14"/>
        <v>0</v>
      </c>
      <c r="BM51" s="310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658" t="s">
        <v>0</v>
      </c>
      <c r="O52" s="654"/>
      <c r="P52" s="655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3">
        <f t="shared" si="10"/>
        <v>0</v>
      </c>
      <c r="BB52" s="304">
        <f t="shared" si="11"/>
        <v>0</v>
      </c>
      <c r="BC52" s="177" t="s">
        <v>408</v>
      </c>
      <c r="BD52" s="118"/>
      <c r="BE52" s="143"/>
      <c r="BF52" s="121"/>
      <c r="BG52" s="306">
        <f t="shared" si="12"/>
        <v>0</v>
      </c>
      <c r="BH52" s="308">
        <f t="shared" si="13"/>
        <v>0</v>
      </c>
      <c r="BI52" s="178" t="s">
        <v>409</v>
      </c>
      <c r="BJ52" s="118"/>
      <c r="BK52" s="121"/>
      <c r="BL52" s="309">
        <f t="shared" si="14"/>
        <v>0</v>
      </c>
      <c r="BM52" s="310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670" t="s">
        <v>1</v>
      </c>
      <c r="O53" s="671"/>
      <c r="P53" s="672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3">
        <f t="shared" si="10"/>
        <v>0</v>
      </c>
      <c r="BB53" s="304">
        <f t="shared" si="11"/>
        <v>0</v>
      </c>
      <c r="BC53" s="177" t="s">
        <v>408</v>
      </c>
      <c r="BD53" s="118"/>
      <c r="BE53" s="143"/>
      <c r="BF53" s="121"/>
      <c r="BG53" s="306">
        <f t="shared" si="12"/>
        <v>0</v>
      </c>
      <c r="BH53" s="308">
        <f t="shared" si="13"/>
        <v>0</v>
      </c>
      <c r="BI53" s="178" t="s">
        <v>409</v>
      </c>
      <c r="BJ53" s="118"/>
      <c r="BK53" s="121"/>
      <c r="BL53" s="309">
        <f t="shared" si="14"/>
        <v>0</v>
      </c>
      <c r="BM53" s="310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3">
        <f t="shared" si="10"/>
        <v>0</v>
      </c>
      <c r="BB54" s="304">
        <f t="shared" si="11"/>
        <v>0</v>
      </c>
      <c r="BC54" s="177" t="s">
        <v>408</v>
      </c>
      <c r="BD54" s="118"/>
      <c r="BE54" s="143"/>
      <c r="BF54" s="121"/>
      <c r="BG54" s="306">
        <f t="shared" si="12"/>
        <v>0</v>
      </c>
      <c r="BH54" s="308">
        <f t="shared" si="13"/>
        <v>0</v>
      </c>
      <c r="BI54" s="178" t="s">
        <v>409</v>
      </c>
      <c r="BJ54" s="118"/>
      <c r="BK54" s="121"/>
      <c r="BL54" s="309">
        <f t="shared" si="14"/>
        <v>0</v>
      </c>
      <c r="BM54" s="310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3">
        <f t="shared" si="10"/>
        <v>0</v>
      </c>
      <c r="BB55" s="304">
        <f t="shared" si="11"/>
        <v>0</v>
      </c>
      <c r="BC55" s="177" t="s">
        <v>408</v>
      </c>
      <c r="BD55" s="118"/>
      <c r="BE55" s="143"/>
      <c r="BF55" s="121"/>
      <c r="BG55" s="306">
        <f t="shared" si="12"/>
        <v>0</v>
      </c>
      <c r="BH55" s="308">
        <f t="shared" si="13"/>
        <v>0</v>
      </c>
      <c r="BI55" s="178" t="s">
        <v>409</v>
      </c>
      <c r="BJ55" s="118"/>
      <c r="BK55" s="121"/>
      <c r="BL55" s="309">
        <f t="shared" si="14"/>
        <v>0</v>
      </c>
      <c r="BM55" s="310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3">
        <f t="shared" si="10"/>
        <v>0</v>
      </c>
      <c r="BB56" s="304">
        <f t="shared" si="11"/>
        <v>0</v>
      </c>
      <c r="BC56" s="177" t="s">
        <v>408</v>
      </c>
      <c r="BD56" s="118"/>
      <c r="BE56" s="143"/>
      <c r="BF56" s="121"/>
      <c r="BG56" s="306">
        <f t="shared" si="12"/>
        <v>0</v>
      </c>
      <c r="BH56" s="308">
        <f t="shared" si="13"/>
        <v>0</v>
      </c>
      <c r="BI56" s="178" t="s">
        <v>409</v>
      </c>
      <c r="BJ56" s="118"/>
      <c r="BK56" s="121"/>
      <c r="BL56" s="309">
        <f t="shared" si="14"/>
        <v>0</v>
      </c>
      <c r="BM56" s="310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3">
        <f t="shared" si="10"/>
        <v>0</v>
      </c>
      <c r="BB57" s="304">
        <f t="shared" si="11"/>
        <v>0</v>
      </c>
      <c r="BC57" s="177" t="s">
        <v>408</v>
      </c>
      <c r="BD57" s="118"/>
      <c r="BE57" s="143"/>
      <c r="BF57" s="121"/>
      <c r="BG57" s="306">
        <f t="shared" si="12"/>
        <v>0</v>
      </c>
      <c r="BH57" s="308">
        <f t="shared" si="13"/>
        <v>0</v>
      </c>
      <c r="BI57" s="178" t="s">
        <v>409</v>
      </c>
      <c r="BJ57" s="118"/>
      <c r="BK57" s="121"/>
      <c r="BL57" s="309">
        <f t="shared" si="14"/>
        <v>0</v>
      </c>
      <c r="BM57" s="310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3">
        <f t="shared" si="10"/>
        <v>0</v>
      </c>
      <c r="BB58" s="304">
        <f t="shared" si="11"/>
        <v>0</v>
      </c>
      <c r="BC58" s="177" t="s">
        <v>408</v>
      </c>
      <c r="BD58" s="118"/>
      <c r="BE58" s="143"/>
      <c r="BF58" s="121"/>
      <c r="BG58" s="306">
        <f t="shared" si="12"/>
        <v>0</v>
      </c>
      <c r="BH58" s="308">
        <f t="shared" si="13"/>
        <v>0</v>
      </c>
      <c r="BI58" s="178" t="s">
        <v>409</v>
      </c>
      <c r="BJ58" s="118"/>
      <c r="BK58" s="121"/>
      <c r="BL58" s="309">
        <f t="shared" si="14"/>
        <v>0</v>
      </c>
      <c r="BM58" s="310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3">
        <f t="shared" si="10"/>
        <v>0</v>
      </c>
      <c r="BB59" s="304">
        <f t="shared" si="11"/>
        <v>0</v>
      </c>
      <c r="BC59" s="177" t="s">
        <v>408</v>
      </c>
      <c r="BD59" s="118"/>
      <c r="BE59" s="143"/>
      <c r="BF59" s="121"/>
      <c r="BG59" s="306">
        <f t="shared" si="12"/>
        <v>0</v>
      </c>
      <c r="BH59" s="308">
        <f t="shared" si="13"/>
        <v>0</v>
      </c>
      <c r="BI59" s="178" t="s">
        <v>409</v>
      </c>
      <c r="BJ59" s="118"/>
      <c r="BK59" s="121"/>
      <c r="BL59" s="309">
        <f t="shared" si="14"/>
        <v>0</v>
      </c>
      <c r="BM59" s="310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3">
        <f t="shared" si="10"/>
        <v>0</v>
      </c>
      <c r="BB60" s="304">
        <f t="shared" si="11"/>
        <v>0</v>
      </c>
      <c r="BC60" s="177" t="s">
        <v>408</v>
      </c>
      <c r="BD60" s="118"/>
      <c r="BE60" s="143"/>
      <c r="BF60" s="121"/>
      <c r="BG60" s="306">
        <f t="shared" si="12"/>
        <v>0</v>
      </c>
      <c r="BH60" s="308">
        <f t="shared" si="13"/>
        <v>0</v>
      </c>
      <c r="BI60" s="178" t="s">
        <v>409</v>
      </c>
      <c r="BJ60" s="118"/>
      <c r="BK60" s="121"/>
      <c r="BL60" s="309">
        <f t="shared" si="14"/>
        <v>0</v>
      </c>
      <c r="BM60" s="310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3">
        <f t="shared" si="10"/>
        <v>0</v>
      </c>
      <c r="BB61" s="304">
        <f t="shared" si="11"/>
        <v>0</v>
      </c>
      <c r="BC61" s="177" t="s">
        <v>408</v>
      </c>
      <c r="BD61" s="118"/>
      <c r="BE61" s="143"/>
      <c r="BF61" s="121"/>
      <c r="BG61" s="306">
        <f t="shared" si="12"/>
        <v>0</v>
      </c>
      <c r="BH61" s="308">
        <f t="shared" si="13"/>
        <v>0</v>
      </c>
      <c r="BI61" s="178" t="s">
        <v>409</v>
      </c>
      <c r="BJ61" s="118"/>
      <c r="BK61" s="121"/>
      <c r="BL61" s="309">
        <f t="shared" si="14"/>
        <v>0</v>
      </c>
      <c r="BM61" s="310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3">
        <f t="shared" si="10"/>
        <v>0</v>
      </c>
      <c r="BB62" s="304">
        <f t="shared" si="11"/>
        <v>0</v>
      </c>
      <c r="BC62" s="177" t="s">
        <v>408</v>
      </c>
      <c r="BD62" s="118"/>
      <c r="BE62" s="143"/>
      <c r="BF62" s="121"/>
      <c r="BG62" s="306">
        <f t="shared" si="12"/>
        <v>0</v>
      </c>
      <c r="BH62" s="308">
        <f t="shared" si="13"/>
        <v>0</v>
      </c>
      <c r="BI62" s="178" t="s">
        <v>409</v>
      </c>
      <c r="BJ62" s="118"/>
      <c r="BK62" s="121"/>
      <c r="BL62" s="309">
        <f t="shared" si="14"/>
        <v>0</v>
      </c>
      <c r="BM62" s="310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3">
        <f t="shared" si="10"/>
        <v>0</v>
      </c>
      <c r="BB63" s="304">
        <f t="shared" si="11"/>
        <v>0</v>
      </c>
      <c r="BC63" s="177" t="s">
        <v>408</v>
      </c>
      <c r="BD63" s="118"/>
      <c r="BE63" s="143"/>
      <c r="BF63" s="121"/>
      <c r="BG63" s="306">
        <f t="shared" si="12"/>
        <v>0</v>
      </c>
      <c r="BH63" s="308">
        <f t="shared" si="13"/>
        <v>0</v>
      </c>
      <c r="BI63" s="178" t="s">
        <v>409</v>
      </c>
      <c r="BJ63" s="118"/>
      <c r="BK63" s="121"/>
      <c r="BL63" s="309">
        <f t="shared" si="14"/>
        <v>0</v>
      </c>
      <c r="BM63" s="310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3">
        <f t="shared" si="10"/>
        <v>0</v>
      </c>
      <c r="BB64" s="304">
        <f t="shared" si="11"/>
        <v>0</v>
      </c>
      <c r="BC64" s="177" t="s">
        <v>408</v>
      </c>
      <c r="BD64" s="118"/>
      <c r="BE64" s="143"/>
      <c r="BF64" s="121"/>
      <c r="BG64" s="306">
        <f t="shared" si="12"/>
        <v>0</v>
      </c>
      <c r="BH64" s="308">
        <f t="shared" si="13"/>
        <v>0</v>
      </c>
      <c r="BI64" s="178" t="s">
        <v>409</v>
      </c>
      <c r="BJ64" s="118"/>
      <c r="BK64" s="121"/>
      <c r="BL64" s="309">
        <f t="shared" si="14"/>
        <v>0</v>
      </c>
      <c r="BM64" s="310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3">
        <f t="shared" si="10"/>
        <v>0</v>
      </c>
      <c r="BB65" s="304">
        <f t="shared" si="11"/>
        <v>0</v>
      </c>
      <c r="BC65" s="177" t="s">
        <v>408</v>
      </c>
      <c r="BD65" s="118"/>
      <c r="BE65" s="143"/>
      <c r="BF65" s="121"/>
      <c r="BG65" s="306">
        <f t="shared" si="12"/>
        <v>0</v>
      </c>
      <c r="BH65" s="308">
        <f t="shared" si="13"/>
        <v>0</v>
      </c>
      <c r="BI65" s="178" t="s">
        <v>409</v>
      </c>
      <c r="BJ65" s="118"/>
      <c r="BK65" s="121"/>
      <c r="BL65" s="309">
        <f t="shared" si="14"/>
        <v>0</v>
      </c>
      <c r="BM65" s="310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3">
        <f t="shared" si="10"/>
        <v>0</v>
      </c>
      <c r="BB66" s="304">
        <f t="shared" si="11"/>
        <v>0</v>
      </c>
      <c r="BC66" s="177" t="s">
        <v>408</v>
      </c>
      <c r="BD66" s="118"/>
      <c r="BE66" s="143"/>
      <c r="BF66" s="121"/>
      <c r="BG66" s="306">
        <f t="shared" si="12"/>
        <v>0</v>
      </c>
      <c r="BH66" s="308">
        <f t="shared" si="13"/>
        <v>0</v>
      </c>
      <c r="BI66" s="178" t="s">
        <v>409</v>
      </c>
      <c r="BJ66" s="118"/>
      <c r="BK66" s="121"/>
      <c r="BL66" s="309">
        <f t="shared" si="14"/>
        <v>0</v>
      </c>
      <c r="BM66" s="310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3">
        <f t="shared" si="10"/>
        <v>0</v>
      </c>
      <c r="BB67" s="304">
        <f t="shared" si="11"/>
        <v>0</v>
      </c>
      <c r="BC67" s="177" t="s">
        <v>408</v>
      </c>
      <c r="BD67" s="118"/>
      <c r="BE67" s="143"/>
      <c r="BF67" s="121"/>
      <c r="BG67" s="306">
        <f t="shared" si="12"/>
        <v>0</v>
      </c>
      <c r="BH67" s="308">
        <f t="shared" si="13"/>
        <v>0</v>
      </c>
      <c r="BI67" s="178" t="s">
        <v>409</v>
      </c>
      <c r="BJ67" s="118"/>
      <c r="BK67" s="121"/>
      <c r="BL67" s="309">
        <f t="shared" si="14"/>
        <v>0</v>
      </c>
      <c r="BM67" s="310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3">
        <f t="shared" si="10"/>
        <v>0</v>
      </c>
      <c r="BB68" s="304">
        <f t="shared" si="11"/>
        <v>0</v>
      </c>
      <c r="BC68" s="177" t="s">
        <v>408</v>
      </c>
      <c r="BD68" s="118"/>
      <c r="BE68" s="143"/>
      <c r="BF68" s="121"/>
      <c r="BG68" s="306">
        <f t="shared" si="12"/>
        <v>0</v>
      </c>
      <c r="BH68" s="308">
        <f t="shared" si="13"/>
        <v>0</v>
      </c>
      <c r="BI68" s="178" t="s">
        <v>409</v>
      </c>
      <c r="BJ68" s="118"/>
      <c r="BK68" s="121"/>
      <c r="BL68" s="309">
        <f t="shared" si="14"/>
        <v>0</v>
      </c>
      <c r="BM68" s="310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3">
        <f t="shared" si="10"/>
        <v>0</v>
      </c>
      <c r="BB69" s="304">
        <f t="shared" si="11"/>
        <v>0</v>
      </c>
      <c r="BC69" s="177" t="s">
        <v>408</v>
      </c>
      <c r="BD69" s="118"/>
      <c r="BE69" s="143"/>
      <c r="BF69" s="121"/>
      <c r="BG69" s="306">
        <f t="shared" si="12"/>
        <v>0</v>
      </c>
      <c r="BH69" s="308">
        <f t="shared" si="13"/>
        <v>0</v>
      </c>
      <c r="BI69" s="178" t="s">
        <v>409</v>
      </c>
      <c r="BJ69" s="118"/>
      <c r="BK69" s="121"/>
      <c r="BL69" s="309">
        <f t="shared" si="14"/>
        <v>0</v>
      </c>
      <c r="BM69" s="310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3">
        <f t="shared" si="10"/>
        <v>0</v>
      </c>
      <c r="BB70" s="304">
        <f t="shared" si="11"/>
        <v>0</v>
      </c>
      <c r="BC70" s="177" t="s">
        <v>408</v>
      </c>
      <c r="BD70" s="118"/>
      <c r="BE70" s="143"/>
      <c r="BF70" s="121"/>
      <c r="BG70" s="306">
        <f t="shared" si="12"/>
        <v>0</v>
      </c>
      <c r="BH70" s="308">
        <f t="shared" si="13"/>
        <v>0</v>
      </c>
      <c r="BI70" s="178" t="s">
        <v>409</v>
      </c>
      <c r="BJ70" s="118"/>
      <c r="BK70" s="121"/>
      <c r="BL70" s="309">
        <f t="shared" si="14"/>
        <v>0</v>
      </c>
      <c r="BM70" s="310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3">
        <f t="shared" si="10"/>
        <v>0</v>
      </c>
      <c r="BB71" s="304">
        <f t="shared" si="11"/>
        <v>0</v>
      </c>
      <c r="BC71" s="177" t="s">
        <v>408</v>
      </c>
      <c r="BD71" s="118"/>
      <c r="BE71" s="143"/>
      <c r="BF71" s="121"/>
      <c r="BG71" s="306">
        <f t="shared" si="12"/>
        <v>0</v>
      </c>
      <c r="BH71" s="308">
        <f t="shared" si="13"/>
        <v>0</v>
      </c>
      <c r="BI71" s="178" t="s">
        <v>409</v>
      </c>
      <c r="BJ71" s="118"/>
      <c r="BK71" s="121"/>
      <c r="BL71" s="309">
        <f t="shared" si="14"/>
        <v>0</v>
      </c>
      <c r="BM71" s="310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3">
        <f t="shared" si="10"/>
        <v>0</v>
      </c>
      <c r="BB72" s="304">
        <f t="shared" si="11"/>
        <v>0</v>
      </c>
      <c r="BC72" s="177" t="s">
        <v>408</v>
      </c>
      <c r="BD72" s="118"/>
      <c r="BE72" s="143"/>
      <c r="BF72" s="121"/>
      <c r="BG72" s="306">
        <f t="shared" si="12"/>
        <v>0</v>
      </c>
      <c r="BH72" s="308">
        <f t="shared" si="13"/>
        <v>0</v>
      </c>
      <c r="BI72" s="178" t="s">
        <v>409</v>
      </c>
      <c r="BJ72" s="118"/>
      <c r="BK72" s="121"/>
      <c r="BL72" s="309">
        <f t="shared" si="14"/>
        <v>0</v>
      </c>
      <c r="BM72" s="310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650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1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3">
        <f t="shared" si="10"/>
        <v>0</v>
      </c>
      <c r="BB73" s="304">
        <f t="shared" si="11"/>
        <v>0</v>
      </c>
      <c r="BC73" s="177" t="s">
        <v>408</v>
      </c>
      <c r="BD73" s="118"/>
      <c r="BE73" s="143"/>
      <c r="BF73" s="121"/>
      <c r="BG73" s="306">
        <f t="shared" si="12"/>
        <v>0</v>
      </c>
      <c r="BH73" s="308">
        <f t="shared" si="13"/>
        <v>0</v>
      </c>
      <c r="BI73" s="178" t="s">
        <v>409</v>
      </c>
      <c r="BJ73" s="118"/>
      <c r="BK73" s="121"/>
      <c r="BL73" s="309">
        <f t="shared" si="14"/>
        <v>0</v>
      </c>
      <c r="BM73" s="310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651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1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3">
        <f t="shared" si="10"/>
        <v>0</v>
      </c>
      <c r="BB74" s="304">
        <f t="shared" si="11"/>
        <v>0</v>
      </c>
      <c r="BC74" s="177" t="s">
        <v>408</v>
      </c>
      <c r="BD74" s="118"/>
      <c r="BE74" s="143"/>
      <c r="BF74" s="121"/>
      <c r="BG74" s="306">
        <f t="shared" si="12"/>
        <v>0</v>
      </c>
      <c r="BH74" s="308">
        <f t="shared" si="13"/>
        <v>0</v>
      </c>
      <c r="BI74" s="178" t="s">
        <v>409</v>
      </c>
      <c r="BJ74" s="118"/>
      <c r="BK74" s="121"/>
      <c r="BL74" s="309">
        <f t="shared" si="14"/>
        <v>0</v>
      </c>
      <c r="BM74" s="310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652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2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3">
        <f t="shared" si="10"/>
        <v>0</v>
      </c>
      <c r="BB75" s="304">
        <f t="shared" si="11"/>
        <v>0</v>
      </c>
      <c r="BC75" s="177" t="s">
        <v>408</v>
      </c>
      <c r="BD75" s="118"/>
      <c r="BE75" s="143"/>
      <c r="BF75" s="121"/>
      <c r="BG75" s="306">
        <f t="shared" si="12"/>
        <v>0</v>
      </c>
      <c r="BH75" s="308">
        <f t="shared" si="13"/>
        <v>0</v>
      </c>
      <c r="BI75" s="178" t="s">
        <v>409</v>
      </c>
      <c r="BJ75" s="118"/>
      <c r="BK75" s="121"/>
      <c r="BL75" s="309">
        <f t="shared" si="14"/>
        <v>0</v>
      </c>
      <c r="BM75" s="310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3">
        <f>IFERROR(VLOOKUP("GGAL - 48hs",HomeBroker!$A$2:$F$88,6,0),0)</f>
        <v>0</v>
      </c>
      <c r="C76" s="228"/>
      <c r="D76" s="229" t="s">
        <v>467</v>
      </c>
      <c r="E76" s="230">
        <f>SUM(E3:E75)</f>
        <v>1400</v>
      </c>
      <c r="F76" s="231">
        <f>SUM(F3:F75)</f>
        <v>1136.8976000000002</v>
      </c>
      <c r="G76" s="232"/>
      <c r="H76" s="233"/>
      <c r="I76" s="234">
        <f>SUM(I3:I75)</f>
        <v>1136.8976000000002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3">
        <f t="shared" si="10"/>
        <v>0</v>
      </c>
      <c r="BB76" s="304">
        <f t="shared" si="11"/>
        <v>0</v>
      </c>
      <c r="BC76" s="177" t="s">
        <v>408</v>
      </c>
      <c r="BD76" s="118"/>
      <c r="BE76" s="143"/>
      <c r="BF76" s="121"/>
      <c r="BG76" s="306">
        <f t="shared" si="12"/>
        <v>0</v>
      </c>
      <c r="BH76" s="308">
        <f t="shared" si="13"/>
        <v>0</v>
      </c>
      <c r="BI76" s="178" t="s">
        <v>409</v>
      </c>
      <c r="BJ76" s="118"/>
      <c r="BK76" s="121"/>
      <c r="BL76" s="309">
        <f t="shared" si="14"/>
        <v>0</v>
      </c>
      <c r="BM76" s="310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2808" priority="355">
      <formula>T3&gt;0</formula>
    </cfRule>
  </conditionalFormatting>
  <conditionalFormatting sqref="AG3:AG42 U3:U42">
    <cfRule type="expression" dxfId="2807" priority="356">
      <formula>T3&lt;0</formula>
    </cfRule>
  </conditionalFormatting>
  <conditionalFormatting sqref="P3:Q34">
    <cfRule type="cellIs" dxfId="2806" priority="357" operator="greaterThan">
      <formula>0</formula>
    </cfRule>
  </conditionalFormatting>
  <conditionalFormatting sqref="P3:Q34">
    <cfRule type="cellIs" dxfId="2805" priority="358" operator="lessThan">
      <formula>0</formula>
    </cfRule>
  </conditionalFormatting>
  <conditionalFormatting sqref="B73:B74 B17:B18 B20:B30 AF3:AF17">
    <cfRule type="cellIs" dxfId="2804" priority="359" operator="greaterThan">
      <formula>0</formula>
    </cfRule>
  </conditionalFormatting>
  <conditionalFormatting sqref="B73:B74 B17:B18 B20:B30 AF3:AF17">
    <cfRule type="cellIs" dxfId="2803" priority="360" operator="lessThan">
      <formula>0</formula>
    </cfRule>
  </conditionalFormatting>
  <conditionalFormatting sqref="BD61:BD76">
    <cfRule type="cellIs" dxfId="2802" priority="361" operator="greaterThan">
      <formula>0</formula>
    </cfRule>
  </conditionalFormatting>
  <conditionalFormatting sqref="BD61:BD76">
    <cfRule type="cellIs" dxfId="2801" priority="362" operator="lessThan">
      <formula>0</formula>
    </cfRule>
  </conditionalFormatting>
  <conditionalFormatting sqref="BD6:BD8">
    <cfRule type="cellIs" dxfId="2800" priority="363" operator="greaterThan">
      <formula>0</formula>
    </cfRule>
  </conditionalFormatting>
  <conditionalFormatting sqref="BD6:BD8">
    <cfRule type="cellIs" dxfId="2799" priority="364" operator="lessThan">
      <formula>0</formula>
    </cfRule>
  </conditionalFormatting>
  <conditionalFormatting sqref="B43 B17:B18 B41 B20:B30 T3:T42 AF3:AF42">
    <cfRule type="cellIs" dxfId="2798" priority="365" operator="greaterThan">
      <formula>0</formula>
    </cfRule>
  </conditionalFormatting>
  <conditionalFormatting sqref="B43 B17:B18 B41 B20:B30 T3:T42 AF3:AF42">
    <cfRule type="cellIs" dxfId="2797" priority="366" operator="lessThan">
      <formula>0</formula>
    </cfRule>
  </conditionalFormatting>
  <conditionalFormatting sqref="B30">
    <cfRule type="cellIs" dxfId="2796" priority="367" operator="greaterThan">
      <formula>0</formula>
    </cfRule>
  </conditionalFormatting>
  <conditionalFormatting sqref="B30">
    <cfRule type="cellIs" dxfId="2795" priority="368" operator="lessThan">
      <formula>0</formula>
    </cfRule>
  </conditionalFormatting>
  <conditionalFormatting sqref="B75">
    <cfRule type="cellIs" dxfId="2794" priority="369" operator="greaterThan">
      <formula>0</formula>
    </cfRule>
  </conditionalFormatting>
  <conditionalFormatting sqref="B75">
    <cfRule type="cellIs" dxfId="2793" priority="370" operator="lessThan">
      <formula>0</formula>
    </cfRule>
  </conditionalFormatting>
  <conditionalFormatting sqref="BD9">
    <cfRule type="cellIs" dxfId="2792" priority="371" operator="greaterThan">
      <formula>0</formula>
    </cfRule>
  </conditionalFormatting>
  <conditionalFormatting sqref="BD9">
    <cfRule type="cellIs" dxfId="2791" priority="372" operator="lessThan">
      <formula>0</formula>
    </cfRule>
  </conditionalFormatting>
  <conditionalFormatting sqref="AX14:AX16">
    <cfRule type="cellIs" dxfId="2790" priority="373" operator="greaterThan">
      <formula>0</formula>
    </cfRule>
  </conditionalFormatting>
  <conditionalFormatting sqref="AX14:AX16">
    <cfRule type="cellIs" dxfId="2789" priority="374" operator="lessThan">
      <formula>0</formula>
    </cfRule>
  </conditionalFormatting>
  <conditionalFormatting sqref="AX28">
    <cfRule type="cellIs" dxfId="2788" priority="375" operator="greaterThan">
      <formula>0</formula>
    </cfRule>
  </conditionalFormatting>
  <conditionalFormatting sqref="AX28">
    <cfRule type="cellIs" dxfId="2787" priority="376" operator="lessThan">
      <formula>0</formula>
    </cfRule>
  </conditionalFormatting>
  <conditionalFormatting sqref="BD27">
    <cfRule type="cellIs" dxfId="2786" priority="377" operator="greaterThan">
      <formula>0</formula>
    </cfRule>
  </conditionalFormatting>
  <conditionalFormatting sqref="BD27">
    <cfRule type="cellIs" dxfId="2785" priority="378" operator="lessThan">
      <formula>0</formula>
    </cfRule>
  </conditionalFormatting>
  <conditionalFormatting sqref="BD22">
    <cfRule type="cellIs" dxfId="2784" priority="379" operator="greaterThan">
      <formula>0</formula>
    </cfRule>
  </conditionalFormatting>
  <conditionalFormatting sqref="BD22">
    <cfRule type="cellIs" dxfId="2783" priority="380" operator="lessThan">
      <formula>0</formula>
    </cfRule>
  </conditionalFormatting>
  <conditionalFormatting sqref="AX16:AX42">
    <cfRule type="cellIs" dxfId="2782" priority="381" operator="greaterThan">
      <formula>0</formula>
    </cfRule>
  </conditionalFormatting>
  <conditionalFormatting sqref="AX16:AX42">
    <cfRule type="cellIs" dxfId="2781" priority="382" operator="lessThan">
      <formula>0</formula>
    </cfRule>
  </conditionalFormatting>
  <conditionalFormatting sqref="AX24:AX27">
    <cfRule type="cellIs" dxfId="2780" priority="383" operator="greaterThan">
      <formula>0</formula>
    </cfRule>
  </conditionalFormatting>
  <conditionalFormatting sqref="AX24:AX27">
    <cfRule type="cellIs" dxfId="2779" priority="384" operator="lessThan">
      <formula>0</formula>
    </cfRule>
  </conditionalFormatting>
  <conditionalFormatting sqref="BD10:BD11 BD16:BD18 BD20:BD42">
    <cfRule type="cellIs" dxfId="2778" priority="385" operator="greaterThan">
      <formula>0</formula>
    </cfRule>
  </conditionalFormatting>
  <conditionalFormatting sqref="BD10:BD11 BD16:BD18 BD20:BD42">
    <cfRule type="cellIs" dxfId="2777" priority="386" operator="lessThan">
      <formula>0</formula>
    </cfRule>
  </conditionalFormatting>
  <conditionalFormatting sqref="BD12:BD15">
    <cfRule type="cellIs" dxfId="2776" priority="387" operator="greaterThan">
      <formula>0</formula>
    </cfRule>
  </conditionalFormatting>
  <conditionalFormatting sqref="BD12:BD15">
    <cfRule type="cellIs" dxfId="2775" priority="388" operator="lessThan">
      <formula>0</formula>
    </cfRule>
  </conditionalFormatting>
  <conditionalFormatting sqref="BD19">
    <cfRule type="cellIs" dxfId="2774" priority="389" operator="greaterThan">
      <formula>0</formula>
    </cfRule>
  </conditionalFormatting>
  <conditionalFormatting sqref="BD19">
    <cfRule type="cellIs" dxfId="2773" priority="390" operator="lessThan">
      <formula>0</formula>
    </cfRule>
  </conditionalFormatting>
  <conditionalFormatting sqref="AX29:AX36">
    <cfRule type="cellIs" dxfId="2772" priority="391" operator="greaterThan">
      <formula>0</formula>
    </cfRule>
  </conditionalFormatting>
  <conditionalFormatting sqref="AX29:AX36">
    <cfRule type="cellIs" dxfId="2771" priority="392" operator="lessThan">
      <formula>0</formula>
    </cfRule>
  </conditionalFormatting>
  <conditionalFormatting sqref="BD23:BD24">
    <cfRule type="cellIs" dxfId="2770" priority="393" operator="greaterThan">
      <formula>0</formula>
    </cfRule>
  </conditionalFormatting>
  <conditionalFormatting sqref="BD23:BD24">
    <cfRule type="cellIs" dxfId="2769" priority="394" operator="lessThan">
      <formula>0</formula>
    </cfRule>
  </conditionalFormatting>
  <conditionalFormatting sqref="BD25:BD26">
    <cfRule type="cellIs" dxfId="2768" priority="395" operator="greaterThan">
      <formula>0</formula>
    </cfRule>
  </conditionalFormatting>
  <conditionalFormatting sqref="BD25:BD26">
    <cfRule type="cellIs" dxfId="2767" priority="396" operator="lessThan">
      <formula>0</formula>
    </cfRule>
  </conditionalFormatting>
  <conditionalFormatting sqref="AX61:AX76">
    <cfRule type="cellIs" dxfId="2766" priority="397" operator="greaterThan">
      <formula>0</formula>
    </cfRule>
  </conditionalFormatting>
  <conditionalFormatting sqref="AX61:AX76">
    <cfRule type="cellIs" dxfId="2765" priority="398" operator="lessThan">
      <formula>0</formula>
    </cfRule>
  </conditionalFormatting>
  <conditionalFormatting sqref="AX50:AX53 AX55:AX68">
    <cfRule type="cellIs" dxfId="2764" priority="399" operator="greaterThan">
      <formula>0</formula>
    </cfRule>
  </conditionalFormatting>
  <conditionalFormatting sqref="AX50:AX53 AX55:AX68">
    <cfRule type="cellIs" dxfId="2763" priority="400" operator="lessThan">
      <formula>0</formula>
    </cfRule>
  </conditionalFormatting>
  <conditionalFormatting sqref="AX50">
    <cfRule type="cellIs" dxfId="2762" priority="401" operator="greaterThan">
      <formula>0</formula>
    </cfRule>
  </conditionalFormatting>
  <conditionalFormatting sqref="AX50">
    <cfRule type="cellIs" dxfId="2761" priority="402" operator="lessThan">
      <formula>0</formula>
    </cfRule>
  </conditionalFormatting>
  <conditionalFormatting sqref="AX70">
    <cfRule type="cellIs" dxfId="2760" priority="403" operator="greaterThan">
      <formula>0</formula>
    </cfRule>
  </conditionalFormatting>
  <conditionalFormatting sqref="AX70">
    <cfRule type="cellIs" dxfId="2759" priority="404" operator="lessThan">
      <formula>0</formula>
    </cfRule>
  </conditionalFormatting>
  <conditionalFormatting sqref="AX35:AX47 AX50">
    <cfRule type="cellIs" dxfId="2758" priority="405" operator="greaterThan">
      <formula>0</formula>
    </cfRule>
  </conditionalFormatting>
  <conditionalFormatting sqref="AX35:AX47 AX50">
    <cfRule type="cellIs" dxfId="2757" priority="406" operator="lessThan">
      <formula>0</formula>
    </cfRule>
  </conditionalFormatting>
  <conditionalFormatting sqref="AX43:AX47 AX50">
    <cfRule type="cellIs" dxfId="2756" priority="407" operator="greaterThan">
      <formula>0</formula>
    </cfRule>
  </conditionalFormatting>
  <conditionalFormatting sqref="AX43:AX47 AX50">
    <cfRule type="cellIs" dxfId="2755" priority="408" operator="lessThan">
      <formula>0</formula>
    </cfRule>
  </conditionalFormatting>
  <conditionalFormatting sqref="AX69">
    <cfRule type="cellIs" dxfId="2754" priority="409" operator="greaterThan">
      <formula>0</formula>
    </cfRule>
  </conditionalFormatting>
  <conditionalFormatting sqref="AX69">
    <cfRule type="cellIs" dxfId="2753" priority="410" operator="lessThan">
      <formula>0</formula>
    </cfRule>
  </conditionalFormatting>
  <conditionalFormatting sqref="AX59">
    <cfRule type="cellIs" dxfId="2752" priority="411" operator="greaterThan">
      <formula>0</formula>
    </cfRule>
  </conditionalFormatting>
  <conditionalFormatting sqref="AX59">
    <cfRule type="cellIs" dxfId="2751" priority="412" operator="lessThan">
      <formula>0</formula>
    </cfRule>
  </conditionalFormatting>
  <conditionalFormatting sqref="AX47:AX50">
    <cfRule type="cellIs" dxfId="2750" priority="413" operator="greaterThan">
      <formula>0</formula>
    </cfRule>
  </conditionalFormatting>
  <conditionalFormatting sqref="AX47:AX50">
    <cfRule type="cellIs" dxfId="2749" priority="414" operator="lessThan">
      <formula>0</formula>
    </cfRule>
  </conditionalFormatting>
  <conditionalFormatting sqref="AX59">
    <cfRule type="cellIs" dxfId="2748" priority="415" operator="greaterThan">
      <formula>0</formula>
    </cfRule>
  </conditionalFormatting>
  <conditionalFormatting sqref="AX59">
    <cfRule type="cellIs" dxfId="2747" priority="416" operator="lessThan">
      <formula>0</formula>
    </cfRule>
  </conditionalFormatting>
  <conditionalFormatting sqref="AX60">
    <cfRule type="cellIs" dxfId="2746" priority="417" operator="greaterThan">
      <formula>0</formula>
    </cfRule>
  </conditionalFormatting>
  <conditionalFormatting sqref="AX60">
    <cfRule type="cellIs" dxfId="2745" priority="418" operator="lessThan">
      <formula>0</formula>
    </cfRule>
  </conditionalFormatting>
  <conditionalFormatting sqref="AX61:AX63">
    <cfRule type="cellIs" dxfId="2744" priority="419" operator="greaterThan">
      <formula>0</formula>
    </cfRule>
  </conditionalFormatting>
  <conditionalFormatting sqref="AX61:AX63">
    <cfRule type="cellIs" dxfId="2743" priority="420" operator="lessThan">
      <formula>0</formula>
    </cfRule>
  </conditionalFormatting>
  <conditionalFormatting sqref="AX63">
    <cfRule type="cellIs" dxfId="2742" priority="421" operator="greaterThan">
      <formula>0</formula>
    </cfRule>
  </conditionalFormatting>
  <conditionalFormatting sqref="AX63">
    <cfRule type="cellIs" dxfId="2741" priority="422" operator="lessThan">
      <formula>0</formula>
    </cfRule>
  </conditionalFormatting>
  <conditionalFormatting sqref="AX64:AX65">
    <cfRule type="cellIs" dxfId="2740" priority="423" operator="greaterThan">
      <formula>0</formula>
    </cfRule>
  </conditionalFormatting>
  <conditionalFormatting sqref="AX64:AX65">
    <cfRule type="cellIs" dxfId="2739" priority="424" operator="lessThan">
      <formula>0</formula>
    </cfRule>
  </conditionalFormatting>
  <conditionalFormatting sqref="AX52:AX54">
    <cfRule type="cellIs" dxfId="2738" priority="425" operator="greaterThan">
      <formula>0</formula>
    </cfRule>
  </conditionalFormatting>
  <conditionalFormatting sqref="AX52:AX54">
    <cfRule type="cellIs" dxfId="2737" priority="426" operator="lessThan">
      <formula>0</formula>
    </cfRule>
  </conditionalFormatting>
  <conditionalFormatting sqref="AX65">
    <cfRule type="cellIs" dxfId="2736" priority="427" operator="greaterThan">
      <formula>0</formula>
    </cfRule>
  </conditionalFormatting>
  <conditionalFormatting sqref="AX65">
    <cfRule type="cellIs" dxfId="2735" priority="428" operator="lessThan">
      <formula>0</formula>
    </cfRule>
  </conditionalFormatting>
  <conditionalFormatting sqref="AX64">
    <cfRule type="cellIs" dxfId="2734" priority="429" operator="greaterThan">
      <formula>0</formula>
    </cfRule>
  </conditionalFormatting>
  <conditionalFormatting sqref="AX64">
    <cfRule type="cellIs" dxfId="2733" priority="430" operator="lessThan">
      <formula>0</formula>
    </cfRule>
  </conditionalFormatting>
  <conditionalFormatting sqref="AX54">
    <cfRule type="cellIs" dxfId="2732" priority="431" operator="greaterThan">
      <formula>0</formula>
    </cfRule>
  </conditionalFormatting>
  <conditionalFormatting sqref="AX54">
    <cfRule type="cellIs" dxfId="2731" priority="432" operator="lessThan">
      <formula>0</formula>
    </cfRule>
  </conditionalFormatting>
  <conditionalFormatting sqref="AX54">
    <cfRule type="cellIs" dxfId="2730" priority="433" operator="greaterThan">
      <formula>0</formula>
    </cfRule>
  </conditionalFormatting>
  <conditionalFormatting sqref="AX54">
    <cfRule type="cellIs" dxfId="2729" priority="434" operator="lessThan">
      <formula>0</formula>
    </cfRule>
  </conditionalFormatting>
  <conditionalFormatting sqref="AX55:AX68">
    <cfRule type="cellIs" dxfId="2728" priority="435" operator="greaterThan">
      <formula>0</formula>
    </cfRule>
  </conditionalFormatting>
  <conditionalFormatting sqref="AX55:AX68">
    <cfRule type="cellIs" dxfId="2727" priority="436" operator="lessThan">
      <formula>0</formula>
    </cfRule>
  </conditionalFormatting>
  <conditionalFormatting sqref="AX56:AX58">
    <cfRule type="cellIs" dxfId="2726" priority="437" operator="greaterThan">
      <formula>0</formula>
    </cfRule>
  </conditionalFormatting>
  <conditionalFormatting sqref="AX56:AX58">
    <cfRule type="cellIs" dxfId="2725" priority="438" operator="lessThan">
      <formula>0</formula>
    </cfRule>
  </conditionalFormatting>
  <conditionalFormatting sqref="AX58">
    <cfRule type="cellIs" dxfId="2724" priority="439" operator="greaterThan">
      <formula>0</formula>
    </cfRule>
  </conditionalFormatting>
  <conditionalFormatting sqref="AX58">
    <cfRule type="cellIs" dxfId="2723" priority="440" operator="lessThan">
      <formula>0</formula>
    </cfRule>
  </conditionalFormatting>
  <conditionalFormatting sqref="AX59:AX60">
    <cfRule type="cellIs" dxfId="2722" priority="441" operator="greaterThan">
      <formula>0</formula>
    </cfRule>
  </conditionalFormatting>
  <conditionalFormatting sqref="AX59:AX60">
    <cfRule type="cellIs" dxfId="2721" priority="442" operator="lessThan">
      <formula>0</formula>
    </cfRule>
  </conditionalFormatting>
  <conditionalFormatting sqref="BD28:BD29 BD34:BD36 BD38:BD68">
    <cfRule type="cellIs" dxfId="2720" priority="443" operator="greaterThan">
      <formula>0</formula>
    </cfRule>
  </conditionalFormatting>
  <conditionalFormatting sqref="BD28:BD29 BD34:BD36 BD38:BD68">
    <cfRule type="cellIs" dxfId="2719" priority="444" operator="lessThan">
      <formula>0</formula>
    </cfRule>
  </conditionalFormatting>
  <conditionalFormatting sqref="BD30:BD33">
    <cfRule type="cellIs" dxfId="2718" priority="445" operator="greaterThan">
      <formula>0</formula>
    </cfRule>
  </conditionalFormatting>
  <conditionalFormatting sqref="BD30:BD33">
    <cfRule type="cellIs" dxfId="2717" priority="446" operator="lessThan">
      <formula>0</formula>
    </cfRule>
  </conditionalFormatting>
  <conditionalFormatting sqref="BD57">
    <cfRule type="cellIs" dxfId="2716" priority="447" operator="greaterThan">
      <formula>0</formula>
    </cfRule>
  </conditionalFormatting>
  <conditionalFormatting sqref="BD57">
    <cfRule type="cellIs" dxfId="2715" priority="448" operator="lessThan">
      <formula>0</formula>
    </cfRule>
  </conditionalFormatting>
  <conditionalFormatting sqref="BD37">
    <cfRule type="cellIs" dxfId="2714" priority="449" operator="greaterThan">
      <formula>0</formula>
    </cfRule>
  </conditionalFormatting>
  <conditionalFormatting sqref="BD37">
    <cfRule type="cellIs" dxfId="2713" priority="450" operator="lessThan">
      <formula>0</formula>
    </cfRule>
  </conditionalFormatting>
  <conditionalFormatting sqref="AX5:AX14">
    <cfRule type="cellIs" dxfId="2712" priority="451" operator="greaterThan">
      <formula>0</formula>
    </cfRule>
  </conditionalFormatting>
  <conditionalFormatting sqref="AX5:AX14">
    <cfRule type="cellIs" dxfId="2711" priority="452" operator="lessThan">
      <formula>0</formula>
    </cfRule>
  </conditionalFormatting>
  <conditionalFormatting sqref="AX13">
    <cfRule type="cellIs" dxfId="2710" priority="453" operator="greaterThan">
      <formula>0</formula>
    </cfRule>
  </conditionalFormatting>
  <conditionalFormatting sqref="AX13">
    <cfRule type="cellIs" dxfId="2709" priority="454" operator="lessThan">
      <formula>0</formula>
    </cfRule>
  </conditionalFormatting>
  <conditionalFormatting sqref="B65:B72">
    <cfRule type="cellIs" dxfId="2708" priority="455" operator="greaterThan">
      <formula>0</formula>
    </cfRule>
  </conditionalFormatting>
  <conditionalFormatting sqref="B65:B72">
    <cfRule type="cellIs" dxfId="2707" priority="456" operator="lessThan">
      <formula>0</formula>
    </cfRule>
  </conditionalFormatting>
  <conditionalFormatting sqref="BJ3:BJ76">
    <cfRule type="cellIs" dxfId="2706" priority="457" operator="greaterThan">
      <formula>0</formula>
    </cfRule>
  </conditionalFormatting>
  <conditionalFormatting sqref="BJ3:BJ76">
    <cfRule type="cellIs" dxfId="2705" priority="458" operator="lessThan">
      <formula>0</formula>
    </cfRule>
  </conditionalFormatting>
  <conditionalFormatting sqref="AX21">
    <cfRule type="cellIs" dxfId="2704" priority="459" operator="greaterThan">
      <formula>0</formula>
    </cfRule>
  </conditionalFormatting>
  <conditionalFormatting sqref="AX21">
    <cfRule type="cellIs" dxfId="2703" priority="460" operator="lessThan">
      <formula>0</formula>
    </cfRule>
  </conditionalFormatting>
  <conditionalFormatting sqref="AX21">
    <cfRule type="cellIs" dxfId="2702" priority="461" operator="greaterThan">
      <formula>0</formula>
    </cfRule>
  </conditionalFormatting>
  <conditionalFormatting sqref="AX21">
    <cfRule type="cellIs" dxfId="2701" priority="462" operator="lessThan">
      <formula>0</formula>
    </cfRule>
  </conditionalFormatting>
  <conditionalFormatting sqref="AX14">
    <cfRule type="cellIs" dxfId="2700" priority="463" operator="greaterThan">
      <formula>0</formula>
    </cfRule>
  </conditionalFormatting>
  <conditionalFormatting sqref="AX14">
    <cfRule type="cellIs" dxfId="2699" priority="464" operator="lessThan">
      <formula>0</formula>
    </cfRule>
  </conditionalFormatting>
  <conditionalFormatting sqref="AX22">
    <cfRule type="cellIs" dxfId="2698" priority="465" operator="greaterThan">
      <formula>0</formula>
    </cfRule>
  </conditionalFormatting>
  <conditionalFormatting sqref="AX22">
    <cfRule type="cellIs" dxfId="2697" priority="466" operator="lessThan">
      <formula>0</formula>
    </cfRule>
  </conditionalFormatting>
  <conditionalFormatting sqref="AX22">
    <cfRule type="cellIs" dxfId="2696" priority="467" operator="greaterThan">
      <formula>0</formula>
    </cfRule>
  </conditionalFormatting>
  <conditionalFormatting sqref="AX22">
    <cfRule type="cellIs" dxfId="2695" priority="468" operator="lessThan">
      <formula>0</formula>
    </cfRule>
  </conditionalFormatting>
  <conditionalFormatting sqref="B64">
    <cfRule type="cellIs" dxfId="2694" priority="469" operator="greaterThan">
      <formula>0</formula>
    </cfRule>
  </conditionalFormatting>
  <conditionalFormatting sqref="B64">
    <cfRule type="cellIs" dxfId="2693" priority="470" operator="lessThan">
      <formula>0</formula>
    </cfRule>
  </conditionalFormatting>
  <conditionalFormatting sqref="B41 B43:B72 AF3:AF42">
    <cfRule type="cellIs" dxfId="2692" priority="471" operator="greaterThan">
      <formula>0</formula>
    </cfRule>
  </conditionalFormatting>
  <conditionalFormatting sqref="B41 B43:B72 AF3:AF42">
    <cfRule type="cellIs" dxfId="2691" priority="472" operator="lessThan">
      <formula>0</formula>
    </cfRule>
  </conditionalFormatting>
  <conditionalFormatting sqref="B41 B43:B72">
    <cfRule type="cellIs" dxfId="2690" priority="473" operator="greaterThan">
      <formula>0</formula>
    </cfRule>
  </conditionalFormatting>
  <conditionalFormatting sqref="B41 B43:B72">
    <cfRule type="cellIs" dxfId="2689" priority="474" operator="lessThan">
      <formula>0</formula>
    </cfRule>
  </conditionalFormatting>
  <conditionalFormatting sqref="B29">
    <cfRule type="cellIs" dxfId="2688" priority="475" operator="greaterThan">
      <formula>0</formula>
    </cfRule>
  </conditionalFormatting>
  <conditionalFormatting sqref="B29">
    <cfRule type="cellIs" dxfId="2687" priority="476" operator="lessThan">
      <formula>0</formula>
    </cfRule>
  </conditionalFormatting>
  <conditionalFormatting sqref="AX3">
    <cfRule type="cellIs" dxfId="2686" priority="477" operator="greaterThan">
      <formula>0</formula>
    </cfRule>
  </conditionalFormatting>
  <conditionalFormatting sqref="AX3">
    <cfRule type="cellIs" dxfId="2685" priority="478" operator="lessThan">
      <formula>0</formula>
    </cfRule>
  </conditionalFormatting>
  <conditionalFormatting sqref="AX4">
    <cfRule type="cellIs" dxfId="2684" priority="479" operator="greaterThan">
      <formula>0</formula>
    </cfRule>
  </conditionalFormatting>
  <conditionalFormatting sqref="AX4">
    <cfRule type="cellIs" dxfId="2683" priority="480" operator="lessThan">
      <formula>0</formula>
    </cfRule>
  </conditionalFormatting>
  <conditionalFormatting sqref="BD3">
    <cfRule type="cellIs" dxfId="2682" priority="481" operator="greaterThan">
      <formula>0</formula>
    </cfRule>
  </conditionalFormatting>
  <conditionalFormatting sqref="BD3">
    <cfRule type="cellIs" dxfId="2681" priority="482" operator="lessThan">
      <formula>0</formula>
    </cfRule>
  </conditionalFormatting>
  <conditionalFormatting sqref="T3:T42 AF3:AF42">
    <cfRule type="cellIs" dxfId="2680" priority="483" operator="greaterThan">
      <formula>0</formula>
    </cfRule>
  </conditionalFormatting>
  <conditionalFormatting sqref="T3:T42 AF3:AF42">
    <cfRule type="cellIs" dxfId="2679" priority="484" operator="lessThan">
      <formula>0</formula>
    </cfRule>
  </conditionalFormatting>
  <conditionalFormatting sqref="Q37">
    <cfRule type="cellIs" dxfId="2678" priority="485" operator="lessThan">
      <formula>0</formula>
    </cfRule>
  </conditionalFormatting>
  <conditionalFormatting sqref="Q37">
    <cfRule type="cellIs" dxfId="2677" priority="486" operator="greaterThan">
      <formula>0</formula>
    </cfRule>
  </conditionalFormatting>
  <conditionalFormatting sqref="I3:I37">
    <cfRule type="cellIs" dxfId="2676" priority="353" operator="lessThan">
      <formula>0</formula>
    </cfRule>
    <cfRule type="cellIs" dxfId="2675" priority="354" operator="greaterThan">
      <formula>0</formula>
    </cfRule>
  </conditionalFormatting>
  <conditionalFormatting sqref="I41:I72">
    <cfRule type="cellIs" dxfId="2674" priority="351" operator="lessThan">
      <formula>0</formula>
    </cfRule>
    <cfRule type="cellIs" dxfId="2673" priority="352" operator="greaterThan">
      <formula>0</formula>
    </cfRule>
  </conditionalFormatting>
  <conditionalFormatting sqref="I76">
    <cfRule type="cellIs" dxfId="2672" priority="349" operator="lessThan">
      <formula>0</formula>
    </cfRule>
    <cfRule type="cellIs" dxfId="2671" priority="350" operator="greaterThan">
      <formula>0</formula>
    </cfRule>
  </conditionalFormatting>
  <conditionalFormatting sqref="B5:B6">
    <cfRule type="cellIs" dxfId="2670" priority="345" operator="greaterThan">
      <formula>0</formula>
    </cfRule>
  </conditionalFormatting>
  <conditionalFormatting sqref="B5:B6">
    <cfRule type="cellIs" dxfId="2669" priority="346" operator="lessThan">
      <formula>0</formula>
    </cfRule>
  </conditionalFormatting>
  <conditionalFormatting sqref="B5:B6">
    <cfRule type="cellIs" dxfId="2668" priority="347" operator="greaterThan">
      <formula>0</formula>
    </cfRule>
  </conditionalFormatting>
  <conditionalFormatting sqref="B5:B6">
    <cfRule type="cellIs" dxfId="2667" priority="348" operator="lessThan">
      <formula>0</formula>
    </cfRule>
  </conditionalFormatting>
  <conditionalFormatting sqref="K4:L4 K7:L7 K10:L10 K13:L13 K16:L16 K19:L19 K22:L22 K25:L25 K28:L28 K31:L31 K34:L34">
    <cfRule type="cellIs" dxfId="2666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2665" priority="343" operator="greaterThan">
      <formula>0</formula>
    </cfRule>
  </conditionalFormatting>
  <conditionalFormatting sqref="AE43">
    <cfRule type="cellIs" dxfId="2664" priority="340" operator="greaterThan">
      <formula>0</formula>
    </cfRule>
  </conditionalFormatting>
  <conditionalFormatting sqref="AE43">
    <cfRule type="cellIs" dxfId="2663" priority="341" operator="lessThan">
      <formula>0</formula>
    </cfRule>
  </conditionalFormatting>
  <conditionalFormatting sqref="Q38">
    <cfRule type="cellIs" dxfId="2662" priority="339" operator="lessThan">
      <formula>0</formula>
    </cfRule>
  </conditionalFormatting>
  <conditionalFormatting sqref="Q39">
    <cfRule type="cellIs" dxfId="2661" priority="338" operator="lessThan">
      <formula>0</formula>
    </cfRule>
  </conditionalFormatting>
  <conditionalFormatting sqref="J4 J7 J10 J13 J16 J19 J22 J25 J28 J31 J34">
    <cfRule type="cellIs" dxfId="2660" priority="337" operator="greaterThan">
      <formula>1.49</formula>
    </cfRule>
  </conditionalFormatting>
  <conditionalFormatting sqref="AD3:AD42">
    <cfRule type="cellIs" dxfId="2659" priority="336" operator="equal">
      <formula>0</formula>
    </cfRule>
  </conditionalFormatting>
  <conditionalFormatting sqref="AP3:AP42">
    <cfRule type="cellIs" dxfId="2658" priority="335" operator="equal">
      <formula>0</formula>
    </cfRule>
  </conditionalFormatting>
  <conditionalFormatting sqref="AP15:AP42">
    <cfRule type="cellIs" dxfId="2657" priority="334" operator="equal">
      <formula>0</formula>
    </cfRule>
  </conditionalFormatting>
  <conditionalFormatting sqref="B42">
    <cfRule type="cellIs" dxfId="2656" priority="328" operator="greaterThan">
      <formula>0</formula>
    </cfRule>
  </conditionalFormatting>
  <conditionalFormatting sqref="B42">
    <cfRule type="cellIs" dxfId="2655" priority="329" operator="lessThan">
      <formula>0</formula>
    </cfRule>
  </conditionalFormatting>
  <conditionalFormatting sqref="B42">
    <cfRule type="cellIs" dxfId="2654" priority="330" operator="greaterThan">
      <formula>0</formula>
    </cfRule>
  </conditionalFormatting>
  <conditionalFormatting sqref="B42">
    <cfRule type="cellIs" dxfId="2653" priority="331" operator="lessThan">
      <formula>0</formula>
    </cfRule>
  </conditionalFormatting>
  <conditionalFormatting sqref="B42">
    <cfRule type="cellIs" dxfId="2652" priority="332" operator="greaterThan">
      <formula>0</formula>
    </cfRule>
  </conditionalFormatting>
  <conditionalFormatting sqref="B42">
    <cfRule type="cellIs" dxfId="2651" priority="333" operator="lessThan">
      <formula>0</formula>
    </cfRule>
  </conditionalFormatting>
  <conditionalFormatting sqref="S3:S42">
    <cfRule type="expression" dxfId="2650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2649" priority="488" operator="greaterThan">
      <formula>0</formula>
    </cfRule>
  </conditionalFormatting>
  <conditionalFormatting sqref="S3:S42">
    <cfRule type="expression" dxfId="2648" priority="325">
      <formula>$O$18-$U3&gt;0</formula>
    </cfRule>
  </conditionalFormatting>
  <conditionalFormatting sqref="AA3:AA42">
    <cfRule type="cellIs" dxfId="2647" priority="323" operator="lessThan">
      <formula>V3</formula>
    </cfRule>
    <cfRule type="cellIs" dxfId="2646" priority="324" operator="equal">
      <formula>0</formula>
    </cfRule>
  </conditionalFormatting>
  <conditionalFormatting sqref="BD5">
    <cfRule type="cellIs" dxfId="2645" priority="319" operator="greaterThan">
      <formula>0</formula>
    </cfRule>
  </conditionalFormatting>
  <conditionalFormatting sqref="BD5">
    <cfRule type="cellIs" dxfId="2644" priority="320" operator="lessThan">
      <formula>0</formula>
    </cfRule>
  </conditionalFormatting>
  <conditionalFormatting sqref="BD4">
    <cfRule type="cellIs" dxfId="2643" priority="317" operator="greaterThan">
      <formula>0</formula>
    </cfRule>
  </conditionalFormatting>
  <conditionalFormatting sqref="BD4">
    <cfRule type="cellIs" dxfId="2642" priority="318" operator="lessThan">
      <formula>0</formula>
    </cfRule>
  </conditionalFormatting>
  <conditionalFormatting sqref="AE3:AE42">
    <cfRule type="expression" dxfId="2641" priority="316">
      <formula>$O$18-$AG3&gt;0</formula>
    </cfRule>
  </conditionalFormatting>
  <conditionalFormatting sqref="AE3:AE42">
    <cfRule type="expression" dxfId="2640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2639" priority="313" operator="equal">
      <formula>0</formula>
    </cfRule>
  </conditionalFormatting>
  <conditionalFormatting sqref="B14">
    <cfRule type="cellIs" dxfId="2638" priority="306" operator="greaterThan">
      <formula>0</formula>
    </cfRule>
  </conditionalFormatting>
  <conditionalFormatting sqref="B14">
    <cfRule type="cellIs" dxfId="2637" priority="307" operator="lessThan">
      <formula>0</formula>
    </cfRule>
  </conditionalFormatting>
  <conditionalFormatting sqref="B14">
    <cfRule type="cellIs" dxfId="2636" priority="308" operator="greaterThan">
      <formula>0</formula>
    </cfRule>
  </conditionalFormatting>
  <conditionalFormatting sqref="B14">
    <cfRule type="cellIs" dxfId="2635" priority="309" operator="lessThan">
      <formula>0</formula>
    </cfRule>
  </conditionalFormatting>
  <conditionalFormatting sqref="B13">
    <cfRule type="cellIs" dxfId="2634" priority="302" operator="greaterThan">
      <formula>0</formula>
    </cfRule>
  </conditionalFormatting>
  <conditionalFormatting sqref="B13">
    <cfRule type="cellIs" dxfId="2633" priority="303" operator="lessThan">
      <formula>0</formula>
    </cfRule>
  </conditionalFormatting>
  <conditionalFormatting sqref="B13">
    <cfRule type="cellIs" dxfId="2632" priority="304" operator="greaterThan">
      <formula>0</formula>
    </cfRule>
  </conditionalFormatting>
  <conditionalFormatting sqref="B13">
    <cfRule type="cellIs" dxfId="2631" priority="305" operator="lessThan">
      <formula>0</formula>
    </cfRule>
  </conditionalFormatting>
  <conditionalFormatting sqref="B17:B18">
    <cfRule type="cellIs" dxfId="2630" priority="298" operator="greaterThan">
      <formula>0</formula>
    </cfRule>
  </conditionalFormatting>
  <conditionalFormatting sqref="B17:B18">
    <cfRule type="cellIs" dxfId="2629" priority="299" operator="lessThan">
      <formula>0</formula>
    </cfRule>
  </conditionalFormatting>
  <conditionalFormatting sqref="B17:B18">
    <cfRule type="cellIs" dxfId="2628" priority="300" operator="greaterThan">
      <formula>0</formula>
    </cfRule>
  </conditionalFormatting>
  <conditionalFormatting sqref="B17:B18">
    <cfRule type="cellIs" dxfId="2627" priority="301" operator="lessThan">
      <formula>0</formula>
    </cfRule>
  </conditionalFormatting>
  <conditionalFormatting sqref="B13:B14">
    <cfRule type="cellIs" dxfId="2626" priority="294" operator="greaterThan">
      <formula>0</formula>
    </cfRule>
  </conditionalFormatting>
  <conditionalFormatting sqref="B13:B14">
    <cfRule type="cellIs" dxfId="2625" priority="295" operator="lessThan">
      <formula>0</formula>
    </cfRule>
  </conditionalFormatting>
  <conditionalFormatting sqref="B13:B14">
    <cfRule type="cellIs" dxfId="2624" priority="296" operator="greaterThan">
      <formula>0</formula>
    </cfRule>
  </conditionalFormatting>
  <conditionalFormatting sqref="B13:B14">
    <cfRule type="cellIs" dxfId="2623" priority="297" operator="lessThan">
      <formula>0</formula>
    </cfRule>
  </conditionalFormatting>
  <conditionalFormatting sqref="B5:B6">
    <cfRule type="cellIs" dxfId="2622" priority="290" operator="greaterThan">
      <formula>0</formula>
    </cfRule>
  </conditionalFormatting>
  <conditionalFormatting sqref="B5:B6">
    <cfRule type="cellIs" dxfId="2621" priority="291" operator="lessThan">
      <formula>0</formula>
    </cfRule>
  </conditionalFormatting>
  <conditionalFormatting sqref="B5:B6">
    <cfRule type="cellIs" dxfId="2620" priority="292" operator="greaterThan">
      <formula>0</formula>
    </cfRule>
  </conditionalFormatting>
  <conditionalFormatting sqref="B5:B6">
    <cfRule type="cellIs" dxfId="2619" priority="293" operator="lessThan">
      <formula>0</formula>
    </cfRule>
  </conditionalFormatting>
  <conditionalFormatting sqref="B12">
    <cfRule type="cellIs" dxfId="2618" priority="230" operator="greaterThan">
      <formula>0</formula>
    </cfRule>
  </conditionalFormatting>
  <conditionalFormatting sqref="B12">
    <cfRule type="cellIs" dxfId="2617" priority="231" operator="lessThan">
      <formula>0</formula>
    </cfRule>
  </conditionalFormatting>
  <conditionalFormatting sqref="B12">
    <cfRule type="cellIs" dxfId="2616" priority="232" operator="greaterThan">
      <formula>0</formula>
    </cfRule>
  </conditionalFormatting>
  <conditionalFormatting sqref="B12">
    <cfRule type="cellIs" dxfId="2615" priority="233" operator="lessThan">
      <formula>0</formula>
    </cfRule>
  </conditionalFormatting>
  <conditionalFormatting sqref="B15:B16">
    <cfRule type="cellIs" dxfId="2614" priority="286" operator="greaterThan">
      <formula>0</formula>
    </cfRule>
  </conditionalFormatting>
  <conditionalFormatting sqref="B15:B16">
    <cfRule type="cellIs" dxfId="2613" priority="287" operator="lessThan">
      <formula>0</formula>
    </cfRule>
  </conditionalFormatting>
  <conditionalFormatting sqref="B15:B16">
    <cfRule type="cellIs" dxfId="2612" priority="288" operator="greaterThan">
      <formula>0</formula>
    </cfRule>
  </conditionalFormatting>
  <conditionalFormatting sqref="B15:B16">
    <cfRule type="cellIs" dxfId="2611" priority="289" operator="lessThan">
      <formula>0</formula>
    </cfRule>
  </conditionalFormatting>
  <conditionalFormatting sqref="B16">
    <cfRule type="cellIs" dxfId="2610" priority="282" operator="greaterThan">
      <formula>0</formula>
    </cfRule>
  </conditionalFormatting>
  <conditionalFormatting sqref="B16">
    <cfRule type="cellIs" dxfId="2609" priority="283" operator="lessThan">
      <formula>0</formula>
    </cfRule>
  </conditionalFormatting>
  <conditionalFormatting sqref="B16">
    <cfRule type="cellIs" dxfId="2608" priority="284" operator="greaterThan">
      <formula>0</formula>
    </cfRule>
  </conditionalFormatting>
  <conditionalFormatting sqref="B16">
    <cfRule type="cellIs" dxfId="2607" priority="285" operator="lessThan">
      <formula>0</formula>
    </cfRule>
  </conditionalFormatting>
  <conditionalFormatting sqref="B16">
    <cfRule type="cellIs" dxfId="2606" priority="278" operator="greaterThan">
      <formula>0</formula>
    </cfRule>
  </conditionalFormatting>
  <conditionalFormatting sqref="B16">
    <cfRule type="cellIs" dxfId="2605" priority="279" operator="lessThan">
      <formula>0</formula>
    </cfRule>
  </conditionalFormatting>
  <conditionalFormatting sqref="B16">
    <cfRule type="cellIs" dxfId="2604" priority="280" operator="greaterThan">
      <formula>0</formula>
    </cfRule>
  </conditionalFormatting>
  <conditionalFormatting sqref="B16">
    <cfRule type="cellIs" dxfId="2603" priority="281" operator="lessThan">
      <formula>0</formula>
    </cfRule>
  </conditionalFormatting>
  <conditionalFormatting sqref="B15">
    <cfRule type="cellIs" dxfId="2602" priority="274" operator="greaterThan">
      <formula>0</formula>
    </cfRule>
  </conditionalFormatting>
  <conditionalFormatting sqref="B15">
    <cfRule type="cellIs" dxfId="2601" priority="275" operator="lessThan">
      <formula>0</formula>
    </cfRule>
  </conditionalFormatting>
  <conditionalFormatting sqref="B15">
    <cfRule type="cellIs" dxfId="2600" priority="276" operator="greaterThan">
      <formula>0</formula>
    </cfRule>
  </conditionalFormatting>
  <conditionalFormatting sqref="B15">
    <cfRule type="cellIs" dxfId="2599" priority="277" operator="lessThan">
      <formula>0</formula>
    </cfRule>
  </conditionalFormatting>
  <conditionalFormatting sqref="B15:B16">
    <cfRule type="cellIs" dxfId="2598" priority="270" operator="greaterThan">
      <formula>0</formula>
    </cfRule>
  </conditionalFormatting>
  <conditionalFormatting sqref="B15:B16">
    <cfRule type="cellIs" dxfId="2597" priority="271" operator="lessThan">
      <formula>0</formula>
    </cfRule>
  </conditionalFormatting>
  <conditionalFormatting sqref="B15:B16">
    <cfRule type="cellIs" dxfId="2596" priority="272" operator="greaterThan">
      <formula>0</formula>
    </cfRule>
  </conditionalFormatting>
  <conditionalFormatting sqref="B15:B16">
    <cfRule type="cellIs" dxfId="2595" priority="273" operator="lessThan">
      <formula>0</formula>
    </cfRule>
  </conditionalFormatting>
  <conditionalFormatting sqref="B15:B16">
    <cfRule type="cellIs" dxfId="2594" priority="266" operator="greaterThan">
      <formula>0</formula>
    </cfRule>
  </conditionalFormatting>
  <conditionalFormatting sqref="B15:B16">
    <cfRule type="cellIs" dxfId="2593" priority="267" operator="lessThan">
      <formula>0</formula>
    </cfRule>
  </conditionalFormatting>
  <conditionalFormatting sqref="B15:B16">
    <cfRule type="cellIs" dxfId="2592" priority="268" operator="greaterThan">
      <formula>0</formula>
    </cfRule>
  </conditionalFormatting>
  <conditionalFormatting sqref="B15:B16">
    <cfRule type="cellIs" dxfId="2591" priority="269" operator="lessThan">
      <formula>0</formula>
    </cfRule>
  </conditionalFormatting>
  <conditionalFormatting sqref="B11:B12">
    <cfRule type="cellIs" dxfId="2590" priority="262" operator="greaterThan">
      <formula>0</formula>
    </cfRule>
  </conditionalFormatting>
  <conditionalFormatting sqref="B11:B12">
    <cfRule type="cellIs" dxfId="2589" priority="263" operator="lessThan">
      <formula>0</formula>
    </cfRule>
  </conditionalFormatting>
  <conditionalFormatting sqref="B11:B12">
    <cfRule type="cellIs" dxfId="2588" priority="264" operator="greaterThan">
      <formula>0</formula>
    </cfRule>
  </conditionalFormatting>
  <conditionalFormatting sqref="B11:B12">
    <cfRule type="cellIs" dxfId="2587" priority="265" operator="lessThan">
      <formula>0</formula>
    </cfRule>
  </conditionalFormatting>
  <conditionalFormatting sqref="B11">
    <cfRule type="cellIs" dxfId="2586" priority="258" operator="greaterThan">
      <formula>0</formula>
    </cfRule>
  </conditionalFormatting>
  <conditionalFormatting sqref="B11">
    <cfRule type="cellIs" dxfId="2585" priority="259" operator="lessThan">
      <formula>0</formula>
    </cfRule>
  </conditionalFormatting>
  <conditionalFormatting sqref="B11">
    <cfRule type="cellIs" dxfId="2584" priority="260" operator="greaterThan">
      <formula>0</formula>
    </cfRule>
  </conditionalFormatting>
  <conditionalFormatting sqref="B11">
    <cfRule type="cellIs" dxfId="2583" priority="261" operator="lessThan">
      <formula>0</formula>
    </cfRule>
  </conditionalFormatting>
  <conditionalFormatting sqref="B12">
    <cfRule type="cellIs" dxfId="2582" priority="254" operator="greaterThan">
      <formula>0</formula>
    </cfRule>
  </conditionalFormatting>
  <conditionalFormatting sqref="B12">
    <cfRule type="cellIs" dxfId="2581" priority="255" operator="lessThan">
      <formula>0</formula>
    </cfRule>
  </conditionalFormatting>
  <conditionalFormatting sqref="B12">
    <cfRule type="cellIs" dxfId="2580" priority="256" operator="greaterThan">
      <formula>0</formula>
    </cfRule>
  </conditionalFormatting>
  <conditionalFormatting sqref="B12">
    <cfRule type="cellIs" dxfId="2579" priority="257" operator="lessThan">
      <formula>0</formula>
    </cfRule>
  </conditionalFormatting>
  <conditionalFormatting sqref="B5:B6">
    <cfRule type="cellIs" dxfId="2578" priority="250" operator="greaterThan">
      <formula>0</formula>
    </cfRule>
  </conditionalFormatting>
  <conditionalFormatting sqref="B5:B6">
    <cfRule type="cellIs" dxfId="2577" priority="251" operator="lessThan">
      <formula>0</formula>
    </cfRule>
  </conditionalFormatting>
  <conditionalFormatting sqref="B5:B6">
    <cfRule type="cellIs" dxfId="2576" priority="252" operator="greaterThan">
      <formula>0</formula>
    </cfRule>
  </conditionalFormatting>
  <conditionalFormatting sqref="B5:B6">
    <cfRule type="cellIs" dxfId="2575" priority="253" operator="lessThan">
      <formula>0</formula>
    </cfRule>
  </conditionalFormatting>
  <conditionalFormatting sqref="B5:B6">
    <cfRule type="cellIs" dxfId="2574" priority="246" operator="greaterThan">
      <formula>0</formula>
    </cfRule>
  </conditionalFormatting>
  <conditionalFormatting sqref="B5:B6">
    <cfRule type="cellIs" dxfId="2573" priority="247" operator="lessThan">
      <formula>0</formula>
    </cfRule>
  </conditionalFormatting>
  <conditionalFormatting sqref="B5:B6">
    <cfRule type="cellIs" dxfId="2572" priority="248" operator="greaterThan">
      <formula>0</formula>
    </cfRule>
  </conditionalFormatting>
  <conditionalFormatting sqref="B5:B6">
    <cfRule type="cellIs" dxfId="2571" priority="249" operator="lessThan">
      <formula>0</formula>
    </cfRule>
  </conditionalFormatting>
  <conditionalFormatting sqref="B5:B6">
    <cfRule type="cellIs" dxfId="2570" priority="242" operator="greaterThan">
      <formula>0</formula>
    </cfRule>
  </conditionalFormatting>
  <conditionalFormatting sqref="B5:B6">
    <cfRule type="cellIs" dxfId="2569" priority="243" operator="lessThan">
      <formula>0</formula>
    </cfRule>
  </conditionalFormatting>
  <conditionalFormatting sqref="B5:B6">
    <cfRule type="cellIs" dxfId="2568" priority="244" operator="greaterThan">
      <formula>0</formula>
    </cfRule>
  </conditionalFormatting>
  <conditionalFormatting sqref="B5:B6">
    <cfRule type="cellIs" dxfId="2567" priority="245" operator="lessThan">
      <formula>0</formula>
    </cfRule>
  </conditionalFormatting>
  <conditionalFormatting sqref="B11:B12">
    <cfRule type="cellIs" dxfId="2566" priority="238" operator="greaterThan">
      <formula>0</formula>
    </cfRule>
  </conditionalFormatting>
  <conditionalFormatting sqref="B11:B12">
    <cfRule type="cellIs" dxfId="2565" priority="239" operator="lessThan">
      <formula>0</formula>
    </cfRule>
  </conditionalFormatting>
  <conditionalFormatting sqref="B11:B12">
    <cfRule type="cellIs" dxfId="2564" priority="240" operator="greaterThan">
      <formula>0</formula>
    </cfRule>
  </conditionalFormatting>
  <conditionalFormatting sqref="B11:B12">
    <cfRule type="cellIs" dxfId="2563" priority="241" operator="lessThan">
      <formula>0</formula>
    </cfRule>
  </conditionalFormatting>
  <conditionalFormatting sqref="B12">
    <cfRule type="cellIs" dxfId="2562" priority="234" operator="greaterThan">
      <formula>0</formula>
    </cfRule>
  </conditionalFormatting>
  <conditionalFormatting sqref="B12">
    <cfRule type="cellIs" dxfId="2561" priority="235" operator="lessThan">
      <formula>0</formula>
    </cfRule>
  </conditionalFormatting>
  <conditionalFormatting sqref="B12">
    <cfRule type="cellIs" dxfId="2560" priority="236" operator="greaterThan">
      <formula>0</formula>
    </cfRule>
  </conditionalFormatting>
  <conditionalFormatting sqref="B12">
    <cfRule type="cellIs" dxfId="2559" priority="237" operator="lessThan">
      <formula>0</formula>
    </cfRule>
  </conditionalFormatting>
  <conditionalFormatting sqref="B11">
    <cfRule type="cellIs" dxfId="2558" priority="226" operator="greaterThan">
      <formula>0</formula>
    </cfRule>
  </conditionalFormatting>
  <conditionalFormatting sqref="B11">
    <cfRule type="cellIs" dxfId="2557" priority="227" operator="lessThan">
      <formula>0</formula>
    </cfRule>
  </conditionalFormatting>
  <conditionalFormatting sqref="B11">
    <cfRule type="cellIs" dxfId="2556" priority="228" operator="greaterThan">
      <formula>0</formula>
    </cfRule>
  </conditionalFormatting>
  <conditionalFormatting sqref="B11">
    <cfRule type="cellIs" dxfId="2555" priority="229" operator="lessThan">
      <formula>0</formula>
    </cfRule>
  </conditionalFormatting>
  <conditionalFormatting sqref="B11:B12">
    <cfRule type="cellIs" dxfId="2554" priority="222" operator="greaterThan">
      <formula>0</formula>
    </cfRule>
  </conditionalFormatting>
  <conditionalFormatting sqref="B11:B12">
    <cfRule type="cellIs" dxfId="2553" priority="223" operator="lessThan">
      <formula>0</formula>
    </cfRule>
  </conditionalFormatting>
  <conditionalFormatting sqref="B11:B12">
    <cfRule type="cellIs" dxfId="2552" priority="224" operator="greaterThan">
      <formula>0</formula>
    </cfRule>
  </conditionalFormatting>
  <conditionalFormatting sqref="B11:B12">
    <cfRule type="cellIs" dxfId="2551" priority="225" operator="lessThan">
      <formula>0</formula>
    </cfRule>
  </conditionalFormatting>
  <conditionalFormatting sqref="B11:B12">
    <cfRule type="cellIs" dxfId="2550" priority="218" operator="greaterThan">
      <formula>0</formula>
    </cfRule>
  </conditionalFormatting>
  <conditionalFormatting sqref="B11:B12">
    <cfRule type="cellIs" dxfId="2549" priority="219" operator="lessThan">
      <formula>0</formula>
    </cfRule>
  </conditionalFormatting>
  <conditionalFormatting sqref="B11:B12">
    <cfRule type="cellIs" dxfId="2548" priority="220" operator="greaterThan">
      <formula>0</formula>
    </cfRule>
  </conditionalFormatting>
  <conditionalFormatting sqref="B11:B12">
    <cfRule type="cellIs" dxfId="2547" priority="221" operator="lessThan">
      <formula>0</formula>
    </cfRule>
  </conditionalFormatting>
  <conditionalFormatting sqref="B40">
    <cfRule type="cellIs" dxfId="2546" priority="212" operator="greaterThan">
      <formula>0</formula>
    </cfRule>
  </conditionalFormatting>
  <conditionalFormatting sqref="B40">
    <cfRule type="cellIs" dxfId="2545" priority="213" operator="lessThan">
      <formula>0</formula>
    </cfRule>
  </conditionalFormatting>
  <conditionalFormatting sqref="B40">
    <cfRule type="cellIs" dxfId="2544" priority="214" operator="greaterThan">
      <formula>0</formula>
    </cfRule>
  </conditionalFormatting>
  <conditionalFormatting sqref="B40">
    <cfRule type="cellIs" dxfId="2543" priority="215" operator="lessThan">
      <formula>0</formula>
    </cfRule>
  </conditionalFormatting>
  <conditionalFormatting sqref="B40">
    <cfRule type="cellIs" dxfId="2542" priority="216" operator="greaterThan">
      <formula>0</formula>
    </cfRule>
  </conditionalFormatting>
  <conditionalFormatting sqref="B40">
    <cfRule type="cellIs" dxfId="2541" priority="217" operator="lessThan">
      <formula>0</formula>
    </cfRule>
  </conditionalFormatting>
  <conditionalFormatting sqref="I38:I40">
    <cfRule type="cellIs" dxfId="2540" priority="210" operator="lessThan">
      <formula>0</formula>
    </cfRule>
    <cfRule type="cellIs" dxfId="2539" priority="211" operator="greaterThan">
      <formula>0</formula>
    </cfRule>
  </conditionalFormatting>
  <conditionalFormatting sqref="B38">
    <cfRule type="cellIs" dxfId="2538" priority="204" operator="greaterThan">
      <formula>0</formula>
    </cfRule>
  </conditionalFormatting>
  <conditionalFormatting sqref="B38">
    <cfRule type="cellIs" dxfId="2537" priority="205" operator="lessThan">
      <formula>0</formula>
    </cfRule>
  </conditionalFormatting>
  <conditionalFormatting sqref="B38">
    <cfRule type="cellIs" dxfId="2536" priority="206" operator="greaterThan">
      <formula>0</formula>
    </cfRule>
  </conditionalFormatting>
  <conditionalFormatting sqref="B38">
    <cfRule type="cellIs" dxfId="2535" priority="207" operator="lessThan">
      <formula>0</formula>
    </cfRule>
  </conditionalFormatting>
  <conditionalFormatting sqref="B38">
    <cfRule type="cellIs" dxfId="2534" priority="208" operator="greaterThan">
      <formula>0</formula>
    </cfRule>
  </conditionalFormatting>
  <conditionalFormatting sqref="B38">
    <cfRule type="cellIs" dxfId="2533" priority="209" operator="lessThan">
      <formula>0</formula>
    </cfRule>
  </conditionalFormatting>
  <conditionalFormatting sqref="B39">
    <cfRule type="cellIs" dxfId="2532" priority="198" operator="greaterThan">
      <formula>0</formula>
    </cfRule>
  </conditionalFormatting>
  <conditionalFormatting sqref="B39">
    <cfRule type="cellIs" dxfId="2531" priority="199" operator="lessThan">
      <formula>0</formula>
    </cfRule>
  </conditionalFormatting>
  <conditionalFormatting sqref="B39">
    <cfRule type="cellIs" dxfId="2530" priority="200" operator="greaterThan">
      <formula>0</formula>
    </cfRule>
  </conditionalFormatting>
  <conditionalFormatting sqref="B39">
    <cfRule type="cellIs" dxfId="2529" priority="201" operator="lessThan">
      <formula>0</formula>
    </cfRule>
  </conditionalFormatting>
  <conditionalFormatting sqref="B39">
    <cfRule type="cellIs" dxfId="2528" priority="202" operator="greaterThan">
      <formula>0</formula>
    </cfRule>
  </conditionalFormatting>
  <conditionalFormatting sqref="B39">
    <cfRule type="cellIs" dxfId="2527" priority="203" operator="lessThan">
      <formula>0</formula>
    </cfRule>
  </conditionalFormatting>
  <conditionalFormatting sqref="B31:B34 B37">
    <cfRule type="cellIs" dxfId="2526" priority="194" operator="greaterThan">
      <formula>0</formula>
    </cfRule>
  </conditionalFormatting>
  <conditionalFormatting sqref="B31:B34 B37">
    <cfRule type="cellIs" dxfId="2525" priority="195" operator="lessThan">
      <formula>0</formula>
    </cfRule>
  </conditionalFormatting>
  <conditionalFormatting sqref="B31:B34 B37">
    <cfRule type="cellIs" dxfId="2524" priority="196" operator="greaterThan">
      <formula>0</formula>
    </cfRule>
  </conditionalFormatting>
  <conditionalFormatting sqref="B31:B34 B37">
    <cfRule type="cellIs" dxfId="2523" priority="197" operator="lessThan">
      <formula>0</formula>
    </cfRule>
  </conditionalFormatting>
  <conditionalFormatting sqref="B35:B36">
    <cfRule type="cellIs" dxfId="2522" priority="186" operator="greaterThan">
      <formula>0</formula>
    </cfRule>
  </conditionalFormatting>
  <conditionalFormatting sqref="B35:B36">
    <cfRule type="cellIs" dxfId="2521" priority="187" operator="lessThan">
      <formula>0</formula>
    </cfRule>
  </conditionalFormatting>
  <conditionalFormatting sqref="B35:B36">
    <cfRule type="cellIs" dxfId="2520" priority="188" operator="greaterThan">
      <formula>0</formula>
    </cfRule>
  </conditionalFormatting>
  <conditionalFormatting sqref="B35:B36">
    <cfRule type="cellIs" dxfId="2519" priority="189" operator="lessThan">
      <formula>0</formula>
    </cfRule>
  </conditionalFormatting>
  <conditionalFormatting sqref="B36">
    <cfRule type="cellIs" dxfId="2518" priority="190" operator="greaterThan">
      <formula>0</formula>
    </cfRule>
  </conditionalFormatting>
  <conditionalFormatting sqref="B36">
    <cfRule type="cellIs" dxfId="2517" priority="191" operator="lessThan">
      <formula>0</formula>
    </cfRule>
  </conditionalFormatting>
  <conditionalFormatting sqref="B35">
    <cfRule type="cellIs" dxfId="2516" priority="192" operator="greaterThan">
      <formula>0</formula>
    </cfRule>
  </conditionalFormatting>
  <conditionalFormatting sqref="B35">
    <cfRule type="cellIs" dxfId="2515" priority="193" operator="lessThan">
      <formula>0</formula>
    </cfRule>
  </conditionalFormatting>
  <conditionalFormatting sqref="K39 K41 K43 K45 K47 K49 K51 K53 K55 K57 K59 K61 K63 K65 K67 K69 K71">
    <cfRule type="cellIs" dxfId="2514" priority="185" operator="greaterThan">
      <formula>J39</formula>
    </cfRule>
  </conditionalFormatting>
  <conditionalFormatting sqref="J39 J41 J43 J45 J47 J49 J51 J53 J55 J57 J59 J61 J63 J65 J67 J69 J71">
    <cfRule type="cellIs" dxfId="2513" priority="184" operator="greaterThan">
      <formula>1.49</formula>
    </cfRule>
  </conditionalFormatting>
  <conditionalFormatting sqref="L39 L41 L43 L45 L47 L49 L51 L53 L55 L57 L59 L61 L63 L65 L67 L69 L71">
    <cfRule type="cellIs" dxfId="2512" priority="183" operator="greaterThan">
      <formula>K39</formula>
    </cfRule>
  </conditionalFormatting>
  <conditionalFormatting sqref="B4">
    <cfRule type="cellIs" dxfId="2511" priority="176" operator="greaterThan">
      <formula>0</formula>
    </cfRule>
  </conditionalFormatting>
  <conditionalFormatting sqref="B4">
    <cfRule type="cellIs" dxfId="2510" priority="177" operator="lessThan">
      <formula>0</formula>
    </cfRule>
  </conditionalFormatting>
  <conditionalFormatting sqref="B4">
    <cfRule type="cellIs" dxfId="2509" priority="178" operator="greaterThan">
      <formula>0</formula>
    </cfRule>
  </conditionalFormatting>
  <conditionalFormatting sqref="B4">
    <cfRule type="cellIs" dxfId="2508" priority="179" operator="lessThan">
      <formula>0</formula>
    </cfRule>
  </conditionalFormatting>
  <conditionalFormatting sqref="B4">
    <cfRule type="cellIs" dxfId="2507" priority="172" operator="greaterThan">
      <formula>0</formula>
    </cfRule>
  </conditionalFormatting>
  <conditionalFormatting sqref="B4">
    <cfRule type="cellIs" dxfId="2506" priority="173" operator="lessThan">
      <formula>0</formula>
    </cfRule>
  </conditionalFormatting>
  <conditionalFormatting sqref="B4">
    <cfRule type="cellIs" dxfId="2505" priority="174" operator="greaterThan">
      <formula>0</formula>
    </cfRule>
  </conditionalFormatting>
  <conditionalFormatting sqref="B4">
    <cfRule type="cellIs" dxfId="2504" priority="175" operator="lessThan">
      <formula>0</formula>
    </cfRule>
  </conditionalFormatting>
  <conditionalFormatting sqref="B4">
    <cfRule type="cellIs" dxfId="2503" priority="168" operator="greaterThan">
      <formula>0</formula>
    </cfRule>
  </conditionalFormatting>
  <conditionalFormatting sqref="B4">
    <cfRule type="cellIs" dxfId="2502" priority="169" operator="lessThan">
      <formula>0</formula>
    </cfRule>
  </conditionalFormatting>
  <conditionalFormatting sqref="B4">
    <cfRule type="cellIs" dxfId="2501" priority="170" operator="greaterThan">
      <formula>0</formula>
    </cfRule>
  </conditionalFormatting>
  <conditionalFormatting sqref="B4">
    <cfRule type="cellIs" dxfId="2500" priority="171" operator="lessThan">
      <formula>0</formula>
    </cfRule>
  </conditionalFormatting>
  <conditionalFormatting sqref="B4">
    <cfRule type="cellIs" dxfId="2499" priority="164" operator="greaterThan">
      <formula>0</formula>
    </cfRule>
  </conditionalFormatting>
  <conditionalFormatting sqref="B4">
    <cfRule type="cellIs" dxfId="2498" priority="165" operator="lessThan">
      <formula>0</formula>
    </cfRule>
  </conditionalFormatting>
  <conditionalFormatting sqref="B4">
    <cfRule type="cellIs" dxfId="2497" priority="166" operator="greaterThan">
      <formula>0</formula>
    </cfRule>
  </conditionalFormatting>
  <conditionalFormatting sqref="B4">
    <cfRule type="cellIs" dxfId="2496" priority="167" operator="lessThan">
      <formula>0</formula>
    </cfRule>
  </conditionalFormatting>
  <conditionalFormatting sqref="B4">
    <cfRule type="cellIs" dxfId="2495" priority="160" operator="greaterThan">
      <formula>0</formula>
    </cfRule>
  </conditionalFormatting>
  <conditionalFormatting sqref="B4">
    <cfRule type="cellIs" dxfId="2494" priority="161" operator="lessThan">
      <formula>0</formula>
    </cfRule>
  </conditionalFormatting>
  <conditionalFormatting sqref="B4">
    <cfRule type="cellIs" dxfId="2493" priority="162" operator="greaterThan">
      <formula>0</formula>
    </cfRule>
  </conditionalFormatting>
  <conditionalFormatting sqref="B4">
    <cfRule type="cellIs" dxfId="2492" priority="163" operator="lessThan">
      <formula>0</formula>
    </cfRule>
  </conditionalFormatting>
  <conditionalFormatting sqref="B4">
    <cfRule type="cellIs" dxfId="2491" priority="156" operator="greaterThan">
      <formula>0</formula>
    </cfRule>
  </conditionalFormatting>
  <conditionalFormatting sqref="B4">
    <cfRule type="cellIs" dxfId="2490" priority="157" operator="lessThan">
      <formula>0</formula>
    </cfRule>
  </conditionalFormatting>
  <conditionalFormatting sqref="B4">
    <cfRule type="cellIs" dxfId="2489" priority="158" operator="greaterThan">
      <formula>0</formula>
    </cfRule>
  </conditionalFormatting>
  <conditionalFormatting sqref="B4">
    <cfRule type="cellIs" dxfId="2488" priority="159" operator="lessThan">
      <formula>0</formula>
    </cfRule>
  </conditionalFormatting>
  <conditionalFormatting sqref="B4">
    <cfRule type="cellIs" dxfId="2487" priority="152" operator="greaterThan">
      <formula>0</formula>
    </cfRule>
  </conditionalFormatting>
  <conditionalFormatting sqref="B4">
    <cfRule type="cellIs" dxfId="2486" priority="153" operator="lessThan">
      <formula>0</formula>
    </cfRule>
  </conditionalFormatting>
  <conditionalFormatting sqref="B4">
    <cfRule type="cellIs" dxfId="2485" priority="154" operator="greaterThan">
      <formula>0</formula>
    </cfRule>
  </conditionalFormatting>
  <conditionalFormatting sqref="B4">
    <cfRule type="cellIs" dxfId="2484" priority="155" operator="lessThan">
      <formula>0</formula>
    </cfRule>
  </conditionalFormatting>
  <conditionalFormatting sqref="B4">
    <cfRule type="cellIs" dxfId="2483" priority="148" operator="greaterThan">
      <formula>0</formula>
    </cfRule>
  </conditionalFormatting>
  <conditionalFormatting sqref="B4">
    <cfRule type="cellIs" dxfId="2482" priority="149" operator="lessThan">
      <formula>0</formula>
    </cfRule>
  </conditionalFormatting>
  <conditionalFormatting sqref="B4">
    <cfRule type="cellIs" dxfId="2481" priority="150" operator="greaterThan">
      <formula>0</formula>
    </cfRule>
  </conditionalFormatting>
  <conditionalFormatting sqref="B4">
    <cfRule type="cellIs" dxfId="2480" priority="151" operator="lessThan">
      <formula>0</formula>
    </cfRule>
  </conditionalFormatting>
  <conditionalFormatting sqref="B4">
    <cfRule type="cellIs" dxfId="2479" priority="144" operator="greaterThan">
      <formula>0</formula>
    </cfRule>
  </conditionalFormatting>
  <conditionalFormatting sqref="B4">
    <cfRule type="cellIs" dxfId="2478" priority="145" operator="lessThan">
      <formula>0</formula>
    </cfRule>
  </conditionalFormatting>
  <conditionalFormatting sqref="B4">
    <cfRule type="cellIs" dxfId="2477" priority="146" operator="greaterThan">
      <formula>0</formula>
    </cfRule>
  </conditionalFormatting>
  <conditionalFormatting sqref="B4">
    <cfRule type="cellIs" dxfId="2476" priority="147" operator="lessThan">
      <formula>0</formula>
    </cfRule>
  </conditionalFormatting>
  <conditionalFormatting sqref="B8">
    <cfRule type="cellIs" dxfId="2475" priority="140" operator="greaterThan">
      <formula>0</formula>
    </cfRule>
  </conditionalFormatting>
  <conditionalFormatting sqref="B8">
    <cfRule type="cellIs" dxfId="2474" priority="141" operator="lessThan">
      <formula>0</formula>
    </cfRule>
  </conditionalFormatting>
  <conditionalFormatting sqref="B8">
    <cfRule type="cellIs" dxfId="2473" priority="142" operator="greaterThan">
      <formula>0</formula>
    </cfRule>
  </conditionalFormatting>
  <conditionalFormatting sqref="B8">
    <cfRule type="cellIs" dxfId="2472" priority="143" operator="lessThan">
      <formula>0</formula>
    </cfRule>
  </conditionalFormatting>
  <conditionalFormatting sqref="B8">
    <cfRule type="cellIs" dxfId="2471" priority="136" operator="greaterThan">
      <formula>0</formula>
    </cfRule>
  </conditionalFormatting>
  <conditionalFormatting sqref="B8">
    <cfRule type="cellIs" dxfId="2470" priority="137" operator="lessThan">
      <formula>0</formula>
    </cfRule>
  </conditionalFormatting>
  <conditionalFormatting sqref="B8">
    <cfRule type="cellIs" dxfId="2469" priority="138" operator="greaterThan">
      <formula>0</formula>
    </cfRule>
  </conditionalFormatting>
  <conditionalFormatting sqref="B8">
    <cfRule type="cellIs" dxfId="2468" priority="139" operator="lessThan">
      <formula>0</formula>
    </cfRule>
  </conditionalFormatting>
  <conditionalFormatting sqref="B6:B7">
    <cfRule type="cellIs" dxfId="2467" priority="92" operator="greaterThan">
      <formula>0</formula>
    </cfRule>
  </conditionalFormatting>
  <conditionalFormatting sqref="B6:B7">
    <cfRule type="cellIs" dxfId="2466" priority="93" operator="lessThan">
      <formula>0</formula>
    </cfRule>
  </conditionalFormatting>
  <conditionalFormatting sqref="B6:B7">
    <cfRule type="cellIs" dxfId="2465" priority="94" operator="greaterThan">
      <formula>0</formula>
    </cfRule>
  </conditionalFormatting>
  <conditionalFormatting sqref="B6:B7">
    <cfRule type="cellIs" dxfId="2464" priority="95" operator="lessThan">
      <formula>0</formula>
    </cfRule>
  </conditionalFormatting>
  <conditionalFormatting sqref="B9:B10">
    <cfRule type="cellIs" dxfId="2463" priority="132" operator="greaterThan">
      <formula>0</formula>
    </cfRule>
  </conditionalFormatting>
  <conditionalFormatting sqref="B9:B10">
    <cfRule type="cellIs" dxfId="2462" priority="133" operator="lessThan">
      <formula>0</formula>
    </cfRule>
  </conditionalFormatting>
  <conditionalFormatting sqref="B9:B10">
    <cfRule type="cellIs" dxfId="2461" priority="134" operator="greaterThan">
      <formula>0</formula>
    </cfRule>
  </conditionalFormatting>
  <conditionalFormatting sqref="B9:B10">
    <cfRule type="cellIs" dxfId="2460" priority="135" operator="lessThan">
      <formula>0</formula>
    </cfRule>
  </conditionalFormatting>
  <conditionalFormatting sqref="B10">
    <cfRule type="cellIs" dxfId="2459" priority="128" operator="greaterThan">
      <formula>0</formula>
    </cfRule>
  </conditionalFormatting>
  <conditionalFormatting sqref="B10">
    <cfRule type="cellIs" dxfId="2458" priority="129" operator="lessThan">
      <formula>0</formula>
    </cfRule>
  </conditionalFormatting>
  <conditionalFormatting sqref="B10">
    <cfRule type="cellIs" dxfId="2457" priority="130" operator="greaterThan">
      <formula>0</formula>
    </cfRule>
  </conditionalFormatting>
  <conditionalFormatting sqref="B10">
    <cfRule type="cellIs" dxfId="2456" priority="131" operator="lessThan">
      <formula>0</formula>
    </cfRule>
  </conditionalFormatting>
  <conditionalFormatting sqref="B10">
    <cfRule type="cellIs" dxfId="2455" priority="124" operator="greaterThan">
      <formula>0</formula>
    </cfRule>
  </conditionalFormatting>
  <conditionalFormatting sqref="B10">
    <cfRule type="cellIs" dxfId="2454" priority="125" operator="lessThan">
      <formula>0</formula>
    </cfRule>
  </conditionalFormatting>
  <conditionalFormatting sqref="B10">
    <cfRule type="cellIs" dxfId="2453" priority="126" operator="greaterThan">
      <formula>0</formula>
    </cfRule>
  </conditionalFormatting>
  <conditionalFormatting sqref="B10">
    <cfRule type="cellIs" dxfId="2452" priority="127" operator="lessThan">
      <formula>0</formula>
    </cfRule>
  </conditionalFormatting>
  <conditionalFormatting sqref="B9">
    <cfRule type="cellIs" dxfId="2451" priority="120" operator="greaterThan">
      <formula>0</formula>
    </cfRule>
  </conditionalFormatting>
  <conditionalFormatting sqref="B9">
    <cfRule type="cellIs" dxfId="2450" priority="121" operator="lessThan">
      <formula>0</formula>
    </cfRule>
  </conditionalFormatting>
  <conditionalFormatting sqref="B9">
    <cfRule type="cellIs" dxfId="2449" priority="122" operator="greaterThan">
      <formula>0</formula>
    </cfRule>
  </conditionalFormatting>
  <conditionalFormatting sqref="B9">
    <cfRule type="cellIs" dxfId="2448" priority="123" operator="lessThan">
      <formula>0</formula>
    </cfRule>
  </conditionalFormatting>
  <conditionalFormatting sqref="B9:B10">
    <cfRule type="cellIs" dxfId="2447" priority="116" operator="greaterThan">
      <formula>0</formula>
    </cfRule>
  </conditionalFormatting>
  <conditionalFormatting sqref="B9:B10">
    <cfRule type="cellIs" dxfId="2446" priority="117" operator="lessThan">
      <formula>0</formula>
    </cfRule>
  </conditionalFormatting>
  <conditionalFormatting sqref="B9:B10">
    <cfRule type="cellIs" dxfId="2445" priority="118" operator="greaterThan">
      <formula>0</formula>
    </cfRule>
  </conditionalFormatting>
  <conditionalFormatting sqref="B9:B10">
    <cfRule type="cellIs" dxfId="2444" priority="119" operator="lessThan">
      <formula>0</formula>
    </cfRule>
  </conditionalFormatting>
  <conditionalFormatting sqref="B9:B10">
    <cfRule type="cellIs" dxfId="2443" priority="112" operator="greaterThan">
      <formula>0</formula>
    </cfRule>
  </conditionalFormatting>
  <conditionalFormatting sqref="B9:B10">
    <cfRule type="cellIs" dxfId="2442" priority="113" operator="lessThan">
      <formula>0</formula>
    </cfRule>
  </conditionalFormatting>
  <conditionalFormatting sqref="B9:B10">
    <cfRule type="cellIs" dxfId="2441" priority="114" operator="greaterThan">
      <formula>0</formula>
    </cfRule>
  </conditionalFormatting>
  <conditionalFormatting sqref="B9:B10">
    <cfRule type="cellIs" dxfId="2440" priority="115" operator="lessThan">
      <formula>0</formula>
    </cfRule>
  </conditionalFormatting>
  <conditionalFormatting sqref="B6:B7">
    <cfRule type="cellIs" dxfId="2439" priority="108" operator="greaterThan">
      <formula>0</formula>
    </cfRule>
  </conditionalFormatting>
  <conditionalFormatting sqref="B6:B7">
    <cfRule type="cellIs" dxfId="2438" priority="109" operator="lessThan">
      <formula>0</formula>
    </cfRule>
  </conditionalFormatting>
  <conditionalFormatting sqref="B6:B7">
    <cfRule type="cellIs" dxfId="2437" priority="110" operator="greaterThan">
      <formula>0</formula>
    </cfRule>
  </conditionalFormatting>
  <conditionalFormatting sqref="B6:B7">
    <cfRule type="cellIs" dxfId="2436" priority="111" operator="lessThan">
      <formula>0</formula>
    </cfRule>
  </conditionalFormatting>
  <conditionalFormatting sqref="B6:B7">
    <cfRule type="cellIs" dxfId="2435" priority="104" operator="greaterThan">
      <formula>0</formula>
    </cfRule>
  </conditionalFormatting>
  <conditionalFormatting sqref="B6:B7">
    <cfRule type="cellIs" dxfId="2434" priority="105" operator="lessThan">
      <formula>0</formula>
    </cfRule>
  </conditionalFormatting>
  <conditionalFormatting sqref="B6:B7">
    <cfRule type="cellIs" dxfId="2433" priority="106" operator="greaterThan">
      <formula>0</formula>
    </cfRule>
  </conditionalFormatting>
  <conditionalFormatting sqref="B6:B7">
    <cfRule type="cellIs" dxfId="2432" priority="107" operator="lessThan">
      <formula>0</formula>
    </cfRule>
  </conditionalFormatting>
  <conditionalFormatting sqref="B6:B7">
    <cfRule type="cellIs" dxfId="2431" priority="100" operator="greaterThan">
      <formula>0</formula>
    </cfRule>
  </conditionalFormatting>
  <conditionalFormatting sqref="B6:B7">
    <cfRule type="cellIs" dxfId="2430" priority="101" operator="lessThan">
      <formula>0</formula>
    </cfRule>
  </conditionalFormatting>
  <conditionalFormatting sqref="B6:B7">
    <cfRule type="cellIs" dxfId="2429" priority="102" operator="greaterThan">
      <formula>0</formula>
    </cfRule>
  </conditionalFormatting>
  <conditionalFormatting sqref="B6:B7">
    <cfRule type="cellIs" dxfId="2428" priority="103" operator="lessThan">
      <formula>0</formula>
    </cfRule>
  </conditionalFormatting>
  <conditionalFormatting sqref="B6:B7">
    <cfRule type="cellIs" dxfId="2427" priority="96" operator="greaterThan">
      <formula>0</formula>
    </cfRule>
  </conditionalFormatting>
  <conditionalFormatting sqref="B6:B7">
    <cfRule type="cellIs" dxfId="2426" priority="97" operator="lessThan">
      <formula>0</formula>
    </cfRule>
  </conditionalFormatting>
  <conditionalFormatting sqref="B6:B7">
    <cfRule type="cellIs" dxfId="2425" priority="98" operator="greaterThan">
      <formula>0</formula>
    </cfRule>
  </conditionalFormatting>
  <conditionalFormatting sqref="B6:B7">
    <cfRule type="cellIs" dxfId="2424" priority="99" operator="lessThan">
      <formula>0</formula>
    </cfRule>
  </conditionalFormatting>
  <conditionalFormatting sqref="B6:B7">
    <cfRule type="cellIs" dxfId="2423" priority="88" operator="greaterThan">
      <formula>0</formula>
    </cfRule>
  </conditionalFormatting>
  <conditionalFormatting sqref="B6:B7">
    <cfRule type="cellIs" dxfId="2422" priority="89" operator="lessThan">
      <formula>0</formula>
    </cfRule>
  </conditionalFormatting>
  <conditionalFormatting sqref="B6:B7">
    <cfRule type="cellIs" dxfId="2421" priority="90" operator="greaterThan">
      <formula>0</formula>
    </cfRule>
  </conditionalFormatting>
  <conditionalFormatting sqref="B6:B7">
    <cfRule type="cellIs" dxfId="2420" priority="91" operator="lessThan">
      <formula>0</formula>
    </cfRule>
  </conditionalFormatting>
  <conditionalFormatting sqref="B6:B7">
    <cfRule type="cellIs" dxfId="2419" priority="84" operator="greaterThan">
      <formula>0</formula>
    </cfRule>
  </conditionalFormatting>
  <conditionalFormatting sqref="B6:B7">
    <cfRule type="cellIs" dxfId="2418" priority="85" operator="lessThan">
      <formula>0</formula>
    </cfRule>
  </conditionalFormatting>
  <conditionalFormatting sqref="B6:B7">
    <cfRule type="cellIs" dxfId="2417" priority="86" operator="greaterThan">
      <formula>0</formula>
    </cfRule>
  </conditionalFormatting>
  <conditionalFormatting sqref="B6:B7">
    <cfRule type="cellIs" dxfId="2416" priority="87" operator="lessThan">
      <formula>0</formula>
    </cfRule>
  </conditionalFormatting>
  <conditionalFormatting sqref="L2:M2">
    <cfRule type="cellIs" dxfId="2415" priority="82" operator="lessThan">
      <formula>0</formula>
    </cfRule>
    <cfRule type="cellIs" dxfId="2414" priority="83" operator="greaterThan">
      <formula>0</formula>
    </cfRule>
  </conditionalFormatting>
  <conditionalFormatting sqref="B19">
    <cfRule type="cellIs" dxfId="2413" priority="78" operator="greaterThan">
      <formula>0</formula>
    </cfRule>
  </conditionalFormatting>
  <conditionalFormatting sqref="B19">
    <cfRule type="cellIs" dxfId="2412" priority="79" operator="lessThan">
      <formula>0</formula>
    </cfRule>
  </conditionalFormatting>
  <conditionalFormatting sqref="B19">
    <cfRule type="cellIs" dxfId="2411" priority="80" operator="greaterThan">
      <formula>0</formula>
    </cfRule>
  </conditionalFormatting>
  <conditionalFormatting sqref="B19">
    <cfRule type="cellIs" dxfId="2410" priority="81" operator="lessThan">
      <formula>0</formula>
    </cfRule>
  </conditionalFormatting>
  <conditionalFormatting sqref="B19">
    <cfRule type="cellIs" dxfId="2409" priority="74" operator="greaterThan">
      <formula>0</formula>
    </cfRule>
  </conditionalFormatting>
  <conditionalFormatting sqref="B19">
    <cfRule type="cellIs" dxfId="2408" priority="75" operator="lessThan">
      <formula>0</formula>
    </cfRule>
  </conditionalFormatting>
  <conditionalFormatting sqref="B19">
    <cfRule type="cellIs" dxfId="2407" priority="76" operator="greaterThan">
      <formula>0</formula>
    </cfRule>
  </conditionalFormatting>
  <conditionalFormatting sqref="B19">
    <cfRule type="cellIs" dxfId="2406" priority="77" operator="lessThan">
      <formula>0</formula>
    </cfRule>
  </conditionalFormatting>
  <conditionalFormatting sqref="B3">
    <cfRule type="cellIs" dxfId="2405" priority="70" operator="greaterThan">
      <formula>0</formula>
    </cfRule>
  </conditionalFormatting>
  <conditionalFormatting sqref="B3">
    <cfRule type="cellIs" dxfId="2404" priority="71" operator="lessThan">
      <formula>0</formula>
    </cfRule>
  </conditionalFormatting>
  <conditionalFormatting sqref="B3">
    <cfRule type="cellIs" dxfId="2403" priority="72" operator="greaterThan">
      <formula>0</formula>
    </cfRule>
  </conditionalFormatting>
  <conditionalFormatting sqref="B3">
    <cfRule type="cellIs" dxfId="2402" priority="73" operator="lessThan">
      <formula>0</formula>
    </cfRule>
  </conditionalFormatting>
  <conditionalFormatting sqref="B3">
    <cfRule type="cellIs" dxfId="2401" priority="66" operator="greaterThan">
      <formula>0</formula>
    </cfRule>
  </conditionalFormatting>
  <conditionalFormatting sqref="B3">
    <cfRule type="cellIs" dxfId="2400" priority="67" operator="lessThan">
      <formula>0</formula>
    </cfRule>
  </conditionalFormatting>
  <conditionalFormatting sqref="B3">
    <cfRule type="cellIs" dxfId="2399" priority="68" operator="greaterThan">
      <formula>0</formula>
    </cfRule>
  </conditionalFormatting>
  <conditionalFormatting sqref="B3">
    <cfRule type="cellIs" dxfId="2398" priority="69" operator="lessThan">
      <formula>0</formula>
    </cfRule>
  </conditionalFormatting>
  <conditionalFormatting sqref="B3">
    <cfRule type="cellIs" dxfId="2397" priority="62" operator="greaterThan">
      <formula>0</formula>
    </cfRule>
  </conditionalFormatting>
  <conditionalFormatting sqref="B3">
    <cfRule type="cellIs" dxfId="2396" priority="63" operator="lessThan">
      <formula>0</formula>
    </cfRule>
  </conditionalFormatting>
  <conditionalFormatting sqref="B3">
    <cfRule type="cellIs" dxfId="2395" priority="64" operator="greaterThan">
      <formula>0</formula>
    </cfRule>
  </conditionalFormatting>
  <conditionalFormatting sqref="B3">
    <cfRule type="cellIs" dxfId="2394" priority="65" operator="lessThan">
      <formula>0</formula>
    </cfRule>
  </conditionalFormatting>
  <conditionalFormatting sqref="B3">
    <cfRule type="cellIs" dxfId="2393" priority="58" operator="greaterThan">
      <formula>0</formula>
    </cfRule>
  </conditionalFormatting>
  <conditionalFormatting sqref="B3">
    <cfRule type="cellIs" dxfId="2392" priority="59" operator="lessThan">
      <formula>0</formula>
    </cfRule>
  </conditionalFormatting>
  <conditionalFormatting sqref="B3">
    <cfRule type="cellIs" dxfId="2391" priority="60" operator="greaterThan">
      <formula>0</formula>
    </cfRule>
  </conditionalFormatting>
  <conditionalFormatting sqref="B3">
    <cfRule type="cellIs" dxfId="2390" priority="61" operator="lessThan">
      <formula>0</formula>
    </cfRule>
  </conditionalFormatting>
  <conditionalFormatting sqref="B7">
    <cfRule type="cellIs" dxfId="2389" priority="54" operator="greaterThan">
      <formula>0</formula>
    </cfRule>
  </conditionalFormatting>
  <conditionalFormatting sqref="B7">
    <cfRule type="cellIs" dxfId="2388" priority="55" operator="lessThan">
      <formula>0</formula>
    </cfRule>
  </conditionalFormatting>
  <conditionalFormatting sqref="B7">
    <cfRule type="cellIs" dxfId="2387" priority="56" operator="greaterThan">
      <formula>0</formula>
    </cfRule>
  </conditionalFormatting>
  <conditionalFormatting sqref="B7">
    <cfRule type="cellIs" dxfId="2386" priority="57" operator="lessThan">
      <formula>0</formula>
    </cfRule>
  </conditionalFormatting>
  <conditionalFormatting sqref="B7">
    <cfRule type="cellIs" dxfId="2385" priority="50" operator="greaterThan">
      <formula>0</formula>
    </cfRule>
  </conditionalFormatting>
  <conditionalFormatting sqref="B7">
    <cfRule type="cellIs" dxfId="2384" priority="51" operator="lessThan">
      <formula>0</formula>
    </cfRule>
  </conditionalFormatting>
  <conditionalFormatting sqref="B7">
    <cfRule type="cellIs" dxfId="2383" priority="52" operator="greaterThan">
      <formula>0</formula>
    </cfRule>
  </conditionalFormatting>
  <conditionalFormatting sqref="B7">
    <cfRule type="cellIs" dxfId="2382" priority="53" operator="lessThan">
      <formula>0</formula>
    </cfRule>
  </conditionalFormatting>
  <conditionalFormatting sqref="B7">
    <cfRule type="cellIs" dxfId="2381" priority="46" operator="greaterThan">
      <formula>0</formula>
    </cfRule>
  </conditionalFormatting>
  <conditionalFormatting sqref="B7">
    <cfRule type="cellIs" dxfId="2380" priority="47" operator="lessThan">
      <formula>0</formula>
    </cfRule>
  </conditionalFormatting>
  <conditionalFormatting sqref="B7">
    <cfRule type="cellIs" dxfId="2379" priority="48" operator="greaterThan">
      <formula>0</formula>
    </cfRule>
  </conditionalFormatting>
  <conditionalFormatting sqref="B7">
    <cfRule type="cellIs" dxfId="2378" priority="49" operator="lessThan">
      <formula>0</formula>
    </cfRule>
  </conditionalFormatting>
  <conditionalFormatting sqref="B7">
    <cfRule type="cellIs" dxfId="2377" priority="42" operator="greaterThan">
      <formula>0</formula>
    </cfRule>
  </conditionalFormatting>
  <conditionalFormatting sqref="B7">
    <cfRule type="cellIs" dxfId="2376" priority="43" operator="lessThan">
      <formula>0</formula>
    </cfRule>
  </conditionalFormatting>
  <conditionalFormatting sqref="B7">
    <cfRule type="cellIs" dxfId="2375" priority="44" operator="greaterThan">
      <formula>0</formula>
    </cfRule>
  </conditionalFormatting>
  <conditionalFormatting sqref="B7">
    <cfRule type="cellIs" dxfId="2374" priority="45" operator="lessThan">
      <formula>0</formula>
    </cfRule>
  </conditionalFormatting>
  <conditionalFormatting sqref="B7">
    <cfRule type="cellIs" dxfId="2373" priority="38" operator="greaterThan">
      <formula>0</formula>
    </cfRule>
  </conditionalFormatting>
  <conditionalFormatting sqref="B7">
    <cfRule type="cellIs" dxfId="2372" priority="39" operator="lessThan">
      <formula>0</formula>
    </cfRule>
  </conditionalFormatting>
  <conditionalFormatting sqref="B7">
    <cfRule type="cellIs" dxfId="2371" priority="40" operator="greaterThan">
      <formula>0</formula>
    </cfRule>
  </conditionalFormatting>
  <conditionalFormatting sqref="B7">
    <cfRule type="cellIs" dxfId="2370" priority="41" operator="lessThan">
      <formula>0</formula>
    </cfRule>
  </conditionalFormatting>
  <conditionalFormatting sqref="B7">
    <cfRule type="cellIs" dxfId="2369" priority="34" operator="greaterThan">
      <formula>0</formula>
    </cfRule>
  </conditionalFormatting>
  <conditionalFormatting sqref="B7">
    <cfRule type="cellIs" dxfId="2368" priority="35" operator="lessThan">
      <formula>0</formula>
    </cfRule>
  </conditionalFormatting>
  <conditionalFormatting sqref="B7">
    <cfRule type="cellIs" dxfId="2367" priority="36" operator="greaterThan">
      <formula>0</formula>
    </cfRule>
  </conditionalFormatting>
  <conditionalFormatting sqref="B7">
    <cfRule type="cellIs" dxfId="2366" priority="37" operator="lessThan">
      <formula>0</formula>
    </cfRule>
  </conditionalFormatting>
  <conditionalFormatting sqref="B7">
    <cfRule type="cellIs" dxfId="2365" priority="30" operator="greaterThan">
      <formula>0</formula>
    </cfRule>
  </conditionalFormatting>
  <conditionalFormatting sqref="B7">
    <cfRule type="cellIs" dxfId="2364" priority="31" operator="lessThan">
      <formula>0</formula>
    </cfRule>
  </conditionalFormatting>
  <conditionalFormatting sqref="B7">
    <cfRule type="cellIs" dxfId="2363" priority="32" operator="greaterThan">
      <formula>0</formula>
    </cfRule>
  </conditionalFormatting>
  <conditionalFormatting sqref="B7">
    <cfRule type="cellIs" dxfId="2362" priority="33" operator="lessThan">
      <formula>0</formula>
    </cfRule>
  </conditionalFormatting>
  <conditionalFormatting sqref="B7">
    <cfRule type="cellIs" dxfId="2361" priority="26" operator="greaterThan">
      <formula>0</formula>
    </cfRule>
  </conditionalFormatting>
  <conditionalFormatting sqref="B7">
    <cfRule type="cellIs" dxfId="2360" priority="27" operator="lessThan">
      <formula>0</formula>
    </cfRule>
  </conditionalFormatting>
  <conditionalFormatting sqref="B7">
    <cfRule type="cellIs" dxfId="2359" priority="28" operator="greaterThan">
      <formula>0</formula>
    </cfRule>
  </conditionalFormatting>
  <conditionalFormatting sqref="B7">
    <cfRule type="cellIs" dxfId="2358" priority="29" operator="lessThan">
      <formula>0</formula>
    </cfRule>
  </conditionalFormatting>
  <conditionalFormatting sqref="B7">
    <cfRule type="cellIs" dxfId="2357" priority="22" operator="greaterThan">
      <formula>0</formula>
    </cfRule>
  </conditionalFormatting>
  <conditionalFormatting sqref="B7">
    <cfRule type="cellIs" dxfId="2356" priority="23" operator="lessThan">
      <formula>0</formula>
    </cfRule>
  </conditionalFormatting>
  <conditionalFormatting sqref="B7">
    <cfRule type="cellIs" dxfId="2355" priority="24" operator="greaterThan">
      <formula>0</formula>
    </cfRule>
  </conditionalFormatting>
  <conditionalFormatting sqref="B7">
    <cfRule type="cellIs" dxfId="2354" priority="25" operator="lessThan">
      <formula>0</formula>
    </cfRule>
  </conditionalFormatting>
  <conditionalFormatting sqref="AH3:AH42">
    <cfRule type="cellIs" dxfId="2353" priority="21" operator="lessThan">
      <formula>0.01</formula>
    </cfRule>
  </conditionalFormatting>
  <conditionalFormatting sqref="V3:V42">
    <cfRule type="cellIs" dxfId="2352" priority="20" operator="lessThan">
      <formula>0.01</formula>
    </cfRule>
  </conditionalFormatting>
  <conditionalFormatting sqref="AR3:AR42">
    <cfRule type="expression" dxfId="2351" priority="19">
      <formula>$O$18-$U3&lt;0</formula>
    </cfRule>
  </conditionalFormatting>
  <conditionalFormatting sqref="AR3:AR42">
    <cfRule type="expression" dxfId="2350" priority="18">
      <formula>$O$18-$U3&gt;0</formula>
    </cfRule>
  </conditionalFormatting>
  <conditionalFormatting sqref="AS3:AS42">
    <cfRule type="expression" dxfId="2349" priority="17">
      <formula>$O$18-$U3&lt;0</formula>
    </cfRule>
  </conditionalFormatting>
  <conditionalFormatting sqref="AS3:AS42">
    <cfRule type="expression" dxfId="2348" priority="16">
      <formula>$O$18-$U3&gt;0</formula>
    </cfRule>
  </conditionalFormatting>
  <conditionalFormatting sqref="AT3:AT42">
    <cfRule type="expression" dxfId="2347" priority="15">
      <formula>$O$18-$U3&lt;0</formula>
    </cfRule>
  </conditionalFormatting>
  <conditionalFormatting sqref="AT3:AT42">
    <cfRule type="expression" dxfId="2346" priority="14">
      <formula>$O$18-$U3&gt;0</formula>
    </cfRule>
  </conditionalFormatting>
  <conditionalFormatting sqref="T3:T42">
    <cfRule type="cellIs" dxfId="2345" priority="13" operator="equal">
      <formula>0</formula>
    </cfRule>
  </conditionalFormatting>
  <conditionalFormatting sqref="AF3:AF42">
    <cfRule type="cellIs" dxfId="2344" priority="12" operator="equal">
      <formula>0</formula>
    </cfRule>
  </conditionalFormatting>
  <conditionalFormatting sqref="AB3:AB42">
    <cfRule type="cellIs" dxfId="2343" priority="9" operator="equal">
      <formula>0</formula>
    </cfRule>
  </conditionalFormatting>
  <conditionalFormatting sqref="AC3:AC42">
    <cfRule type="cellIs" dxfId="2342" priority="8" operator="equal">
      <formula>0</formula>
    </cfRule>
  </conditionalFormatting>
  <conditionalFormatting sqref="AM3:AM42">
    <cfRule type="cellIs" dxfId="2341" priority="4" operator="lessThan">
      <formula>AH3</formula>
    </cfRule>
    <cfRule type="cellIs" dxfId="2340" priority="5" operator="equal">
      <formula>0</formula>
    </cfRule>
  </conditionalFormatting>
  <conditionalFormatting sqref="AK3:AL42">
    <cfRule type="cellIs" dxfId="2339" priority="3" operator="equal">
      <formula>0</formula>
    </cfRule>
  </conditionalFormatting>
  <conditionalFormatting sqref="AN3:AN42">
    <cfRule type="cellIs" dxfId="2338" priority="2" operator="equal">
      <formula>0</formula>
    </cfRule>
  </conditionalFormatting>
  <conditionalFormatting sqref="AO3:AO42">
    <cfRule type="cellIs" dxfId="2337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7 N12:N17 N19:N24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63"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19" t="str">
        <f>'epgb-ggal'!X3</f>
        <v>GFGC14915D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tr">
        <f>'epgb-ggal'!X4</f>
        <v>GFGC1570DI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tr">
        <f>'epgb-ggal'!X5</f>
        <v>GFGC1640DI</v>
      </c>
      <c r="B4" s="20"/>
      <c r="C4" s="19"/>
      <c r="D4" s="20"/>
      <c r="E4" s="19" t="s">
        <v>621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tr">
        <f>'epgb-ggal'!X6</f>
        <v>GFGC17715D</v>
      </c>
      <c r="B5" s="20"/>
      <c r="C5" s="19"/>
      <c r="D5" s="20"/>
      <c r="E5" s="19" t="s">
        <v>622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tr">
        <f>'epgb-ggal'!X7</f>
        <v>GFGC18515D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tr">
        <f>'epgb-ggal'!X8</f>
        <v>GFGC19315D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tr">
        <f>'epgb-ggal'!X9</f>
        <v>GFGC2020DI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311" t="str">
        <f>'epgb-ggal'!X10</f>
        <v>GFGC20915D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tr">
        <f>'epgb-ggal'!AJ3</f>
        <v>GFGV80456D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tr">
        <f>'epgb-ggal'!AJ4</f>
        <v>GFGV830.DI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tr">
        <f>'epgb-ggal'!AJ5</f>
        <v>GFGV90152D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tr">
        <f>'epgb-ggal'!AJ6</f>
        <v>GFGV94152D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tr">
        <f>'epgb-ggal'!AJ7</f>
        <v>GFGV990.DI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tr">
        <f>'epgb-ggal'!AJ8</f>
        <v>GFGV1033DI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tr">
        <f>'epgb-ggal'!AJ9</f>
        <v>GFGV10915D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tr">
        <f>'epgb-ggal'!AJ10</f>
        <v>GFGV1150DI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623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624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625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626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627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628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629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630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631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632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633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634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549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550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551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552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553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554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543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544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545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546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547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548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594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183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595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230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596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231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588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186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589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238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590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239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591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184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592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240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593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241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597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185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598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242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599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243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600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187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601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232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602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233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603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164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604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220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605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221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609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190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610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234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611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235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606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188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607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236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608</v>
      </c>
      <c r="F94" s="20"/>
      <c r="G94" s="21" t="s">
        <v>555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237</v>
      </c>
      <c r="F95" s="20"/>
      <c r="G95" s="21" t="s">
        <v>556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612</v>
      </c>
      <c r="F96" s="20"/>
      <c r="G96" s="21" t="s">
        <v>557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189</v>
      </c>
      <c r="F97" s="20"/>
      <c r="G97" s="21" t="s">
        <v>558</v>
      </c>
      <c r="H97" s="20"/>
      <c r="I97" s="21"/>
      <c r="J97" s="20"/>
      <c r="K97" s="21"/>
      <c r="L97" s="20"/>
      <c r="M97" s="21"/>
    </row>
    <row r="98" spans="1:13" s="4" customFormat="1">
      <c r="A98" s="19"/>
      <c r="B98" s="6"/>
      <c r="C98" s="19"/>
      <c r="D98" s="20"/>
      <c r="E98" s="19" t="s">
        <v>613</v>
      </c>
      <c r="F98" s="20"/>
      <c r="G98" s="21" t="s">
        <v>559</v>
      </c>
      <c r="H98" s="20"/>
      <c r="I98" s="21"/>
      <c r="J98" s="20"/>
      <c r="K98" s="21"/>
      <c r="L98" s="20"/>
      <c r="M98" s="21"/>
    </row>
    <row r="99" spans="1:13" s="4" customFormat="1">
      <c r="A99" s="19"/>
      <c r="B99" s="6"/>
      <c r="C99" s="19"/>
      <c r="D99" s="20"/>
      <c r="E99" s="19" t="s">
        <v>276</v>
      </c>
      <c r="F99" s="20"/>
      <c r="G99" s="21" t="s">
        <v>560</v>
      </c>
      <c r="H99" s="20"/>
      <c r="I99" s="21"/>
      <c r="J99" s="20"/>
      <c r="K99" s="21"/>
      <c r="L99" s="20"/>
      <c r="M99" s="21"/>
    </row>
    <row r="100" spans="1:13" s="4" customFormat="1">
      <c r="A100" s="19"/>
      <c r="B100" s="6"/>
      <c r="C100" s="19"/>
      <c r="D100" s="20"/>
      <c r="E100" s="19" t="s">
        <v>614</v>
      </c>
      <c r="F100" s="20"/>
      <c r="G100" s="21" t="s">
        <v>561</v>
      </c>
      <c r="H100" s="20"/>
      <c r="I100" s="21"/>
      <c r="J100" s="20"/>
      <c r="K100" s="21"/>
      <c r="L100" s="20"/>
      <c r="M100" s="21"/>
    </row>
    <row r="101" spans="1:13" s="4" customFormat="1">
      <c r="A101" s="19"/>
      <c r="B101" s="6"/>
      <c r="C101" s="19"/>
      <c r="D101" s="20"/>
      <c r="E101" s="19" t="s">
        <v>277</v>
      </c>
      <c r="F101" s="20"/>
      <c r="G101" s="21" t="s">
        <v>562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/>
      <c r="F102" s="20"/>
      <c r="G102" s="21" t="s">
        <v>563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/>
      <c r="F103" s="20"/>
      <c r="G103" s="21" t="s">
        <v>568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/>
      <c r="F104" s="20"/>
      <c r="G104" s="21" t="s">
        <v>564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/>
      <c r="F105" s="20"/>
      <c r="G105" s="21" t="s">
        <v>565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/>
      <c r="F106" s="20"/>
      <c r="G106" s="21" t="s">
        <v>566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/>
      <c r="F107" s="20"/>
      <c r="G107" s="21" t="s">
        <v>567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/>
      <c r="F108" s="20"/>
      <c r="G108" s="21" t="s">
        <v>586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/>
      <c r="F109" s="20"/>
      <c r="G109" s="21" t="s">
        <v>587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/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/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/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/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41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41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41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41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5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5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5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5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 ht="12.75">
      <c r="E583" s="14"/>
    </row>
    <row r="584" spans="5:5" ht="12.75">
      <c r="E584" s="14"/>
    </row>
    <row r="585" spans="5:5" ht="12.75">
      <c r="E585" s="14"/>
    </row>
    <row r="586" spans="5:5" ht="12.75">
      <c r="E586" s="14"/>
    </row>
    <row r="587" spans="5:5" ht="12.75">
      <c r="E587" s="14"/>
    </row>
    <row r="588" spans="5:5" ht="12.75">
      <c r="E588" s="14"/>
    </row>
    <row r="589" spans="5:5" ht="12.75"/>
    <row r="590" spans="5:5" ht="12.75"/>
    <row r="591" spans="5:5" ht="12.75"/>
    <row r="592" spans="5:5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2023-12-14T01:39:05Z</dcterms:modified>
</cp:coreProperties>
</file>