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2814AB2-5D52-4236-A8C5-991070CECF69}" xr6:coauthVersionLast="47" xr6:coauthVersionMax="47" xr10:uidLastSave="{00000000-0000-0000-0000-000000000000}"/>
  <bookViews>
    <workbookView xWindow="7770" yWindow="246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46" l="1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3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U24" i="46"/>
  <c r="W24" i="46" s="1"/>
  <c r="U25" i="46"/>
  <c r="U26" i="46"/>
  <c r="U27" i="46"/>
  <c r="U28" i="46"/>
  <c r="W28" i="46" s="1"/>
  <c r="U29" i="46"/>
  <c r="U30" i="46"/>
  <c r="U31" i="46"/>
  <c r="U32" i="46"/>
  <c r="W32" i="46" s="1"/>
  <c r="U33" i="46"/>
  <c r="U34" i="46"/>
  <c r="U35" i="46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Z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AJ4" i="46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I13" i="46"/>
  <c r="AM15" i="46"/>
  <c r="AK18" i="46"/>
  <c r="AI21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V23" i="46"/>
  <c r="W23" i="46"/>
  <c r="X23" i="46"/>
  <c r="Y23" i="46"/>
  <c r="Z23" i="46"/>
  <c r="AA23" i="46"/>
  <c r="V24" i="46"/>
  <c r="Z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28" i="38"/>
  <c r="AA139" i="38"/>
  <c r="Y64" i="38"/>
  <c r="AA68" i="38"/>
  <c r="AA141" i="38"/>
  <c r="AA140" i="38"/>
  <c r="AA138" i="38"/>
  <c r="AA69" i="38"/>
  <c r="Y1" i="38" s="1"/>
  <c r="Z200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K20" i="46" l="1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O19" i="46" l="1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<sst xmlns="http://schemas.openxmlformats.org/spreadsheetml/2006/main" count="1535" uniqueCount="674">
  <si>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</si>
  <si>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</si>
  <si>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</si>
  <si>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</si>
  <si>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</si>
  <si>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</si>
  <si>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</si>
  <si>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</si>
  <si>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</si>
  <si>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</si>
  <si>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</si>
  <si>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</si>
  <si>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</si>
  <si>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</si>
  <si>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</si>
  <si>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</si>
  <si>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</si>
  <si>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</si>
  <si>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</si>
  <si>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</si>
  <si>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</si>
  <si>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</si>
  <si>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</si>
  <si>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</si>
  <si>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</si>
  <si>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</si>
  <si>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</si>
  <si>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</si>
  <si>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</si>
  <si>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</si>
  <si>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</si>
  <si>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</si>
  <si>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</si>
  <si>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</si>
  <si>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</si>
  <si>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</si>
  <si>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</si>
  <si>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</si>
  <si>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</si>
  <si>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</si>
  <si>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</si>
  <si>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</si>
  <si>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</si>
  <si>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</si>
  <si>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</si>
  <si>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</si>
  <si>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</si>
  <si>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</si>
  <si>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</si>
  <si>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</si>
  <si>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</si>
  <si>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</si>
  <si>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</si>
  <si>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</si>
  <si>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</si>
  <si>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</si>
  <si>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</si>
  <si>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</si>
  <si>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</si>
  <si>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</si>
  <si>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</si>
  <si>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</si>
  <si>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</si>
  <si>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</si>
  <si>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</si>
  <si>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</si>
  <si>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</si>
  <si>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</si>
  <si>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</si>
  <si>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</si>
  <si>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</si>
  <si>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</si>
  <si>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</si>
  <si>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</si>
  <si>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</si>
  <si>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</si>
  <si>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</si>
  <si>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</si>
  <si>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</si>
  <si>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</si>
  <si>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</si>
  <si>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</si>
  <si>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</si>
  <si>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</si>
  <si>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</si>
  <si>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</si>
  <si>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</si>
  <si>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</si>
  <si>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</si>
  <si>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</si>
  <si>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</si>
  <si>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</si>
  <si>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</si>
  <si>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</si>
  <si>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</si>
  <si>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</si>
  <si>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</si>
  <si>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</si>
  <si>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</si>
  <si>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</si>
  <si>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</si>
  <si>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</si>
  <si>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</si>
  <si>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</si>
  <si>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</si>
  <si>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</si>
  <si>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</si>
  <si>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</si>
  <si>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</si>
  <si>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</si>
  <si>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</si>
  <si>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</si>
  <si>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</si>
  <si>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</si>
  <si>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</si>
  <si>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</si>
  <si>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</si>
  <si>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</si>
  <si>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</si>
  <si>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</si>
  <si>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</si>
  <si>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</si>
  <si>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</si>
  <si>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</si>
  <si>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</si>
  <si>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</si>
  <si>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</si>
  <si>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</si>
  <si>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</si>
  <si>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</si>
  <si>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</si>
  <si>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</si>
  <si>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</si>
  <si>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</si>
  <si>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</si>
  <si>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</si>
  <si>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</si>
  <si>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</si>
  <si>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</si>
  <si>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</si>
  <si>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</si>
  <si>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</si>
  <si>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</si>
  <si>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</si>
  <si>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</si>
  <si>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</si>
  <si>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</si>
  <si>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</si>
  <si>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</si>
  <si>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</si>
  <si>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</si>
  <si>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</si>
  <si>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</si>
  <si>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</si>
  <si>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</si>
  <si>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</si>
  <si>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</si>
  <si>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</si>
  <si>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</si>
  <si>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</si>
  <si>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</si>
  <si>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</si>
  <si>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</si>
  <si>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</si>
  <si>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</si>
  <si>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</si>
  <si>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</si>
  <si>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</si>
  <si>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</si>
  <si>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</si>
  <si>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</si>
  <si>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</si>
  <si>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</si>
  <si>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</si>
  <si>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</si>
  <si>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</si>
  <si>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</si>
  <si>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</si>
  <si>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</si>
  <si>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</si>
  <si>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</si>
  <si>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</si>
  <si>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</si>
  <si>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</si>
  <si>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</si>
  <si>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</si>
  <si>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</si>
  <si>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</si>
  <si>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</si>
  <si>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</si>
  <si>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</si>
  <si>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</si>
  <si>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</si>
  <si>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</si>
  <si>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</si>
  <si>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</si>
  <si>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</si>
  <si>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</si>
  <si>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</si>
  <si>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</si>
  <si>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</si>
  <si>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</si>
  <si>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</si>
  <si>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</si>
  <si>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</si>
  <si>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</si>
  <si>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</si>
  <si>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</si>
  <si>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</si>
  <si>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</si>
  <si>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</si>
  <si>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</si>
  <si>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</si>
  <si>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</si>
  <si>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</si>
  <si>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</si>
  <si>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</si>
  <si>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</si>
  <si>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</si>
  <si>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</si>
  <si>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</si>
  <si>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</si>
  <si>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</si>
  <si>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</si>
  <si>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</si>
  <si>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</si>
  <si>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</si>
  <si>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</si>
  <si>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</si>
  <si>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</si>
  <si>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</si>
  <si>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</si>
  <si>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</si>
  <si>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</si>
  <si>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</si>
  <si>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</si>
  <si>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</si>
  <si>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</si>
  <si>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</si>
  <si>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</si>
  <si>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</si>
  <si>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</si>
  <si>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</si>
  <si>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</si>
  <si>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</si>
  <si>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</si>
  <si>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</si>
  <si>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</si>
  <si>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</si>
  <si>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</si>
  <si>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</si>
  <si>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</si>
  <si>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</si>
  <si>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</si>
  <si>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</si>
  <si>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</si>
  <si>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</si>
  <si>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</si>
  <si>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</si>
  <si>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</si>
  <si>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</si>
  <si>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</si>
  <si>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</si>
  <si>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</si>
  <si>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</si>
  <si>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</si>
  <si>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</si>
  <si>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</si>
  <si>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</si>
  <si>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</si>
  <si>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</si>
  <si>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</si>
  <si>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</si>
  <si>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</si>
  <si>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</si>
  <si>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</si>
  <si>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</si>
  <si>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</si>
  <si>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</si>
  <si>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</si>
  <si>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</si>
  <si>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</si>
  <si>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</si>
  <si>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</si>
  <si>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</si>
  <si>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</si>
  <si>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</si>
  <si>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</si>
  <si>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</si>
  <si>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</si>
  <si>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</si>
  <si>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</si>
  <si>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</si>
  <si>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</si>
  <si>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</si>
  <si>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</si>
  <si>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</si>
  <si>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</si>
  <si>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</si>
  <si>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</si>
  <si>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</si>
  <si>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</si>
  <si>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</si>
  <si>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</si>
  <si>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</si>
  <si>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</si>
  <si>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</si>
  <si>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</si>
  <si>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</si>
  <si>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</si>
  <si>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</si>
  <si>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</si>
  <si>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</si>
  <si>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</si>
  <si>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</si>
  <si>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</si>
  <si>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</si>
  <si>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</si>
  <si>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</si>
  <si>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</si>
  <si>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</si>
  <si>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</si>
  <si>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</si>
  <si>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</si>
  <si>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</si>
  <si>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</si>
  <si>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</si>
  <si>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</si>
  <si>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</si>
  <si>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</si>
  <si>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</si>
  <si>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</si>
  <si>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</si>
  <si>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</si>
  <si>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</si>
  <si>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</si>
  <si>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</si>
  <si>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</si>
  <si>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</si>
  <si>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</si>
  <si>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</si>
  <si>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</si>
  <si>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</si>
  <si>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</si>
  <si>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</si>
  <si>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</si>
  <si>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</si>
  <si>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</si>
  <si>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</si>
  <si>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</si>
  <si>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</si>
  <si>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</si>
  <si>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</si>
  <si>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</si>
  <si>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</si>
  <si>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</si>
  <si>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</si>
  <si>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</si>
  <si>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</si>
  <si>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</si>
  <si>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</si>
  <si>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</si>
  <si>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</si>
  <si>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</si>
  <si>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</si>
  <si>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</si>
  <si>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</si>
  <si>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</si>
  <si>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</si>
  <si>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</si>
  <si>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</si>
  <si>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</si>
  <si>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</si>
  <si>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</si>
  <si>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</si>
  <si>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</si>
  <si>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</si>
  <si>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</si>
  <si>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</si>
  <si>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</si>
  <si>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</si>
  <si>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</si>
  <si>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</si>
  <si>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</si>
  <si>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</si>
  <si>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</si>
  <si>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</si>
  <si>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</si>
  <si>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</si>
  <si>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</si>
  <si>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</si>
  <si>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</si>
  <si>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</si>
  <si>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</si>
  <si>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</si>
  <si>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</si>
  <si>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</si>
  <si>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</si>
  <si>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</si>
  <si>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</si>
  <si>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</si>
  <si>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</si>
  <si>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</si>
  <si>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</si>
  <si>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</si>
  <si>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</si>
  <si>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</si>
  <si>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</si>
  <si>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</si>
  <si>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</si>
  <si>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</si>
  <si>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</si>
  <si>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</si>
  <si>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</si>
  <si>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</si>
  <si>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</si>
  <si>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</si>
  <si>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</si>
  <si>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</si>
  <si>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</si>
  <si>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</si>
  <si>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</si>
  <si>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</si>
  <si>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</si>
  <si>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</si>
  <si>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</si>
  <si>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</si>
  <si>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</si>
  <si>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</si>
  <si>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</si>
  <si>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</si>
  <si>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</si>
  <si>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</si>
  <si>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</si>
  <si>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</si>
  <si>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</si>
  <si>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</si>
  <si>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</si>
  <si>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</si>
  <si>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</si>
  <si>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</si>
  <si>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</si>
  <si>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</si>
  <si>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</si>
  <si>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</si>
  <si>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</si>
  <si>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</si>
  <si>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</si>
  <si>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</si>
  <si>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</si>
  <si>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</si>
  <si>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</si>
  <si>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</si>
  <si>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</si>
  <si>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</si>
  <si>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</si>
  <si>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</si>
  <si>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</si>
  <si>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</si>
  <si>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</si>
  <si>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</si>
  <si>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</si>
  <si>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</si>
  <si>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</si>
  <si>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</si>
  <si>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</si>
  <si>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</si>
  <si>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</si>
  <si>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</si>
  <si>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</si>
  <si>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</si>
  <si>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</si>
  <si>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</si>
  <si>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</si>
  <si>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</si>
  <si>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</si>
  <si>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</si>
  <si>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</si>
  <si>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</si>
  <si>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</si>
  <si>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</si>
  <si>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</si>
  <si>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</si>
  <si>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</si>
  <si>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</si>
  <si>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</si>
  <si>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</si>
  <si>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</si>
  <si>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</si>
  <si>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</si>
  <si>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</si>
  <si>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</si>
  <si>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</si>
  <si>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</si>
  <si>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</si>
  <si>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</si>
  <si>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</si>
  <si>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</si>
  <si>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</si>
  <si>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</si>
  <si>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</si>
  <si>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</si>
  <si>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</si>
  <si>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</si>
  <si>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</si>
  <si>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</si>
  <si>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</si>
  <si>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</si>
  <si>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</si>
  <si>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</si>
  <si>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</si>
  <si>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</si>
  <si>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</si>
  <si>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</si>
  <si>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</si>
  <si>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</si>
  <si>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</si>
  <si>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</si>
  <si>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</si>
  <si>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</si>
  <si>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</si>
  <si>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</si>
  <si>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</si>
  <si>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</si>
  <si>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</si>
  <si>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</si>
  <si>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</si>
  <si>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</si>
  <si>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</si>
  <si>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</si>
  <si>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</si>
  <si>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</si>
  <si>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</si>
  <si>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</si>
  <si>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</si>
  <si>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</si>
  <si>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</si>
  <si>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</si>
  <si>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</si>
  <si>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</si>
  <si>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</si>
  <si>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</si>
  <si>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</si>
  <si>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</si>
  <si>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</si>
  <si>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</si>
  <si>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</si>
  <si>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</si>
  <si>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</si>
  <si>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</si>
  <si>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</si>
  <si>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</si>
  <si>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</si>
  <si>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</si>
  <si>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</si>
  <si>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</si>
  <si>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</si>
  <si>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</si>
  <si>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</si>
  <si>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</si>
  <si>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</si>
  <si>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</si>
  <si>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</si>
  <si>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</si>
  <si>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</si>
  <si>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</si>
  <si>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</si>
  <si>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</si>
  <si>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</si>
  <si>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</si>
  <si>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</si>
  <si>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</si>
  <si>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</si>
  <si>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</si>
  <si>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</si>
  <si>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</si>
  <si>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</si>
  <si>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</si>
  <si>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</si>
  <si>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</si>
  <si>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</si>
  <si>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</si>
  <si>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</si>
  <si>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</si>
  <si>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</si>
  <si>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</si>
  <si>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</si>
  <si>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</si>
  <si>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</si>
  <si>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</si>
  <si>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</si>
  <si>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</si>
  <si>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</si>
  <si>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</si>
  <si>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</si>
  <si>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</si>
  <si>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</si>
  <si>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</si>
  <si>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</si>
  <si>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</si>
  <si>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</si>
  <si>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</si>
  <si>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</si>
  <si>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</si>
  <si>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</si>
  <si>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</si>
  <si>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</si>
  <si>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</si>
  <si>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</si>
  <si>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</si>
  <si>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</si>
  <si>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</si>
  <si>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</si>
  <si>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</si>
  <si>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</si>
  <si>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</si>
  <si>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</si>
  <si>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STOP</t>
  </si>
  <si>
    <t>S31E5 - spot</t>
  </si>
  <si>
    <t>S31E5 - 48hs</t>
  </si>
  <si>
    <t>SE5C - spot</t>
  </si>
  <si>
    <t>SE5C - 48hs</t>
  </si>
  <si>
    <t>SE5D - spot</t>
  </si>
  <si>
    <t>SE5D - 48hs</t>
  </si>
  <si>
    <t>TRAIL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</si>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</sst>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8"/>
      <color theme="1" tint="0.249977111117893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</cellStyleXfs>
  <cellXfs count="85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8" fillId="10" borderId="98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6" fillId="10" borderId="98" xfId="0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7" fillId="19" borderId="25" xfId="0" applyFont="1" applyFill="1" applyBorder="1" applyAlignment="1">
      <alignment horizontal="center" vertical="center"/>
    </xf>
    <xf numFmtId="0" fontId="65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8" fillId="10" borderId="11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0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3" fontId="36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69" fillId="10" borderId="102" xfId="0" applyFont="1" applyFill="1" applyBorder="1" applyAlignment="1">
      <alignment horizontal="left" vertical="center"/>
    </xf>
    <xf numFmtId="0" fontId="72" fillId="13" borderId="8" xfId="15" applyFont="1" applyFill="1" applyBorder="1" applyAlignment="1">
      <alignment horizontal="center" vertical="center"/>
    </xf>
    <xf numFmtId="0" fontId="73" fillId="13" borderId="8" xfId="15" applyFont="1" applyFill="1" applyBorder="1" applyAlignment="1">
      <alignment horizontal="center" vertical="center"/>
    </xf>
    <xf numFmtId="0" fontId="74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19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0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0" xfId="0" applyNumberFormat="1" applyFont="1" applyFill="1" applyBorder="1" applyAlignment="1">
      <alignment horizontal="center" vertical="center"/>
    </xf>
    <xf numFmtId="166" fontId="36" fillId="10" borderId="111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19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0" xfId="0" applyFont="1" applyFill="1" applyBorder="1" applyAlignment="1">
      <alignment horizontal="right" vertical="center"/>
    </xf>
    <xf numFmtId="0" fontId="38" fillId="10" borderId="113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6" fillId="10" borderId="122" xfId="55" applyNumberFormat="1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6" fillId="10" borderId="124" xfId="55" applyNumberFormat="1" applyFont="1" applyFill="1" applyBorder="1" applyAlignment="1">
      <alignment horizontal="right" vertical="center"/>
    </xf>
    <xf numFmtId="10" fontId="30" fillId="10" borderId="124" xfId="114" applyNumberFormat="1" applyFont="1" applyFill="1" applyBorder="1" applyAlignment="1">
      <alignment horizontal="right" vertical="center"/>
    </xf>
    <xf numFmtId="10" fontId="72" fillId="10" borderId="122" xfId="114" applyNumberFormat="1" applyFont="1" applyFill="1" applyBorder="1" applyAlignment="1">
      <alignment horizontal="right" vertical="center"/>
    </xf>
    <xf numFmtId="10" fontId="72" fillId="10" borderId="10" xfId="114" applyNumberFormat="1" applyFont="1" applyFill="1" applyBorder="1" applyAlignment="1">
      <alignment horizontal="right" vertical="center"/>
    </xf>
    <xf numFmtId="10" fontId="72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1" fontId="76" fillId="11" borderId="114" xfId="77" applyNumberFormat="1" applyFont="1" applyFill="1" applyBorder="1" applyAlignment="1">
      <alignment horizontal="center" vertical="center"/>
    </xf>
    <xf numFmtId="1" fontId="77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right" vertical="center"/>
    </xf>
    <xf numFmtId="0" fontId="71" fillId="9" borderId="116" xfId="55" applyNumberFormat="1" applyFont="1" applyFill="1" applyBorder="1" applyAlignment="1">
      <alignment horizontal="right" vertical="center"/>
    </xf>
    <xf numFmtId="0" fontId="71" fillId="9" borderId="94" xfId="55" applyNumberFormat="1" applyFont="1" applyFill="1" applyBorder="1" applyAlignment="1">
      <alignment horizontal="right" vertical="center"/>
    </xf>
    <xf numFmtId="10" fontId="80" fillId="10" borderId="95" xfId="114" applyNumberFormat="1" applyFont="1" applyFill="1" applyBorder="1" applyAlignment="1">
      <alignment horizontal="center" vertical="center"/>
    </xf>
    <xf numFmtId="10" fontId="80" fillId="10" borderId="94" xfId="114" applyNumberFormat="1" applyFont="1" applyFill="1" applyBorder="1" applyAlignment="1">
      <alignment horizontal="center" vertical="center"/>
    </xf>
    <xf numFmtId="10" fontId="80" fillId="10" borderId="96" xfId="114" applyNumberFormat="1" applyFont="1" applyFill="1" applyBorder="1" applyAlignment="1">
      <alignment horizontal="center" vertical="center"/>
    </xf>
    <xf numFmtId="10" fontId="80" fillId="10" borderId="98" xfId="114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top"/>
    </xf>
    <xf numFmtId="0" fontId="65" fillId="10" borderId="110" xfId="0" applyFont="1" applyFill="1" applyBorder="1" applyAlignment="1">
      <alignment horizontal="right" vertical="center"/>
    </xf>
    <xf numFmtId="0" fontId="71" fillId="9" borderId="127" xfId="55" applyNumberFormat="1" applyFont="1" applyFill="1" applyBorder="1" applyAlignment="1">
      <alignment horizontal="right" vertical="center"/>
    </xf>
    <xf numFmtId="10" fontId="80" fillId="10" borderId="112" xfId="114" applyNumberFormat="1" applyFont="1" applyFill="1" applyBorder="1" applyAlignment="1">
      <alignment horizontal="center" vertical="center"/>
    </xf>
    <xf numFmtId="166" fontId="36" fillId="10" borderId="113" xfId="0" applyNumberFormat="1" applyFont="1" applyFill="1" applyBorder="1" applyAlignment="1">
      <alignment horizontal="center" vertical="center"/>
    </xf>
    <xf numFmtId="2" fontId="78" fillId="9" borderId="116" xfId="55" applyNumberFormat="1" applyFont="1" applyFill="1" applyBorder="1" applyAlignment="1">
      <alignment horizontal="right" vertical="center"/>
    </xf>
    <xf numFmtId="2" fontId="78" fillId="9" borderId="117" xfId="55" applyNumberFormat="1" applyFont="1" applyFill="1" applyBorder="1" applyAlignment="1">
      <alignment horizontal="right" vertical="center"/>
    </xf>
    <xf numFmtId="10" fontId="85" fillId="10" borderId="95" xfId="114" applyNumberFormat="1" applyFont="1" applyFill="1" applyBorder="1" applyAlignment="1">
      <alignment horizontal="center" vertical="center"/>
    </xf>
    <xf numFmtId="0" fontId="86" fillId="10" borderId="3" xfId="0" applyFont="1" applyFill="1" applyBorder="1" applyAlignment="1">
      <alignment horizontal="right" vertical="center"/>
    </xf>
    <xf numFmtId="0" fontId="86" fillId="10" borderId="95" xfId="0" applyFont="1" applyFill="1" applyBorder="1" applyAlignment="1">
      <alignment horizontal="right" vertical="center"/>
    </xf>
    <xf numFmtId="0" fontId="86" fillId="10" borderId="91" xfId="0" applyFont="1" applyFill="1" applyBorder="1" applyAlignment="1">
      <alignment horizontal="right" vertical="center"/>
    </xf>
    <xf numFmtId="0" fontId="87" fillId="10" borderId="95" xfId="0" applyFont="1" applyFill="1" applyBorder="1" applyAlignment="1">
      <alignment horizontal="right" vertical="center"/>
    </xf>
    <xf numFmtId="3" fontId="87" fillId="10" borderId="95" xfId="0" applyNumberFormat="1" applyFont="1" applyFill="1" applyBorder="1" applyAlignment="1">
      <alignment horizontal="right" vertical="center"/>
    </xf>
    <xf numFmtId="10" fontId="85" fillId="10" borderId="94" xfId="114" applyNumberFormat="1" applyFont="1" applyFill="1" applyBorder="1" applyAlignment="1">
      <alignment horizontal="center" vertical="center"/>
    </xf>
    <xf numFmtId="0" fontId="86" fillId="10" borderId="104" xfId="0" applyFont="1" applyFill="1" applyBorder="1" applyAlignment="1">
      <alignment horizontal="right" vertical="center"/>
    </xf>
    <xf numFmtId="0" fontId="86" fillId="10" borderId="103" xfId="0" applyFont="1" applyFill="1" applyBorder="1" applyAlignment="1">
      <alignment horizontal="right" vertical="center"/>
    </xf>
    <xf numFmtId="0" fontId="86" fillId="10" borderId="120" xfId="0" applyFont="1" applyFill="1" applyBorder="1" applyAlignment="1">
      <alignment horizontal="right" vertical="center"/>
    </xf>
    <xf numFmtId="0" fontId="87" fillId="10" borderId="103" xfId="0" applyFont="1" applyFill="1" applyBorder="1" applyAlignment="1">
      <alignment horizontal="right" vertical="center"/>
    </xf>
    <xf numFmtId="3" fontId="87" fillId="10" borderId="103" xfId="0" applyNumberFormat="1" applyFont="1" applyFill="1" applyBorder="1" applyAlignment="1">
      <alignment horizontal="right" vertical="center"/>
    </xf>
    <xf numFmtId="0" fontId="86" fillId="10" borderId="93" xfId="0" applyFont="1" applyFill="1" applyBorder="1" applyAlignment="1">
      <alignment horizontal="right" vertical="center"/>
    </xf>
    <xf numFmtId="0" fontId="86" fillId="10" borderId="92" xfId="0" applyFont="1" applyFill="1" applyBorder="1" applyAlignment="1">
      <alignment horizontal="right" vertical="center"/>
    </xf>
    <xf numFmtId="0" fontId="86" fillId="10" borderId="119" xfId="0" applyFont="1" applyFill="1" applyBorder="1" applyAlignment="1">
      <alignment horizontal="right" vertical="center"/>
    </xf>
    <xf numFmtId="0" fontId="87" fillId="10" borderId="92" xfId="0" applyFont="1" applyFill="1" applyBorder="1" applyAlignment="1">
      <alignment horizontal="right" vertical="center"/>
    </xf>
    <xf numFmtId="3" fontId="87" fillId="10" borderId="92" xfId="0" applyNumberFormat="1" applyFont="1" applyFill="1" applyBorder="1" applyAlignment="1">
      <alignment horizontal="right" vertical="center"/>
    </xf>
    <xf numFmtId="0" fontId="86" fillId="10" borderId="89" xfId="0" applyFont="1" applyFill="1" applyBorder="1" applyAlignment="1">
      <alignment horizontal="right" vertical="center"/>
    </xf>
    <xf numFmtId="0" fontId="86" fillId="10" borderId="96" xfId="0" applyFont="1" applyFill="1" applyBorder="1" applyAlignment="1">
      <alignment horizontal="right" vertical="center"/>
    </xf>
    <xf numFmtId="0" fontId="86" fillId="10" borderId="90" xfId="0" applyFont="1" applyFill="1" applyBorder="1" applyAlignment="1">
      <alignment horizontal="right" vertical="center"/>
    </xf>
    <xf numFmtId="0" fontId="87" fillId="10" borderId="96" xfId="0" applyFont="1" applyFill="1" applyBorder="1" applyAlignment="1">
      <alignment horizontal="right" vertical="center"/>
    </xf>
    <xf numFmtId="3" fontId="87" fillId="10" borderId="96" xfId="0" applyNumberFormat="1" applyFont="1" applyFill="1" applyBorder="1" applyAlignment="1">
      <alignment horizontal="right" vertical="center"/>
    </xf>
    <xf numFmtId="0" fontId="88" fillId="28" borderId="34" xfId="0" applyFont="1" applyFill="1" applyBorder="1" applyAlignment="1">
      <alignment horizontal="center" vertical="center"/>
    </xf>
    <xf numFmtId="4" fontId="88" fillId="31" borderId="34" xfId="0" applyNumberFormat="1" applyFont="1" applyFill="1" applyBorder="1" applyAlignment="1">
      <alignment horizontal="center" vertical="center"/>
    </xf>
    <xf numFmtId="0" fontId="88" fillId="24" borderId="34" xfId="0" applyFont="1" applyFill="1" applyBorder="1" applyAlignment="1">
      <alignment horizontal="center" vertical="center"/>
    </xf>
    <xf numFmtId="0" fontId="88" fillId="28" borderId="86" xfId="0" applyFont="1" applyFill="1" applyBorder="1" applyAlignment="1">
      <alignment horizontal="center" vertical="center"/>
    </xf>
    <xf numFmtId="0" fontId="35" fillId="41" borderId="0" xfId="184" applyFont="1" applyAlignment="1">
      <alignment horizontal="center" vertical="center"/>
    </xf>
    <xf numFmtId="10" fontId="85" fillId="10" borderId="131" xfId="114" applyNumberFormat="1" applyFont="1" applyFill="1" applyBorder="1" applyAlignment="1">
      <alignment horizontal="center" vertical="center"/>
    </xf>
    <xf numFmtId="0" fontId="86" fillId="10" borderId="133" xfId="0" applyFont="1" applyFill="1" applyBorder="1" applyAlignment="1">
      <alignment horizontal="right" vertical="center"/>
    </xf>
    <xf numFmtId="0" fontId="86" fillId="10" borderId="130" xfId="0" applyFont="1" applyFill="1" applyBorder="1" applyAlignment="1">
      <alignment horizontal="right" vertical="center"/>
    </xf>
    <xf numFmtId="0" fontId="86" fillId="10" borderId="134" xfId="0" applyFont="1" applyFill="1" applyBorder="1" applyAlignment="1">
      <alignment horizontal="right" vertical="center"/>
    </xf>
    <xf numFmtId="0" fontId="87" fillId="10" borderId="130" xfId="0" applyFont="1" applyFill="1" applyBorder="1" applyAlignment="1">
      <alignment horizontal="right" vertical="center"/>
    </xf>
    <xf numFmtId="3" fontId="87" fillId="10" borderId="130" xfId="0" applyNumberFormat="1" applyFont="1" applyFill="1" applyBorder="1" applyAlignment="1">
      <alignment horizontal="right" vertical="center"/>
    </xf>
    <xf numFmtId="3" fontId="36" fillId="10" borderId="130" xfId="0" applyNumberFormat="1" applyFont="1" applyFill="1" applyBorder="1" applyAlignment="1">
      <alignment horizontal="right" vertical="center"/>
    </xf>
    <xf numFmtId="166" fontId="36" fillId="10" borderId="133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right" vertical="center"/>
    </xf>
    <xf numFmtId="10" fontId="80" fillId="10" borderId="131" xfId="114" applyNumberFormat="1" applyFont="1" applyFill="1" applyBorder="1" applyAlignment="1">
      <alignment horizontal="center" vertical="center"/>
    </xf>
    <xf numFmtId="0" fontId="38" fillId="10" borderId="133" xfId="0" applyFont="1" applyFill="1" applyBorder="1" applyAlignment="1">
      <alignment horizontal="right" vertical="center"/>
    </xf>
    <xf numFmtId="0" fontId="38" fillId="10" borderId="130" xfId="0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0" fontId="36" fillId="10" borderId="130" xfId="0" applyFont="1" applyFill="1" applyBorder="1" applyAlignment="1">
      <alignment horizontal="right" vertical="center"/>
    </xf>
    <xf numFmtId="166" fontId="36" fillId="10" borderId="134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3" fontId="36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3" applyNumberFormat="1" applyFont="1" applyAlignment="1">
      <alignment horizontal="center" vertical="center"/>
    </xf>
    <xf numFmtId="10" fontId="80" fillId="10" borderId="130" xfId="114" applyNumberFormat="1" applyFont="1" applyFill="1" applyBorder="1" applyAlignment="1">
      <alignment horizontal="center" vertical="center"/>
    </xf>
    <xf numFmtId="0" fontId="36" fillId="10" borderId="133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2" fillId="11" borderId="115" xfId="77" applyNumberFormat="1" applyFont="1" applyFill="1" applyBorder="1" applyAlignment="1">
      <alignment horizontal="center" vertical="center"/>
    </xf>
    <xf numFmtId="1" fontId="70" fillId="11" borderId="139" xfId="77" applyNumberFormat="1" applyFont="1" applyFill="1" applyBorder="1" applyAlignment="1">
      <alignment horizontal="center" vertical="center"/>
    </xf>
    <xf numFmtId="1" fontId="89" fillId="11" borderId="114" xfId="77" applyNumberFormat="1" applyFont="1" applyFill="1" applyBorder="1" applyAlignment="1">
      <alignment horizontal="center" vertical="center"/>
    </xf>
    <xf numFmtId="1" fontId="75" fillId="11" borderId="138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7" fillId="9" borderId="0" xfId="0" applyNumberFormat="1" applyFont="1" applyFill="1"/>
    <xf numFmtId="0" fontId="97" fillId="9" borderId="0" xfId="0" applyFont="1" applyFill="1" applyAlignment="1">
      <alignment horizontal="center"/>
    </xf>
    <xf numFmtId="1" fontId="93" fillId="11" borderId="114" xfId="77" applyNumberFormat="1" applyFont="1" applyFill="1" applyBorder="1" applyAlignment="1">
      <alignment horizontal="center" vertical="center"/>
    </xf>
    <xf numFmtId="1" fontId="99" fillId="11" borderId="114" xfId="77" applyNumberFormat="1" applyFont="1" applyFill="1" applyBorder="1" applyAlignment="1">
      <alignment horizontal="center" vertical="center"/>
    </xf>
    <xf numFmtId="1" fontId="91" fillId="11" borderId="139" xfId="77" applyNumberFormat="1" applyFont="1" applyFill="1" applyBorder="1" applyAlignment="1">
      <alignment horizontal="center" vertical="center"/>
    </xf>
    <xf numFmtId="1" fontId="93" fillId="11" borderId="138" xfId="77" applyNumberFormat="1" applyFont="1" applyFill="1" applyBorder="1" applyAlignment="1">
      <alignment horizontal="center" vertical="center"/>
    </xf>
    <xf numFmtId="1" fontId="99" fillId="11" borderId="115" xfId="77" applyNumberFormat="1" applyFont="1" applyFill="1" applyBorder="1" applyAlignment="1">
      <alignment horizontal="center" vertical="center"/>
    </xf>
    <xf numFmtId="1" fontId="91" fillId="11" borderId="115" xfId="77" applyNumberFormat="1" applyFont="1" applyFill="1" applyBorder="1" applyAlignment="1">
      <alignment horizontal="center" vertical="center"/>
    </xf>
    <xf numFmtId="0" fontId="65" fillId="10" borderId="134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100" fillId="0" borderId="0" xfId="0" applyFont="1"/>
    <xf numFmtId="0" fontId="2" fillId="0" borderId="0" xfId="0" applyFont="1"/>
    <xf numFmtId="0" fontId="65" fillId="10" borderId="143" xfId="0" applyFont="1" applyFill="1" applyBorder="1" applyAlignment="1">
      <alignment horizontal="right" vertical="center"/>
    </xf>
    <xf numFmtId="0" fontId="36" fillId="10" borderId="134" xfId="55" applyNumberFormat="1" applyFont="1" applyFill="1" applyBorder="1" applyAlignment="1">
      <alignment horizontal="right" vertical="center"/>
    </xf>
    <xf numFmtId="166" fontId="36" fillId="10" borderId="144" xfId="0" applyNumberFormat="1" applyFont="1" applyFill="1" applyBorder="1" applyAlignment="1">
      <alignment horizontal="center" vertical="center"/>
    </xf>
    <xf numFmtId="0" fontId="39" fillId="9" borderId="118" xfId="0" applyNumberFormat="1" applyFont="1" applyFill="1" applyBorder="1" applyAlignment="1">
      <alignment vertical="center"/>
    </xf>
    <xf numFmtId="0" fontId="39" fillId="9" borderId="144" xfId="0" applyNumberFormat="1" applyFont="1" applyFill="1" applyBorder="1" applyAlignment="1">
      <alignment vertical="center"/>
    </xf>
    <xf numFmtId="3" fontId="96" fillId="7" borderId="140" xfId="0" applyNumberFormat="1" applyFont="1" applyFill="1" applyBorder="1" applyAlignment="1">
      <alignment horizontal="center" vertical="center"/>
    </xf>
    <xf numFmtId="3" fontId="82" fillId="7" borderId="140" xfId="0" applyNumberFormat="1" applyFont="1" applyFill="1" applyBorder="1" applyAlignment="1">
      <alignment horizontal="center" vertical="center"/>
    </xf>
    <xf numFmtId="3" fontId="82" fillId="7" borderId="141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34" xfId="0" applyNumberFormat="1" applyFont="1" applyFill="1" applyBorder="1" applyAlignment="1">
      <alignment horizontal="right" vertical="center"/>
    </xf>
    <xf numFmtId="1" fontId="70" fillId="11" borderId="149" xfId="77" applyNumberFormat="1" applyFont="1" applyFill="1" applyBorder="1" applyAlignment="1">
      <alignment horizontal="center" vertical="center"/>
    </xf>
    <xf numFmtId="0" fontId="8" fillId="4" borderId="151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88" fillId="28" borderId="34" xfId="0" applyNumberFormat="1" applyFont="1" applyFill="1" applyBorder="1" applyAlignment="1">
      <alignment horizontal="center" vertical="center"/>
    </xf>
    <xf numFmtId="0" fontId="93" fillId="9" borderId="129" xfId="0" applyNumberFormat="1" applyFont="1" applyFill="1" applyBorder="1" applyAlignment="1">
      <alignment vertical="top"/>
    </xf>
    <xf numFmtId="0" fontId="31" fillId="9" borderId="118" xfId="0" applyNumberFormat="1" applyFont="1" applyFill="1" applyBorder="1" applyAlignment="1">
      <alignment vertical="center"/>
    </xf>
    <xf numFmtId="2" fontId="95" fillId="9" borderId="129" xfId="0" applyNumberFormat="1" applyFont="1" applyFill="1" applyBorder="1" applyAlignment="1">
      <alignment vertical="center"/>
    </xf>
    <xf numFmtId="0" fontId="70" fillId="9" borderId="118" xfId="0" applyNumberFormat="1" applyFont="1" applyFill="1" applyBorder="1" applyAlignment="1">
      <alignment vertical="center"/>
    </xf>
    <xf numFmtId="2" fontId="71" fillId="9" borderId="135" xfId="0" applyNumberFormat="1" applyFont="1" applyFill="1" applyBorder="1" applyAlignment="1">
      <alignment horizontal="center" vertical="top"/>
    </xf>
    <xf numFmtId="0" fontId="89" fillId="9" borderId="118" xfId="0" applyNumberFormat="1" applyFont="1" applyFill="1" applyBorder="1" applyAlignment="1">
      <alignment vertical="center"/>
    </xf>
    <xf numFmtId="2" fontId="94" fillId="9" borderId="135" xfId="0" applyNumberFormat="1" applyFont="1" applyFill="1" applyBorder="1" applyAlignment="1">
      <alignment vertical="center"/>
    </xf>
    <xf numFmtId="2" fontId="101" fillId="9" borderId="135" xfId="0" applyNumberFormat="1" applyFont="1" applyFill="1" applyBorder="1" applyAlignment="1">
      <alignment vertical="center"/>
    </xf>
    <xf numFmtId="1" fontId="92" fillId="11" borderId="114" xfId="77" applyNumberFormat="1" applyFont="1" applyFill="1" applyBorder="1" applyAlignment="1">
      <alignment horizontal="center" vertical="center"/>
    </xf>
    <xf numFmtId="0" fontId="81" fillId="9" borderId="118" xfId="0" applyNumberFormat="1" applyFont="1" applyFill="1" applyBorder="1" applyAlignment="1">
      <alignment horizontal="center" vertical="top"/>
    </xf>
    <xf numFmtId="0" fontId="81" fillId="9" borderId="131" xfId="0" applyNumberFormat="1" applyFont="1" applyFill="1" applyBorder="1" applyAlignment="1">
      <alignment horizontal="center" vertical="top"/>
    </xf>
    <xf numFmtId="0" fontId="103" fillId="9" borderId="135" xfId="0" applyNumberFormat="1" applyFont="1" applyFill="1" applyBorder="1" applyAlignment="1">
      <alignment horizontal="center" vertical="center"/>
    </xf>
    <xf numFmtId="0" fontId="103" fillId="9" borderId="118" xfId="0" applyNumberFormat="1" applyFont="1" applyFill="1" applyBorder="1" applyAlignment="1">
      <alignment horizontal="center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8" xfId="0" applyFont="1" applyFill="1" applyBorder="1" applyAlignment="1">
      <alignment horizontal="right" vertical="center"/>
    </xf>
    <xf numFmtId="0" fontId="81" fillId="9" borderId="157" xfId="0" applyNumberFormat="1" applyFont="1" applyFill="1" applyBorder="1" applyAlignment="1">
      <alignment horizontal="center" vertical="top"/>
    </xf>
    <xf numFmtId="0" fontId="8" fillId="4" borderId="160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62" xfId="0" applyFont="1" applyFill="1" applyBorder="1" applyAlignment="1">
      <alignment horizontal="center" vertical="center"/>
    </xf>
    <xf numFmtId="0" fontId="54" fillId="24" borderId="163" xfId="0" applyFont="1" applyFill="1" applyBorder="1" applyAlignment="1">
      <alignment horizontal="center" vertical="center"/>
    </xf>
    <xf numFmtId="0" fontId="54" fillId="25" borderId="162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04" fillId="25" borderId="81" xfId="0" applyFont="1" applyFill="1" applyBorder="1" applyAlignment="1">
      <alignment horizontal="center" vertical="center"/>
    </xf>
    <xf numFmtId="0" fontId="106" fillId="21" borderId="32" xfId="0" applyFont="1" applyFill="1" applyBorder="1" applyAlignment="1">
      <alignment horizontal="center" vertical="center"/>
    </xf>
    <xf numFmtId="0" fontId="106" fillId="21" borderId="161" xfId="0" applyFont="1" applyFill="1" applyBorder="1" applyAlignment="1">
      <alignment horizontal="center" vertical="center"/>
    </xf>
    <xf numFmtId="0" fontId="105" fillId="32" borderId="32" xfId="0" applyFont="1" applyFill="1" applyBorder="1" applyAlignment="1">
      <alignment horizontal="center" vertical="center" wrapText="1"/>
    </xf>
    <xf numFmtId="0" fontId="107" fillId="31" borderId="34" xfId="0" applyNumberFormat="1" applyFont="1" applyFill="1" applyBorder="1" applyAlignment="1">
      <alignment horizontal="center" vertical="center"/>
    </xf>
    <xf numFmtId="4" fontId="107" fillId="31" borderId="34" xfId="0" applyNumberFormat="1" applyFont="1" applyFill="1" applyBorder="1" applyAlignment="1">
      <alignment horizontal="center" vertical="center"/>
    </xf>
    <xf numFmtId="0" fontId="108" fillId="28" borderId="34" xfId="0" applyFont="1" applyFill="1" applyBorder="1" applyAlignment="1">
      <alignment horizontal="center" vertical="center"/>
    </xf>
    <xf numFmtId="0" fontId="108" fillId="28" borderId="34" xfId="0" applyNumberFormat="1" applyFont="1" applyFill="1" applyBorder="1" applyAlignment="1">
      <alignment horizontal="center" vertical="center"/>
    </xf>
    <xf numFmtId="0" fontId="88" fillId="28" borderId="166" xfId="0" applyFont="1" applyFill="1" applyBorder="1" applyAlignment="1">
      <alignment horizontal="center" vertical="center"/>
    </xf>
    <xf numFmtId="0" fontId="88" fillId="28" borderId="167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109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64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65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63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0" fillId="19" borderId="25" xfId="0" applyFont="1" applyFill="1" applyBorder="1" applyAlignment="1">
      <alignment horizontal="center" vertical="center"/>
    </xf>
    <xf numFmtId="0" fontId="111" fillId="19" borderId="25" xfId="0" applyFont="1" applyFill="1" applyBorder="1" applyAlignment="1">
      <alignment horizontal="center" vertical="center"/>
    </xf>
    <xf numFmtId="3" fontId="112" fillId="27" borderId="40" xfId="0" applyNumberFormat="1" applyFont="1" applyFill="1" applyBorder="1" applyAlignment="1">
      <alignment horizontal="right" vertical="center"/>
    </xf>
    <xf numFmtId="3" fontId="112" fillId="27" borderId="49" xfId="0" applyNumberFormat="1" applyFont="1" applyFill="1" applyBorder="1" applyAlignment="1">
      <alignment horizontal="right" vertical="center"/>
    </xf>
    <xf numFmtId="3" fontId="112" fillId="27" borderId="50" xfId="0" applyNumberFormat="1" applyFont="1" applyFill="1" applyBorder="1" applyAlignment="1">
      <alignment horizontal="right" vertical="center"/>
    </xf>
    <xf numFmtId="3" fontId="112" fillId="27" borderId="55" xfId="0" applyNumberFormat="1" applyFont="1" applyFill="1" applyBorder="1" applyAlignment="1">
      <alignment horizontal="right" vertical="center"/>
    </xf>
    <xf numFmtId="0" fontId="65" fillId="10" borderId="102" xfId="0" applyFont="1" applyFill="1" applyBorder="1" applyAlignment="1">
      <alignment horizontal="left" vertical="center"/>
    </xf>
    <xf numFmtId="0" fontId="65" fillId="10" borderId="148" xfId="0" applyFont="1" applyFill="1" applyBorder="1" applyAlignment="1">
      <alignment horizontal="left" vertical="center"/>
    </xf>
    <xf numFmtId="0" fontId="65" fillId="10" borderId="97" xfId="0" applyFont="1" applyFill="1" applyBorder="1" applyAlignment="1">
      <alignment horizontal="left" vertical="center"/>
    </xf>
    <xf numFmtId="0" fontId="65" fillId="10" borderId="158" xfId="0" applyFont="1" applyFill="1" applyBorder="1" applyAlignment="1">
      <alignment horizontal="left" vertical="center"/>
    </xf>
    <xf numFmtId="0" fontId="65" fillId="10" borderId="159" xfId="0" applyFont="1" applyFill="1" applyBorder="1" applyAlignment="1">
      <alignment horizontal="left" vertical="center"/>
    </xf>
    <xf numFmtId="0" fontId="49" fillId="20" borderId="168" xfId="0" applyFont="1" applyFill="1" applyBorder="1" applyAlignment="1">
      <alignment horizontal="center" vertical="center"/>
    </xf>
    <xf numFmtId="0" fontId="49" fillId="18" borderId="169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3" fontId="36" fillId="10" borderId="118" xfId="0" applyNumberFormat="1" applyFont="1" applyFill="1" applyBorder="1" applyAlignment="1">
      <alignment horizontal="right" vertical="center"/>
    </xf>
    <xf numFmtId="3" fontId="36" fillId="10" borderId="129" xfId="0" applyNumberFormat="1" applyFont="1" applyFill="1" applyBorder="1" applyAlignment="1">
      <alignment horizontal="right" vertical="center"/>
    </xf>
    <xf numFmtId="3" fontId="36" fillId="10" borderId="153" xfId="0" applyNumberFormat="1" applyFont="1" applyFill="1" applyBorder="1" applyAlignment="1">
      <alignment horizontal="right" vertical="center"/>
    </xf>
    <xf numFmtId="0" fontId="114" fillId="12" borderId="108" xfId="55" applyNumberFormat="1" applyFont="1" applyFill="1" applyBorder="1" applyAlignment="1">
      <alignment horizontal="center" vertical="center"/>
    </xf>
    <xf numFmtId="0" fontId="114" fillId="12" borderId="125" xfId="55" applyNumberFormat="1" applyFont="1" applyFill="1" applyBorder="1" applyAlignment="1">
      <alignment horizontal="center" vertical="center"/>
    </xf>
    <xf numFmtId="0" fontId="38" fillId="10" borderId="180" xfId="0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181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3" fontId="36" fillId="10" borderId="94" xfId="0" applyNumberFormat="1" applyFont="1" applyFill="1" applyBorder="1" applyAlignment="1">
      <alignment horizontal="right" vertical="center"/>
    </xf>
    <xf numFmtId="166" fontId="36" fillId="10" borderId="181" xfId="0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129" xfId="55" applyNumberFormat="1" applyFont="1" applyFill="1" applyBorder="1" applyAlignment="1">
      <alignment horizontal="center" vertical="center"/>
    </xf>
    <xf numFmtId="0" fontId="113" fillId="9" borderId="144" xfId="55" applyNumberFormat="1" applyFont="1" applyFill="1" applyBorder="1" applyAlignment="1">
      <alignment horizontal="center" vertical="center"/>
    </xf>
    <xf numFmtId="167" fontId="36" fillId="10" borderId="130" xfId="55" applyNumberFormat="1" applyFont="1" applyFill="1" applyBorder="1" applyAlignment="1">
      <alignment horizontal="right" vertical="center"/>
    </xf>
    <xf numFmtId="3" fontId="36" fillId="10" borderId="179" xfId="0" applyNumberFormat="1" applyFont="1" applyFill="1" applyBorder="1" applyAlignment="1">
      <alignment horizontal="right" vertical="center"/>
    </xf>
    <xf numFmtId="1" fontId="75" fillId="11" borderId="133" xfId="77" applyNumberFormat="1" applyFont="1" applyFill="1" applyBorder="1" applyAlignment="1">
      <alignment horizontal="center" vertical="center"/>
    </xf>
    <xf numFmtId="0" fontId="93" fillId="9" borderId="157" xfId="0" applyNumberFormat="1" applyFont="1" applyFill="1" applyBorder="1" applyAlignment="1">
      <alignment horizontal="center" vertical="center"/>
    </xf>
    <xf numFmtId="0" fontId="93" fillId="9" borderId="129" xfId="0" applyNumberFormat="1" applyFont="1" applyFill="1" applyBorder="1" applyAlignment="1">
      <alignment horizontal="center" vertical="center"/>
    </xf>
    <xf numFmtId="0" fontId="89" fillId="9" borderId="152" xfId="0" applyNumberFormat="1" applyFont="1" applyFill="1" applyBorder="1" applyAlignment="1">
      <alignment horizontal="center" vertical="center"/>
    </xf>
    <xf numFmtId="0" fontId="31" fillId="9" borderId="118" xfId="0" applyNumberFormat="1" applyFont="1" applyFill="1" applyBorder="1" applyAlignment="1">
      <alignment horizontal="center" vertical="center"/>
    </xf>
    <xf numFmtId="2" fontId="95" fillId="9" borderId="129" xfId="0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2" fontId="71" fillId="9" borderId="135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7" fillId="10" borderId="143" xfId="0" applyFont="1" applyFill="1" applyBorder="1" applyAlignment="1">
      <alignment horizontal="right" vertical="center"/>
    </xf>
    <xf numFmtId="0" fontId="116" fillId="10" borderId="102" xfId="0" applyFont="1" applyFill="1" applyBorder="1" applyAlignment="1">
      <alignment horizontal="left" vertical="center"/>
    </xf>
    <xf numFmtId="170" fontId="102" fillId="10" borderId="150" xfId="0" applyNumberFormat="1" applyFont="1" applyFill="1" applyBorder="1" applyAlignment="1">
      <alignment vertical="center"/>
    </xf>
    <xf numFmtId="168" fontId="102" fillId="9" borderId="184" xfId="0" applyNumberFormat="1" applyFont="1" applyFill="1" applyBorder="1" applyAlignment="1">
      <alignment horizontal="center" vertical="center" wrapText="1"/>
    </xf>
    <xf numFmtId="0" fontId="102" fillId="9" borderId="95" xfId="55" applyNumberFormat="1" applyFont="1" applyFill="1" applyBorder="1" applyAlignment="1">
      <alignment horizontal="center" vertical="center" wrapText="1"/>
    </xf>
    <xf numFmtId="3" fontId="118" fillId="10" borderId="183" xfId="0" applyNumberFormat="1" applyFont="1" applyFill="1" applyBorder="1" applyAlignment="1">
      <alignment horizontal="center" vertical="center"/>
    </xf>
    <xf numFmtId="0" fontId="65" fillId="10" borderId="186" xfId="0" applyFont="1" applyFill="1" applyBorder="1" applyAlignment="1">
      <alignment horizontal="left" vertical="center"/>
    </xf>
    <xf numFmtId="3" fontId="119" fillId="10" borderId="185" xfId="0" applyNumberFormat="1" applyFont="1" applyFill="1" applyBorder="1" applyAlignment="1">
      <alignment horizontal="center" vertical="center"/>
    </xf>
    <xf numFmtId="3" fontId="119" fillId="10" borderId="182" xfId="0" applyNumberFormat="1" applyFont="1" applyFill="1" applyBorder="1" applyAlignment="1">
      <alignment horizontal="center" vertical="center"/>
    </xf>
    <xf numFmtId="0" fontId="103" fillId="9" borderId="157" xfId="0" applyNumberFormat="1" applyFont="1" applyFill="1" applyBorder="1" applyAlignment="1">
      <alignment horizontal="center" vertical="center"/>
    </xf>
    <xf numFmtId="0" fontId="103" fillId="9" borderId="129" xfId="0" applyNumberFormat="1" applyFont="1" applyFill="1" applyBorder="1" applyAlignment="1">
      <alignment horizontal="center" vertical="center"/>
    </xf>
    <xf numFmtId="0" fontId="81" fillId="9" borderId="94" xfId="0" applyNumberFormat="1" applyFont="1" applyFill="1" applyBorder="1" applyAlignment="1">
      <alignment horizontal="center" vertical="top"/>
    </xf>
    <xf numFmtId="0" fontId="81" fillId="9" borderId="95" xfId="0" applyNumberFormat="1" applyFont="1" applyFill="1" applyBorder="1" applyAlignment="1">
      <alignment horizontal="center" vertical="top"/>
    </xf>
    <xf numFmtId="0" fontId="23" fillId="9" borderId="179" xfId="0" applyFont="1" applyFill="1" applyBorder="1" applyAlignment="1">
      <alignment horizontal="center" vertical="center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3" fillId="9" borderId="188" xfId="0" applyNumberFormat="1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82" fillId="9" borderId="179" xfId="0" applyNumberFormat="1" applyFont="1" applyFill="1" applyBorder="1" applyAlignment="1">
      <alignment horizontal="center"/>
    </xf>
    <xf numFmtId="0" fontId="82" fillId="9" borderId="96" xfId="0" applyNumberFormat="1" applyFont="1" applyFill="1" applyBorder="1" applyAlignment="1">
      <alignment horizontal="center"/>
    </xf>
    <xf numFmtId="0" fontId="82" fillId="9" borderId="98" xfId="0" applyNumberFormat="1" applyFont="1" applyFill="1" applyBorder="1" applyAlignment="1">
      <alignment horizontal="center"/>
    </xf>
    <xf numFmtId="0" fontId="82" fillId="9" borderId="94" xfId="0" applyNumberFormat="1" applyFont="1" applyFill="1" applyBorder="1" applyAlignment="1">
      <alignment horizontal="center"/>
    </xf>
    <xf numFmtId="0" fontId="82" fillId="9" borderId="95" xfId="0" applyNumberFormat="1" applyFont="1" applyFill="1" applyBorder="1" applyAlignment="1">
      <alignment horizontal="center"/>
    </xf>
    <xf numFmtId="0" fontId="23" fillId="9" borderId="188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3" fillId="9" borderId="189" xfId="0" applyNumberFormat="1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101" fillId="9" borderId="116" xfId="55" applyNumberFormat="1" applyFont="1" applyFill="1" applyBorder="1" applyAlignment="1">
      <alignment horizontal="left" vertical="center"/>
    </xf>
    <xf numFmtId="0" fontId="71" fillId="9" borderId="136" xfId="55" applyNumberFormat="1" applyFont="1" applyFill="1" applyBorder="1" applyAlignment="1">
      <alignment horizontal="right" vertical="center"/>
    </xf>
    <xf numFmtId="0" fontId="71" fillId="9" borderId="117" xfId="55" applyNumberFormat="1" applyFont="1" applyFill="1" applyBorder="1" applyAlignment="1">
      <alignment horizontal="right" vertical="center"/>
    </xf>
    <xf numFmtId="3" fontId="96" fillId="7" borderId="140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27" xfId="0" applyFont="1" applyFill="1" applyBorder="1" applyAlignment="1">
      <alignment horizontal="right" vertical="center"/>
    </xf>
    <xf numFmtId="0" fontId="84" fillId="9" borderId="92" xfId="0" applyFont="1" applyFill="1" applyBorder="1" applyAlignment="1">
      <alignment horizontal="right" vertical="center"/>
    </xf>
    <xf numFmtId="0" fontId="84" fillId="9" borderId="90" xfId="0" applyFont="1" applyFill="1" applyBorder="1" applyAlignment="1">
      <alignment horizontal="right" vertical="center"/>
    </xf>
    <xf numFmtId="0" fontId="30" fillId="9" borderId="96" xfId="0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right" vertical="center"/>
    </xf>
    <xf numFmtId="0" fontId="30" fillId="9" borderId="130" xfId="0" applyFont="1" applyFill="1" applyBorder="1" applyAlignment="1">
      <alignment horizontal="right" vertical="center"/>
    </xf>
    <xf numFmtId="0" fontId="30" fillId="9" borderId="134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2" fillId="7" borderId="140" xfId="0" applyNumberFormat="1" applyFont="1" applyFill="1" applyBorder="1" applyAlignment="1">
      <alignment horizontal="right" vertical="center"/>
    </xf>
    <xf numFmtId="2" fontId="78" fillId="9" borderId="128" xfId="55" applyNumberFormat="1" applyFont="1" applyFill="1" applyBorder="1" applyAlignment="1">
      <alignment horizontal="left" vertical="center"/>
    </xf>
    <xf numFmtId="2" fontId="78" fillId="9" borderId="187" xfId="55" applyNumberFormat="1" applyFont="1" applyFill="1" applyBorder="1" applyAlignment="1">
      <alignment horizontal="left" vertical="center"/>
    </xf>
    <xf numFmtId="2" fontId="78" fillId="9" borderId="136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20" fillId="11" borderId="115" xfId="77" applyNumberFormat="1" applyFont="1" applyFill="1" applyBorder="1" applyAlignment="1">
      <alignment horizontal="center" vertical="center"/>
    </xf>
    <xf numFmtId="1" fontId="120" fillId="11" borderId="114" xfId="77" applyNumberFormat="1" applyFont="1" applyFill="1" applyBorder="1" applyAlignment="1">
      <alignment horizontal="center" vertical="center"/>
    </xf>
    <xf numFmtId="1" fontId="120" fillId="11" borderId="133" xfId="77" applyNumberFormat="1" applyFont="1" applyFill="1" applyBorder="1" applyAlignment="1">
      <alignment horizontal="center" vertical="center"/>
    </xf>
    <xf numFmtId="0" fontId="71" fillId="9" borderId="116" xfId="55" applyNumberFormat="1" applyFont="1" applyFill="1" applyBorder="1" applyAlignment="1">
      <alignment horizontal="left" vertical="center"/>
    </xf>
    <xf numFmtId="0" fontId="71" fillId="9" borderId="117" xfId="55" applyNumberFormat="1" applyFont="1" applyFill="1" applyBorder="1" applyAlignment="1">
      <alignment horizontal="left" vertical="center"/>
    </xf>
    <xf numFmtId="0" fontId="103" fillId="9" borderId="153" xfId="0" applyNumberFormat="1" applyFont="1" applyFill="1" applyBorder="1" applyAlignment="1">
      <alignment horizontal="center" vertical="center"/>
    </xf>
    <xf numFmtId="0" fontId="30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5" fillId="10" borderId="192" xfId="0" applyFont="1" applyFill="1" applyBorder="1" applyAlignment="1">
      <alignment horizontal="left" vertical="center"/>
    </xf>
    <xf numFmtId="0" fontId="65" fillId="10" borderId="194" xfId="0" applyFont="1" applyFill="1" applyBorder="1" applyAlignment="1">
      <alignment horizontal="right" vertical="center"/>
    </xf>
    <xf numFmtId="0" fontId="65" fillId="10" borderId="193" xfId="0" applyFont="1" applyFill="1" applyBorder="1" applyAlignment="1">
      <alignment horizontal="right" vertical="center"/>
    </xf>
    <xf numFmtId="0" fontId="30" fillId="9" borderId="194" xfId="0" applyFont="1" applyFill="1" applyBorder="1" applyAlignment="1">
      <alignment horizontal="right" vertical="center"/>
    </xf>
    <xf numFmtId="10" fontId="80" fillId="10" borderId="194" xfId="114" applyNumberFormat="1" applyFont="1" applyFill="1" applyBorder="1" applyAlignment="1">
      <alignment horizontal="center" vertical="center"/>
    </xf>
    <xf numFmtId="0" fontId="38" fillId="10" borderId="195" xfId="0" applyFont="1" applyFill="1" applyBorder="1" applyAlignment="1">
      <alignment horizontal="right" vertical="center"/>
    </xf>
    <xf numFmtId="0" fontId="38" fillId="10" borderId="194" xfId="0" applyFont="1" applyFill="1" applyBorder="1" applyAlignment="1">
      <alignment horizontal="right" vertical="center"/>
    </xf>
    <xf numFmtId="0" fontId="38" fillId="10" borderId="193" xfId="0" applyFont="1" applyFill="1" applyBorder="1" applyAlignment="1">
      <alignment horizontal="right" vertical="center"/>
    </xf>
    <xf numFmtId="0" fontId="36" fillId="10" borderId="194" xfId="0" applyFont="1" applyFill="1" applyBorder="1" applyAlignment="1">
      <alignment horizontal="right" vertical="center"/>
    </xf>
    <xf numFmtId="3" fontId="36" fillId="10" borderId="194" xfId="0" applyNumberFormat="1" applyFont="1" applyFill="1" applyBorder="1" applyAlignment="1">
      <alignment horizontal="right" vertical="center"/>
    </xf>
    <xf numFmtId="166" fontId="36" fillId="10" borderId="195" xfId="0" applyNumberFormat="1" applyFont="1" applyFill="1" applyBorder="1" applyAlignment="1">
      <alignment horizontal="center" vertical="center"/>
    </xf>
    <xf numFmtId="0" fontId="26" fillId="9" borderId="194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1" fontId="25" fillId="9" borderId="197" xfId="0" applyNumberFormat="1" applyFont="1" applyFill="1" applyBorder="1" applyAlignment="1">
      <alignment horizontal="center" vertical="center"/>
    </xf>
    <xf numFmtId="0" fontId="103" fillId="9" borderId="198" xfId="0" applyNumberFormat="1" applyFont="1" applyFill="1" applyBorder="1" applyAlignment="1">
      <alignment horizontal="center" vertical="center"/>
    </xf>
    <xf numFmtId="0" fontId="81" fillId="9" borderId="198" xfId="0" applyNumberFormat="1" applyFont="1" applyFill="1" applyBorder="1" applyAlignment="1">
      <alignment horizontal="center" vertical="top"/>
    </xf>
    <xf numFmtId="0" fontId="81" fillId="9" borderId="199" xfId="0" applyNumberFormat="1" applyFont="1" applyFill="1" applyBorder="1" applyAlignment="1">
      <alignment horizontal="center" vertical="top"/>
    </xf>
    <xf numFmtId="0" fontId="65" fillId="10" borderId="200" xfId="0" applyFont="1" applyFill="1" applyBorder="1" applyAlignment="1">
      <alignment horizontal="left" vertical="center"/>
    </xf>
    <xf numFmtId="3" fontId="36" fillId="10" borderId="196" xfId="0" applyNumberFormat="1" applyFont="1" applyFill="1" applyBorder="1" applyAlignment="1">
      <alignment horizontal="right" vertical="center"/>
    </xf>
    <xf numFmtId="0" fontId="26" fillId="9" borderId="193" xfId="0" applyFont="1" applyFill="1" applyBorder="1" applyAlignment="1">
      <alignment horizontal="center" vertical="center"/>
    </xf>
    <xf numFmtId="0" fontId="23" fillId="9" borderId="198" xfId="0" applyFont="1" applyFill="1" applyBorder="1" applyAlignment="1">
      <alignment horizontal="center" vertical="center"/>
    </xf>
    <xf numFmtId="0" fontId="82" fillId="9" borderId="199" xfId="0" applyNumberFormat="1" applyFont="1" applyFill="1" applyBorder="1" applyAlignment="1">
      <alignment horizontal="center"/>
    </xf>
    <xf numFmtId="0" fontId="81" fillId="9" borderId="135" xfId="0" applyNumberFormat="1" applyFont="1" applyFill="1" applyBorder="1" applyAlignment="1">
      <alignment horizontal="center" vertical="top"/>
    </xf>
    <xf numFmtId="0" fontId="121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  <xf numFmtId="2" fontId="78" fillId="9" borderId="201" xfId="55" applyNumberFormat="1" applyFont="1" applyFill="1" applyBorder="1" applyAlignment="1">
      <alignment horizontal="left" vertical="center"/>
    </xf>
    <xf numFmtId="0" fontId="71" fillId="9" borderId="202" xfId="55" applyNumberFormat="1" applyFont="1" applyFill="1" applyBorder="1" applyAlignment="1">
      <alignment horizontal="right" vertical="center"/>
    </xf>
    <xf numFmtId="0" fontId="30" fillId="9" borderId="202" xfId="0" applyFont="1" applyFill="1" applyBorder="1" applyAlignment="1">
      <alignment horizontal="right" vertical="center"/>
    </xf>
    <xf numFmtId="10" fontId="80" fillId="10" borderId="199" xfId="114" applyNumberFormat="1" applyFont="1" applyFill="1" applyBorder="1" applyAlignment="1">
      <alignment horizontal="center" vertical="center"/>
    </xf>
    <xf numFmtId="166" fontId="36" fillId="10" borderId="193" xfId="0" applyNumberFormat="1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78" fillId="9" borderId="116" xfId="55" applyNumberFormat="1" applyFont="1" applyFill="1" applyBorder="1" applyAlignment="1">
      <alignment horizontal="right" vertical="center"/>
    </xf>
    <xf numFmtId="0" fontId="78" fillId="9" borderId="117" xfId="55" applyNumberFormat="1" applyFont="1" applyFill="1" applyBorder="1" applyAlignment="1">
      <alignment horizontal="right" vertical="center"/>
    </xf>
    <xf numFmtId="0" fontId="78" fillId="9" borderId="136" xfId="55" applyNumberFormat="1" applyFont="1" applyFill="1" applyBorder="1" applyAlignment="1">
      <alignment horizontal="right" vertical="center"/>
    </xf>
    <xf numFmtId="0" fontId="36" fillId="10" borderId="95" xfId="55" applyNumberFormat="1" applyFont="1" applyFill="1" applyBorder="1" applyAlignment="1">
      <alignment horizontal="right" vertical="center"/>
    </xf>
    <xf numFmtId="167" fontId="113" fillId="9" borderId="116" xfId="55" applyNumberFormat="1" applyFont="1" applyFill="1" applyBorder="1" applyAlignment="1">
      <alignment horizontal="right" vertical="center"/>
    </xf>
    <xf numFmtId="167" fontId="113" fillId="9" borderId="117" xfId="55" applyNumberFormat="1" applyFont="1" applyFill="1" applyBorder="1" applyAlignment="1">
      <alignment horizontal="right" vertical="center"/>
    </xf>
    <xf numFmtId="0" fontId="36" fillId="10" borderId="94" xfId="55" applyNumberFormat="1" applyFont="1" applyFill="1" applyBorder="1" applyAlignment="1">
      <alignment horizontal="right" vertical="center"/>
    </xf>
    <xf numFmtId="0" fontId="36" fillId="10" borderId="199" xfId="55" applyNumberFormat="1" applyFont="1" applyFill="1" applyBorder="1" applyAlignment="1">
      <alignment horizontal="right" vertical="center"/>
    </xf>
    <xf numFmtId="0" fontId="36" fillId="10" borderId="90" xfId="55" applyNumberFormat="1" applyFont="1" applyFill="1" applyBorder="1" applyAlignment="1">
      <alignment horizontal="right" vertical="center"/>
    </xf>
    <xf numFmtId="0" fontId="36" fillId="10" borderId="98" xfId="55" applyNumberFormat="1" applyFont="1" applyFill="1" applyBorder="1" applyAlignment="1">
      <alignment horizontal="right" vertical="center"/>
    </xf>
    <xf numFmtId="0" fontId="36" fillId="10" borderId="193" xfId="55" applyNumberFormat="1" applyFont="1" applyFill="1" applyBorder="1" applyAlignment="1">
      <alignment horizontal="right" vertical="center"/>
    </xf>
    <xf numFmtId="0" fontId="36" fillId="10" borderId="130" xfId="55" applyNumberFormat="1" applyFont="1" applyFill="1" applyBorder="1" applyAlignment="1">
      <alignment horizontal="right" vertical="center"/>
    </xf>
    <xf numFmtId="167" fontId="36" fillId="10" borderId="91" xfId="55" applyNumberFormat="1" applyFont="1" applyFill="1" applyBorder="1" applyAlignment="1">
      <alignment horizontal="right" vertical="center"/>
    </xf>
    <xf numFmtId="167" fontId="36" fillId="10" borderId="90" xfId="55" applyNumberFormat="1" applyFont="1" applyFill="1" applyBorder="1" applyAlignment="1">
      <alignment horizontal="right" vertical="center"/>
    </xf>
    <xf numFmtId="167" fontId="36" fillId="10" borderId="134" xfId="55" applyNumberFormat="1" applyFont="1" applyFill="1" applyBorder="1" applyAlignment="1">
      <alignment horizontal="right" vertical="center"/>
    </xf>
    <xf numFmtId="167" fontId="36" fillId="10" borderId="96" xfId="55" applyNumberFormat="1" applyFont="1" applyFill="1" applyBorder="1" applyAlignment="1">
      <alignment horizontal="right" vertical="center"/>
    </xf>
    <xf numFmtId="0" fontId="36" fillId="10" borderId="96" xfId="55" applyNumberFormat="1" applyFont="1" applyFill="1" applyBorder="1" applyAlignment="1">
      <alignment horizontal="right" vertical="center"/>
    </xf>
    <xf numFmtId="0" fontId="71" fillId="9" borderId="131" xfId="55" applyNumberFormat="1" applyFont="1" applyFill="1" applyBorder="1" applyAlignment="1">
      <alignment horizontal="right" vertical="center"/>
    </xf>
    <xf numFmtId="165" fontId="79" fillId="9" borderId="118" xfId="55" applyNumberFormat="1" applyFont="1" applyFill="1" applyBorder="1" applyAlignment="1">
      <alignment horizontal="center" vertical="center"/>
    </xf>
    <xf numFmtId="165" fontId="79" fillId="9" borderId="157" xfId="55" applyNumberFormat="1" applyFont="1" applyFill="1" applyBorder="1" applyAlignment="1">
      <alignment horizontal="center" vertical="center"/>
    </xf>
    <xf numFmtId="2" fontId="79" fillId="9" borderId="153" xfId="55" applyNumberFormat="1" applyFont="1" applyFill="1" applyBorder="1" applyAlignment="1">
      <alignment horizontal="center" vertical="center"/>
    </xf>
    <xf numFmtId="2" fontId="79" fillId="9" borderId="157" xfId="55" applyNumberFormat="1" applyFont="1" applyFill="1" applyBorder="1" applyAlignment="1">
      <alignment horizontal="center" vertical="center"/>
    </xf>
    <xf numFmtId="2" fontId="79" fillId="9" borderId="198" xfId="55" applyNumberFormat="1" applyFont="1" applyFill="1" applyBorder="1" applyAlignment="1">
      <alignment horizontal="center" vertical="center"/>
    </xf>
    <xf numFmtId="2" fontId="79" fillId="9" borderId="118" xfId="55" applyNumberFormat="1" applyFont="1" applyFill="1" applyBorder="1" applyAlignment="1">
      <alignment horizontal="center" vertical="center"/>
    </xf>
    <xf numFmtId="2" fontId="79" fillId="9" borderId="135" xfId="55" applyNumberFormat="1" applyFont="1" applyFill="1" applyBorder="1" applyAlignment="1">
      <alignment horizontal="center" vertical="center"/>
    </xf>
    <xf numFmtId="167" fontId="81" fillId="9" borderId="118" xfId="55" applyNumberFormat="1" applyFont="1" applyFill="1" applyBorder="1" applyAlignment="1">
      <alignment horizontal="center" vertical="center"/>
    </xf>
    <xf numFmtId="167" fontId="81" fillId="9" borderId="157" xfId="55" applyNumberFormat="1" applyFont="1" applyFill="1" applyBorder="1" applyAlignment="1">
      <alignment horizontal="center" vertical="center"/>
    </xf>
    <xf numFmtId="167" fontId="81" fillId="9" borderId="135" xfId="55" applyNumberFormat="1" applyFont="1" applyFill="1" applyBorder="1" applyAlignment="1">
      <alignment horizontal="center" vertical="center"/>
    </xf>
    <xf numFmtId="0" fontId="79" fillId="9" borderId="152" xfId="0" applyNumberFormat="1" applyFont="1" applyFill="1" applyBorder="1" applyAlignment="1">
      <alignment horizontal="center"/>
    </xf>
    <xf numFmtId="0" fontId="79" fillId="9" borderId="129" xfId="0" applyNumberFormat="1" applyFont="1" applyFill="1" applyBorder="1" applyAlignment="1">
      <alignment horizontal="center"/>
    </xf>
    <xf numFmtId="0" fontId="79" fillId="9" borderId="153" xfId="0" applyNumberFormat="1" applyFont="1" applyFill="1" applyBorder="1" applyAlignment="1">
      <alignment horizontal="center"/>
    </xf>
    <xf numFmtId="0" fontId="79" fillId="9" borderId="198" xfId="0" applyNumberFormat="1" applyFont="1" applyFill="1" applyBorder="1" applyAlignment="1">
      <alignment horizontal="center"/>
    </xf>
    <xf numFmtId="167" fontId="81" fillId="9" borderId="198" xfId="55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/>
    </xf>
    <xf numFmtId="0" fontId="79" fillId="9" borderId="157" xfId="0" applyNumberFormat="1" applyFont="1" applyFill="1" applyBorder="1" applyAlignment="1">
      <alignment horizontal="center"/>
    </xf>
    <xf numFmtId="0" fontId="81" fillId="9" borderId="154" xfId="55" applyNumberFormat="1" applyFont="1" applyFill="1" applyBorder="1" applyAlignment="1">
      <alignment horizontal="center" vertical="center"/>
    </xf>
    <xf numFmtId="2" fontId="81" fillId="9" borderId="147" xfId="55" applyNumberFormat="1" applyFont="1" applyFill="1" applyBorder="1" applyAlignment="1">
      <alignment horizontal="center" vertical="center"/>
    </xf>
    <xf numFmtId="1" fontId="81" fillId="9" borderId="144" xfId="55" applyNumberFormat="1" applyFont="1" applyFill="1" applyBorder="1" applyAlignment="1">
      <alignment vertical="center"/>
    </xf>
    <xf numFmtId="0" fontId="81" fillId="9" borderId="155" xfId="55" applyNumberFormat="1" applyFont="1" applyFill="1" applyBorder="1" applyAlignment="1">
      <alignment horizontal="center" vertical="center"/>
    </xf>
    <xf numFmtId="1" fontId="81" fillId="9" borderId="146" xfId="55" applyNumberFormat="1" applyFont="1" applyFill="1" applyBorder="1" applyAlignment="1">
      <alignment vertical="center"/>
    </xf>
    <xf numFmtId="2" fontId="81" fillId="9" borderId="145" xfId="55" applyNumberFormat="1" applyFont="1" applyFill="1" applyBorder="1" applyAlignment="1">
      <alignment horizontal="center" vertical="center"/>
    </xf>
    <xf numFmtId="0" fontId="122" fillId="9" borderId="121" xfId="0" applyFont="1" applyFill="1" applyBorder="1" applyAlignment="1">
      <alignment vertical="center"/>
    </xf>
    <xf numFmtId="1" fontId="81" fillId="9" borderId="129" xfId="55" applyNumberFormat="1" applyFont="1" applyFill="1" applyBorder="1" applyAlignment="1">
      <alignment vertical="center"/>
    </xf>
    <xf numFmtId="0" fontId="122" fillId="9" borderId="96" xfId="0" applyFont="1" applyFill="1" applyBorder="1" applyAlignment="1">
      <alignment vertical="center"/>
    </xf>
    <xf numFmtId="0" fontId="113" fillId="9" borderId="156" xfId="55" applyNumberFormat="1" applyFont="1" applyFill="1" applyBorder="1" applyAlignment="1">
      <alignment vertical="center"/>
    </xf>
    <xf numFmtId="2" fontId="79" fillId="9" borderId="98" xfId="55" applyNumberFormat="1" applyFont="1" applyFill="1" applyBorder="1" applyAlignment="1">
      <alignment horizontal="center" vertical="center"/>
    </xf>
    <xf numFmtId="2" fontId="66" fillId="9" borderId="98" xfId="0" applyNumberFormat="1" applyFont="1" applyFill="1" applyBorder="1" applyAlignment="1">
      <alignment horizontal="center" vertical="center"/>
    </xf>
    <xf numFmtId="2" fontId="79" fillId="9" borderId="94" xfId="55" applyNumberFormat="1" applyFont="1" applyFill="1" applyBorder="1" applyAlignment="1">
      <alignment horizontal="center" vertical="center"/>
    </xf>
    <xf numFmtId="2" fontId="66" fillId="9" borderId="94" xfId="0" applyNumberFormat="1" applyFont="1" applyFill="1" applyBorder="1" applyAlignment="1">
      <alignment horizontal="center" vertical="center"/>
    </xf>
    <xf numFmtId="0" fontId="113" fillId="9" borderId="156" xfId="55" applyNumberFormat="1" applyFont="1" applyFill="1" applyBorder="1" applyAlignment="1">
      <alignment horizontal="center" vertical="center"/>
    </xf>
    <xf numFmtId="2" fontId="79" fillId="9" borderId="95" xfId="55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9" fillId="9" borderId="131" xfId="55" applyNumberFormat="1" applyFont="1" applyFill="1" applyBorder="1" applyAlignment="1">
      <alignment horizontal="center" vertical="center"/>
    </xf>
    <xf numFmtId="2" fontId="66" fillId="9" borderId="131" xfId="0" applyNumberFormat="1" applyFont="1" applyFill="1" applyBorder="1" applyAlignment="1">
      <alignment horizontal="center" vertical="center"/>
    </xf>
    <xf numFmtId="2" fontId="81" fillId="9" borderId="142" xfId="55" applyNumberFormat="1" applyFont="1" applyFill="1" applyBorder="1" applyAlignment="1">
      <alignment horizontal="center" vertical="center"/>
    </xf>
    <xf numFmtId="1" fontId="25" fillId="9" borderId="203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115" fillId="9" borderId="153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1" fontId="68" fillId="9" borderId="208" xfId="0" applyNumberFormat="1" applyFont="1" applyFill="1" applyBorder="1" applyAlignment="1">
      <alignment horizontal="center" vertical="center"/>
    </xf>
    <xf numFmtId="1" fontId="23" fillId="9" borderId="214" xfId="0" applyNumberFormat="1" applyFont="1" applyFill="1" applyBorder="1" applyAlignment="1">
      <alignment horizontal="center" vertical="center"/>
    </xf>
    <xf numFmtId="1" fontId="23" fillId="9" borderId="215" xfId="0" applyNumberFormat="1" applyFont="1" applyFill="1" applyBorder="1" applyAlignment="1">
      <alignment horizontal="center" vertical="center"/>
    </xf>
    <xf numFmtId="1" fontId="23" fillId="9" borderId="216" xfId="0" applyNumberFormat="1" applyFont="1" applyFill="1" applyBorder="1" applyAlignment="1">
      <alignment horizontal="center" vertical="center"/>
    </xf>
    <xf numFmtId="1" fontId="23" fillId="9" borderId="217" xfId="0" applyNumberFormat="1" applyFont="1" applyFill="1" applyBorder="1" applyAlignment="1">
      <alignment horizontal="center" vertical="center"/>
    </xf>
    <xf numFmtId="0" fontId="81" fillId="9" borderId="218" xfId="55" applyNumberFormat="1" applyFont="1" applyFill="1" applyBorder="1" applyAlignment="1">
      <alignment horizontal="center" vertical="center"/>
    </xf>
    <xf numFmtId="0" fontId="81" fillId="9" borderId="129" xfId="0" applyNumberFormat="1" applyFont="1" applyFill="1" applyBorder="1" applyAlignment="1">
      <alignment horizontal="center" vertical="center"/>
    </xf>
    <xf numFmtId="0" fontId="81" fillId="9" borderId="153" xfId="0" applyNumberFormat="1" applyFont="1" applyFill="1" applyBorder="1" applyAlignment="1">
      <alignment horizontal="center" vertical="center"/>
    </xf>
    <xf numFmtId="0" fontId="81" fillId="9" borderId="118" xfId="55" applyNumberFormat="1" applyFont="1" applyFill="1" applyBorder="1" applyAlignment="1">
      <alignment horizontal="center" vertical="center"/>
    </xf>
    <xf numFmtId="0" fontId="81" fillId="9" borderId="157" xfId="55" applyNumberFormat="1" applyFont="1" applyFill="1" applyBorder="1" applyAlignment="1">
      <alignment horizontal="center" vertical="center"/>
    </xf>
    <xf numFmtId="0" fontId="81" fillId="9" borderId="135" xfId="55" applyNumberFormat="1" applyFont="1" applyFill="1" applyBorder="1" applyAlignment="1">
      <alignment horizontal="center" vertical="center"/>
    </xf>
    <xf numFmtId="0" fontId="81" fillId="9" borderId="219" xfId="0" applyNumberFormat="1" applyFont="1" applyFill="1" applyBorder="1" applyAlignment="1">
      <alignment horizontal="center" vertical="center"/>
    </xf>
    <xf numFmtId="0" fontId="81" fillId="9" borderId="216" xfId="0" applyNumberFormat="1" applyFont="1" applyFill="1" applyBorder="1" applyAlignment="1">
      <alignment horizontal="center" vertical="center"/>
    </xf>
    <xf numFmtId="0" fontId="81" fillId="9" borderId="208" xfId="0" applyNumberFormat="1" applyFont="1" applyFill="1" applyBorder="1" applyAlignment="1">
      <alignment horizontal="center" vertical="center"/>
    </xf>
    <xf numFmtId="0" fontId="81" fillId="9" borderId="217" xfId="0" applyNumberFormat="1" applyFont="1" applyFill="1" applyBorder="1" applyAlignment="1">
      <alignment horizontal="center" vertical="center"/>
    </xf>
    <xf numFmtId="0" fontId="81" fillId="9" borderId="220" xfId="0" applyNumberFormat="1" applyFont="1" applyFill="1" applyBorder="1" applyAlignment="1">
      <alignment horizontal="center" vertical="center"/>
    </xf>
    <xf numFmtId="0" fontId="81" fillId="9" borderId="215" xfId="0" applyNumberFormat="1" applyFont="1" applyFill="1" applyBorder="1" applyAlignment="1">
      <alignment horizontal="center" vertical="center"/>
    </xf>
    <xf numFmtId="0" fontId="81" fillId="9" borderId="22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1" fontId="23" fillId="9" borderId="221" xfId="0" applyNumberFormat="1" applyFont="1" applyFill="1" applyBorder="1" applyAlignment="1">
      <alignment horizontal="center" vertical="center"/>
    </xf>
    <xf numFmtId="0" fontId="113" fillId="9" borderId="155" xfId="55" applyNumberFormat="1" applyFont="1" applyFill="1" applyBorder="1" applyAlignment="1">
      <alignment horizontal="center" vertical="center"/>
    </xf>
    <xf numFmtId="0" fontId="81" fillId="9" borderId="221" xfId="0" applyNumberFormat="1" applyFont="1" applyFill="1" applyBorder="1" applyAlignment="1">
      <alignment horizontal="center" vertical="top"/>
    </xf>
    <xf numFmtId="0" fontId="81" fillId="9" borderId="215" xfId="0" applyNumberFormat="1" applyFont="1" applyFill="1" applyBorder="1" applyAlignment="1">
      <alignment horizontal="center" vertical="top"/>
    </xf>
    <xf numFmtId="0" fontId="82" fillId="9" borderId="208" xfId="0" applyNumberFormat="1" applyFont="1" applyFill="1" applyBorder="1" applyAlignment="1">
      <alignment vertical="top"/>
    </xf>
    <xf numFmtId="0" fontId="82" fillId="9" borderId="214" xfId="0" applyNumberFormat="1" applyFont="1" applyFill="1" applyBorder="1" applyAlignment="1">
      <alignment vertical="top"/>
    </xf>
    <xf numFmtId="2" fontId="78" fillId="9" borderId="224" xfId="55" applyNumberFormat="1" applyFont="1" applyFill="1" applyBorder="1" applyAlignment="1">
      <alignment horizontal="center" vertical="center"/>
    </xf>
    <xf numFmtId="2" fontId="78" fillId="9" borderId="225" xfId="55" applyNumberFormat="1" applyFont="1" applyFill="1" applyBorder="1" applyAlignment="1">
      <alignment horizontal="center" vertical="center"/>
    </xf>
    <xf numFmtId="2" fontId="78" fillId="9" borderId="223" xfId="55" applyNumberFormat="1" applyFont="1" applyFill="1" applyBorder="1" applyAlignment="1">
      <alignment horizontal="center" vertical="center"/>
    </xf>
    <xf numFmtId="0" fontId="71" fillId="9" borderId="136" xfId="55" applyNumberFormat="1" applyFont="1" applyFill="1" applyBorder="1" applyAlignment="1">
      <alignment horizontal="left" vertical="center"/>
    </xf>
    <xf numFmtId="0" fontId="123" fillId="9" borderId="116" xfId="55" applyNumberFormat="1" applyFont="1" applyFill="1" applyBorder="1" applyAlignment="1">
      <alignment horizontal="left" vertical="center"/>
    </xf>
    <xf numFmtId="0" fontId="124" fillId="9" borderId="116" xfId="55" applyNumberFormat="1" applyFont="1" applyFill="1" applyBorder="1" applyAlignment="1">
      <alignment horizontal="left" vertical="center"/>
    </xf>
    <xf numFmtId="0" fontId="71" fillId="9" borderId="132" xfId="55" applyNumberFormat="1" applyFont="1" applyFill="1" applyBorder="1" applyAlignment="1">
      <alignment horizontal="right" vertical="center"/>
    </xf>
    <xf numFmtId="167" fontId="13" fillId="39" borderId="3" xfId="55" applyNumberFormat="1" applyFont="1" applyFill="1" applyBorder="1" applyAlignment="1">
      <alignment horizontal="center" vertical="center"/>
    </xf>
    <xf numFmtId="0" fontId="30" fillId="9" borderId="132" xfId="0" applyFont="1" applyFill="1" applyBorder="1" applyAlignment="1">
      <alignment horizontal="right" vertical="center"/>
    </xf>
    <xf numFmtId="0" fontId="71" fillId="9" borderId="226" xfId="55" applyNumberFormat="1" applyFont="1" applyFill="1" applyBorder="1" applyAlignment="1">
      <alignment horizontal="left" vertical="center"/>
    </xf>
    <xf numFmtId="0" fontId="36" fillId="10" borderId="227" xfId="55" applyNumberFormat="1" applyFont="1" applyFill="1" applyBorder="1" applyAlignment="1">
      <alignment horizontal="right" vertical="center"/>
    </xf>
    <xf numFmtId="0" fontId="65" fillId="10" borderId="228" xfId="0" applyFont="1" applyFill="1" applyBorder="1" applyAlignment="1">
      <alignment horizontal="right" vertical="center"/>
    </xf>
    <xf numFmtId="0" fontId="65" fillId="10" borderId="227" xfId="0" applyFont="1" applyFill="1" applyBorder="1" applyAlignment="1">
      <alignment horizontal="right" vertical="center"/>
    </xf>
    <xf numFmtId="0" fontId="36" fillId="10" borderId="228" xfId="55" applyNumberFormat="1" applyFont="1" applyFill="1" applyBorder="1" applyAlignment="1">
      <alignment horizontal="right" vertical="center"/>
    </xf>
    <xf numFmtId="0" fontId="30" fillId="9" borderId="227" xfId="0" applyFont="1" applyFill="1" applyBorder="1" applyAlignment="1">
      <alignment horizontal="right" vertical="center"/>
    </xf>
    <xf numFmtId="10" fontId="80" fillId="10" borderId="228" xfId="114" applyNumberFormat="1" applyFont="1" applyFill="1" applyBorder="1" applyAlignment="1">
      <alignment horizontal="center" vertical="center"/>
    </xf>
    <xf numFmtId="0" fontId="38" fillId="10" borderId="229" xfId="0" applyFont="1" applyFill="1" applyBorder="1" applyAlignment="1">
      <alignment horizontal="right" vertical="center"/>
    </xf>
    <xf numFmtId="0" fontId="38" fillId="10" borderId="228" xfId="0" applyFont="1" applyFill="1" applyBorder="1" applyAlignment="1">
      <alignment horizontal="right" vertical="center"/>
    </xf>
    <xf numFmtId="0" fontId="36" fillId="10" borderId="229" xfId="0" applyFont="1" applyFill="1" applyBorder="1" applyAlignment="1">
      <alignment horizontal="right" vertical="center"/>
    </xf>
    <xf numFmtId="3" fontId="36" fillId="10" borderId="228" xfId="0" applyNumberFormat="1" applyFont="1" applyFill="1" applyBorder="1" applyAlignment="1">
      <alignment horizontal="right" vertical="center"/>
    </xf>
    <xf numFmtId="0" fontId="36" fillId="10" borderId="228" xfId="0" applyFont="1" applyFill="1" applyBorder="1" applyAlignment="1">
      <alignment horizontal="right" vertical="center"/>
    </xf>
    <xf numFmtId="166" fontId="36" fillId="10" borderId="229" xfId="0" applyNumberFormat="1" applyFont="1" applyFill="1" applyBorder="1" applyAlignment="1">
      <alignment horizontal="center" vertical="center"/>
    </xf>
    <xf numFmtId="0" fontId="26" fillId="9" borderId="227" xfId="0" applyFont="1" applyFill="1" applyBorder="1" applyAlignment="1">
      <alignment horizontal="center" vertical="center"/>
    </xf>
    <xf numFmtId="0" fontId="23" fillId="9" borderId="228" xfId="0" applyFont="1" applyFill="1" applyBorder="1" applyAlignment="1">
      <alignment horizontal="center" vertical="center"/>
    </xf>
    <xf numFmtId="1" fontId="23" fillId="9" borderId="230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2" fontId="94" fillId="9" borderId="233" xfId="0" applyNumberFormat="1" applyFont="1" applyFill="1" applyBorder="1" applyAlignment="1">
      <alignment vertical="center"/>
    </xf>
    <xf numFmtId="0" fontId="81" fillId="9" borderId="234" xfId="0" applyNumberFormat="1" applyFont="1" applyFill="1" applyBorder="1" applyAlignment="1">
      <alignment horizontal="center" vertical="center"/>
    </xf>
    <xf numFmtId="0" fontId="113" fillId="9" borderId="232" xfId="55" applyNumberFormat="1" applyFont="1" applyFill="1" applyBorder="1" applyAlignment="1">
      <alignment horizontal="center" vertical="center"/>
    </xf>
    <xf numFmtId="2" fontId="79" fillId="9" borderId="235" xfId="55" applyNumberFormat="1" applyFont="1" applyFill="1" applyBorder="1" applyAlignment="1">
      <alignment horizontal="center" vertical="center"/>
    </xf>
    <xf numFmtId="2" fontId="66" fillId="9" borderId="23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25" fillId="9" borderId="136" xfId="55" applyNumberFormat="1" applyFont="1" applyFill="1" applyBorder="1" applyAlignment="1">
      <alignment horizontal="left" vertical="center"/>
    </xf>
    <xf numFmtId="2" fontId="81" fillId="9" borderId="121" xfId="55" applyNumberFormat="1" applyFont="1" applyFill="1" applyBorder="1" applyAlignment="1">
      <alignment horizontal="center" vertical="center"/>
    </xf>
    <xf numFmtId="2" fontId="81" fillId="9" borderId="96" xfId="55" applyNumberFormat="1" applyFont="1" applyFill="1" applyBorder="1" applyAlignment="1">
      <alignment horizontal="center" vertical="center"/>
    </xf>
    <xf numFmtId="2" fontId="81" fillId="9" borderId="222" xfId="55" applyNumberFormat="1" applyFont="1" applyFill="1" applyBorder="1" applyAlignment="1">
      <alignment horizontal="center" vertical="center"/>
    </xf>
    <xf numFmtId="2" fontId="81" fillId="9" borderId="130" xfId="55" applyNumberFormat="1" applyFont="1" applyFill="1" applyBorder="1" applyAlignment="1">
      <alignment horizontal="center" vertical="center"/>
    </xf>
    <xf numFmtId="0" fontId="98" fillId="0" borderId="3" xfId="0" applyFont="1" applyBorder="1" applyAlignment="1">
      <alignment horizontal="center"/>
    </xf>
    <xf numFmtId="2" fontId="81" fillId="9" borderId="194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2" fillId="9" borderId="121" xfId="0" applyFont="1" applyFill="1" applyBorder="1" applyAlignment="1">
      <alignment horizontal="center" vertical="center"/>
    </xf>
    <xf numFmtId="0" fontId="122" fillId="9" borderId="130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7" fillId="37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0" fontId="43" fillId="37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  <xf numFmtId="0" fontId="84" fillId="9" borderId="127" xfId="0" applyFont="1" applyFill="1" applyBorder="1" applyAlignment="1">
      <alignment horizontal="right" vertical="center"/>
    </xf>
    <xf numFmtId="10" fontId="85" fillId="10" borderId="112" xfId="114" applyNumberFormat="1" applyFont="1" applyFill="1" applyBorder="1" applyAlignment="1">
      <alignment horizontal="center" vertical="center"/>
    </xf>
    <xf numFmtId="0" fontId="86" fillId="10" borderId="111" xfId="0" applyFont="1" applyFill="1" applyBorder="1" applyAlignment="1">
      <alignment horizontal="right" vertical="center"/>
    </xf>
    <xf numFmtId="0" fontId="86" fillId="10" borderId="110" xfId="0" applyFont="1" applyFill="1" applyBorder="1" applyAlignment="1">
      <alignment horizontal="right" vertical="center"/>
    </xf>
    <xf numFmtId="0" fontId="86" fillId="10" borderId="113" xfId="0" applyFont="1" applyFill="1" applyBorder="1" applyAlignment="1">
      <alignment horizontal="right" vertical="center"/>
    </xf>
    <xf numFmtId="0" fontId="87" fillId="10" borderId="110" xfId="0" applyFont="1" applyFill="1" applyBorder="1" applyAlignment="1">
      <alignment horizontal="right" vertical="center"/>
    </xf>
    <xf numFmtId="3" fontId="87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3" fillId="9" borderId="236" xfId="0" applyNumberFormat="1" applyFont="1" applyFill="1" applyBorder="1" applyAlignment="1">
      <alignment horizontal="center" vertical="center"/>
    </xf>
    <xf numFmtId="0" fontId="81" fillId="9" borderId="209" xfId="0" applyNumberFormat="1" applyFont="1" applyFill="1" applyBorder="1" applyAlignment="1">
      <alignment horizontal="center" vertical="center"/>
    </xf>
    <xf numFmtId="2" fontId="78" fillId="9" borderId="237" xfId="55" applyNumberFormat="1" applyFont="1" applyFill="1" applyBorder="1" applyAlignment="1">
      <alignment horizontal="center" vertical="center"/>
    </xf>
    <xf numFmtId="2" fontId="79" fillId="9" borderId="236" xfId="55" applyNumberFormat="1" applyFont="1" applyFill="1" applyBorder="1" applyAlignment="1">
      <alignment horizontal="center" vertical="center"/>
    </xf>
    <xf numFmtId="2" fontId="81" fillId="9" borderId="110" xfId="55" applyNumberFormat="1" applyFont="1" applyFill="1" applyBorder="1" applyAlignment="1">
      <alignment horizontal="center" vertical="center"/>
    </xf>
    <xf numFmtId="3" fontId="126" fillId="7" borderId="140" xfId="0" applyNumberFormat="1" applyFont="1" applyFill="1" applyBorder="1" applyAlignment="1">
      <alignment horizontal="center" vertical="center"/>
    </xf>
    <xf numFmtId="167" fontId="127" fillId="10" borderId="95" xfId="55" applyNumberFormat="1" applyFont="1" applyFill="1" applyBorder="1" applyAlignment="1">
      <alignment horizontal="right" vertical="center"/>
    </xf>
    <xf numFmtId="167" fontId="127" fillId="10" borderId="94" xfId="55" applyNumberFormat="1" applyFont="1" applyFill="1" applyBorder="1" applyAlignment="1">
      <alignment horizontal="right" vertical="center"/>
    </xf>
    <xf numFmtId="167" fontId="127" fillId="10" borderId="92" xfId="55" applyNumberFormat="1" applyFont="1" applyFill="1" applyBorder="1" applyAlignment="1">
      <alignment horizontal="right" vertical="center"/>
    </xf>
    <xf numFmtId="167" fontId="127" fillId="10" borderId="130" xfId="55" applyNumberFormat="1" applyFont="1" applyFill="1" applyBorder="1" applyAlignment="1">
      <alignment horizontal="right" vertical="center"/>
    </xf>
    <xf numFmtId="167" fontId="128" fillId="9" borderId="116" xfId="55" applyNumberFormat="1" applyFont="1" applyFill="1" applyBorder="1" applyAlignment="1">
      <alignment horizontal="right" vertical="center"/>
    </xf>
    <xf numFmtId="167" fontId="128" fillId="9" borderId="117" xfId="55" applyNumberFormat="1" applyFont="1" applyFill="1" applyBorder="1" applyAlignment="1">
      <alignment horizontal="right" vertical="center"/>
    </xf>
    <xf numFmtId="167" fontId="128" fillId="9" borderId="136" xfId="55" applyNumberFormat="1" applyFont="1" applyFill="1" applyBorder="1" applyAlignment="1">
      <alignment horizontal="right" vertical="center"/>
    </xf>
    <xf numFmtId="3" fontId="127" fillId="10" borderId="95" xfId="0" applyNumberFormat="1" applyFont="1" applyFill="1" applyBorder="1" applyAlignment="1">
      <alignment horizontal="right" vertical="center"/>
    </xf>
    <xf numFmtId="3" fontId="127" fillId="10" borderId="94" xfId="0" applyNumberFormat="1" applyFont="1" applyFill="1" applyBorder="1" applyAlignment="1">
      <alignment horizontal="right" vertical="center"/>
    </xf>
    <xf numFmtId="3" fontId="127" fillId="10" borderId="92" xfId="0" applyNumberFormat="1" applyFont="1" applyFill="1" applyBorder="1" applyAlignment="1">
      <alignment horizontal="right" vertical="center"/>
    </xf>
    <xf numFmtId="3" fontId="127" fillId="10" borderId="130" xfId="0" applyNumberFormat="1" applyFont="1" applyFill="1" applyBorder="1" applyAlignment="1">
      <alignment horizontal="right" vertical="center"/>
    </xf>
    <xf numFmtId="0" fontId="127" fillId="10" borderId="95" xfId="0" applyFont="1" applyFill="1" applyBorder="1" applyAlignment="1">
      <alignment horizontal="right" vertical="center"/>
    </xf>
    <xf numFmtId="0" fontId="127" fillId="10" borderId="96" xfId="0" applyFont="1" applyFill="1" applyBorder="1" applyAlignment="1">
      <alignment horizontal="right" vertical="center"/>
    </xf>
    <xf numFmtId="3" fontId="127" fillId="10" borderId="96" xfId="0" applyNumberFormat="1" applyFont="1" applyFill="1" applyBorder="1" applyAlignment="1">
      <alignment horizontal="right" vertical="center"/>
    </xf>
    <xf numFmtId="0" fontId="127" fillId="10" borderId="110" xfId="0" applyFont="1" applyFill="1" applyBorder="1" applyAlignment="1">
      <alignment horizontal="right" vertical="center"/>
    </xf>
    <xf numFmtId="3" fontId="127" fillId="10" borderId="112" xfId="0" applyNumberFormat="1" applyFont="1" applyFill="1" applyBorder="1" applyAlignment="1">
      <alignment horizontal="right" vertical="center"/>
    </xf>
    <xf numFmtId="0" fontId="127" fillId="10" borderId="92" xfId="0" applyFont="1" applyFill="1" applyBorder="1" applyAlignment="1">
      <alignment horizontal="right" vertical="center"/>
    </xf>
    <xf numFmtId="0" fontId="127" fillId="10" borderId="101" xfId="0" applyFont="1" applyFill="1" applyBorder="1" applyAlignment="1">
      <alignment horizontal="right" vertical="center"/>
    </xf>
    <xf numFmtId="0" fontId="127" fillId="10" borderId="194" xfId="0" applyFont="1" applyFill="1" applyBorder="1" applyAlignment="1">
      <alignment horizontal="right" vertical="center"/>
    </xf>
    <xf numFmtId="3" fontId="127" fillId="10" borderId="194" xfId="0" applyNumberFormat="1" applyFont="1" applyFill="1" applyBorder="1" applyAlignment="1">
      <alignment horizontal="right" vertical="center"/>
    </xf>
    <xf numFmtId="3" fontId="127" fillId="10" borderId="110" xfId="0" applyNumberFormat="1" applyFont="1" applyFill="1" applyBorder="1" applyAlignment="1">
      <alignment horizontal="right" vertical="center"/>
    </xf>
    <xf numFmtId="0" fontId="127" fillId="10" borderId="103" xfId="0" applyFont="1" applyFill="1" applyBorder="1" applyAlignment="1">
      <alignment horizontal="right" vertical="center"/>
    </xf>
    <xf numFmtId="3" fontId="127" fillId="10" borderId="103" xfId="0" applyNumberFormat="1" applyFont="1" applyFill="1" applyBorder="1" applyAlignment="1">
      <alignment horizontal="right" vertical="center"/>
    </xf>
    <xf numFmtId="0" fontId="129" fillId="10" borderId="95" xfId="0" applyFont="1" applyFill="1" applyBorder="1" applyAlignment="1">
      <alignment horizontal="right" vertical="center"/>
    </xf>
    <xf numFmtId="0" fontId="129" fillId="10" borderId="103" xfId="0" applyFont="1" applyFill="1" applyBorder="1" applyAlignment="1">
      <alignment horizontal="right" vertical="center"/>
    </xf>
    <xf numFmtId="0" fontId="129" fillId="10" borderId="92" xfId="0" applyFont="1" applyFill="1" applyBorder="1" applyAlignment="1">
      <alignment horizontal="right" vertical="center"/>
    </xf>
    <xf numFmtId="0" fontId="129" fillId="10" borderId="110" xfId="0" applyFont="1" applyFill="1" applyBorder="1" applyAlignment="1">
      <alignment horizontal="right" vertical="center"/>
    </xf>
    <xf numFmtId="0" fontId="128" fillId="9" borderId="116" xfId="55" applyNumberFormat="1" applyFont="1" applyFill="1" applyBorder="1" applyAlignment="1">
      <alignment horizontal="right" vertical="center"/>
    </xf>
    <xf numFmtId="0" fontId="127" fillId="10" borderId="103" xfId="55" applyNumberFormat="1" applyFont="1" applyFill="1" applyBorder="1" applyAlignment="1">
      <alignment horizontal="right" vertical="center"/>
    </xf>
    <xf numFmtId="0" fontId="127" fillId="10" borderId="110" xfId="55" applyNumberFormat="1" applyFont="1" applyFill="1" applyBorder="1" applyAlignment="1">
      <alignment horizontal="right" vertical="center"/>
    </xf>
    <xf numFmtId="0" fontId="127" fillId="10" borderId="194" xfId="55" applyNumberFormat="1" applyFont="1" applyFill="1" applyBorder="1" applyAlignment="1">
      <alignment horizontal="right" vertical="center"/>
    </xf>
    <xf numFmtId="0" fontId="127" fillId="10" borderId="130" xfId="55" applyNumberFormat="1" applyFont="1" applyFill="1" applyBorder="1" applyAlignment="1">
      <alignment horizontal="right" vertical="center"/>
    </xf>
    <xf numFmtId="0" fontId="127" fillId="10" borderId="95" xfId="55" applyNumberFormat="1" applyFont="1" applyFill="1" applyBorder="1" applyAlignment="1">
      <alignment horizontal="right" vertical="center"/>
    </xf>
    <xf numFmtId="0" fontId="128" fillId="9" borderId="94" xfId="55" applyNumberFormat="1" applyFont="1" applyFill="1" applyBorder="1" applyAlignment="1">
      <alignment horizontal="right" vertical="center"/>
    </xf>
    <xf numFmtId="0" fontId="127" fillId="10" borderId="92" xfId="55" applyNumberFormat="1" applyFont="1" applyFill="1" applyBorder="1" applyAlignment="1">
      <alignment horizontal="right" vertical="center"/>
    </xf>
    <xf numFmtId="0" fontId="128" fillId="9" borderId="127" xfId="55" applyNumberFormat="1" applyFont="1" applyFill="1" applyBorder="1" applyAlignment="1">
      <alignment horizontal="right" vertical="center"/>
    </xf>
    <xf numFmtId="0" fontId="128" fillId="9" borderId="202" xfId="55" applyNumberFormat="1" applyFont="1" applyFill="1" applyBorder="1" applyAlignment="1">
      <alignment horizontal="right" vertical="center"/>
    </xf>
    <xf numFmtId="0" fontId="128" fillId="9" borderId="132" xfId="55" applyNumberFormat="1" applyFont="1" applyFill="1" applyBorder="1" applyAlignment="1">
      <alignment horizontal="righ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17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1"/>
  <sheetViews>
    <sheetView tabSelected="1" zoomScale="84" zoomScaleNormal="84" workbookViewId="0">
      <pane ySplit="1" topLeftCell="A2" activePane="bottomLeft" state="frozen"/>
      <selection pane="bottomLeft" activeCell="A37" sqref="A37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72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11" bestFit="1" customWidth="1"/>
    <col min="25" max="25" width="7.42578125" style="577" bestFit="1" customWidth="1"/>
    <col min="26" max="26" width="8.28515625" style="302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93" t="s">
        <v>126</v>
      </c>
      <c r="B1" s="573" t="s">
        <v>337</v>
      </c>
      <c r="C1" s="561" t="s">
        <v>306</v>
      </c>
      <c r="D1" s="561" t="s">
        <v>307</v>
      </c>
      <c r="E1" s="573" t="s">
        <v>338</v>
      </c>
      <c r="F1" s="561" t="s">
        <v>127</v>
      </c>
      <c r="G1" s="394" t="s">
        <v>304</v>
      </c>
      <c r="H1" s="394" t="s">
        <v>128</v>
      </c>
      <c r="I1" s="394" t="s">
        <v>129</v>
      </c>
      <c r="J1" s="394" t="s">
        <v>130</v>
      </c>
      <c r="K1" s="394" t="s">
        <v>308</v>
      </c>
      <c r="L1" s="394" t="s">
        <v>305</v>
      </c>
      <c r="M1" s="394" t="s">
        <v>131</v>
      </c>
      <c r="N1" s="815" t="s">
        <v>132</v>
      </c>
      <c r="O1" s="394" t="s">
        <v>133</v>
      </c>
      <c r="P1" s="395"/>
      <c r="Q1" s="527"/>
      <c r="R1" s="529" t="s">
        <v>624</v>
      </c>
      <c r="S1" s="530" t="s">
        <v>617</v>
      </c>
      <c r="T1" s="524">
        <v>1E-3</v>
      </c>
      <c r="U1" s="526">
        <v>1</v>
      </c>
      <c r="V1" s="525">
        <v>0</v>
      </c>
      <c r="W1" s="209">
        <v>1</v>
      </c>
      <c r="X1" s="210">
        <v>1</v>
      </c>
      <c r="Y1" s="734">
        <f>AA69</f>
        <v>98930.481283422443</v>
      </c>
      <c r="Z1" s="364">
        <v>100</v>
      </c>
      <c r="AA1" s="344">
        <v>100</v>
      </c>
      <c r="AB1" s="301">
        <f>Y1*($AE$1*$AD$1)</f>
        <v>371.3281078309281</v>
      </c>
      <c r="AC1" s="38">
        <f>AD1</f>
        <v>2</v>
      </c>
      <c r="AD1" s="54">
        <f>IF(AJ3&lt;&gt;0,2,IF(AJ4&lt;&gt;0,3,IF(AJ5&lt;&gt;0,4,IF(AJ6&lt;&gt;0,5,IF(AJ7&lt;&gt;0,6,IF(AJ8&lt;&gt;0,7,IF(AJ9&lt;&gt;0,8,IF(AJ10&lt;&gt;0,9,IF(AJ11&lt;&gt;0,10,30)))))))))</f>
        <v>2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1.8767123287671233E-3</v>
      </c>
      <c r="AF1" s="269" t="s">
        <v>315</v>
      </c>
      <c r="AG1" s="269" t="s">
        <v>316</v>
      </c>
      <c r="AH1" s="269" t="s">
        <v>317</v>
      </c>
      <c r="AI1" s="269" t="s">
        <v>318</v>
      </c>
      <c r="AJ1" s="270" t="s">
        <v>313</v>
      </c>
      <c r="AK1" s="268" t="s">
        <v>314</v>
      </c>
      <c r="AL1" s="211" t="s">
        <v>312</v>
      </c>
    </row>
    <row r="2" spans="1:42" ht="12.75" hidden="1" customHeight="1">
      <c r="A2" s="575" t="s">
        <v>666</v>
      </c>
      <c r="B2" s="843">
        <f t="shared" ref="B2:B29" si="0">IF(A2&lt;&gt;"",VLOOKUP($A2,$A$64:$N$201,2,0),"")</f>
        <v>21</v>
      </c>
      <c r="C2" s="305">
        <f t="shared" ref="C2:C29" si="1">IF(A2&lt;&gt;"",VLOOKUP($A2,$A$60:$N$201,3,0),"")</f>
        <v>13.5</v>
      </c>
      <c r="D2" s="250">
        <f t="shared" ref="D2:D29" si="2">IF(A2&lt;&gt;"",VLOOKUP($A2,$A$60:$N$201,4,0),"")</f>
        <v>13.75</v>
      </c>
      <c r="E2" s="848">
        <f t="shared" ref="E2:E29" si="3">IF(A2&lt;&gt;"",VLOOKUP($A2,$A$60:$N$201,5,0),"")</f>
        <v>303</v>
      </c>
      <c r="F2" s="562">
        <f t="shared" ref="F2:F29" si="4">IF($A2&lt;&gt;"",VLOOKUP($A2,$A$60:$N$201,6,0),"")</f>
        <v>13.5</v>
      </c>
      <c r="G2" s="307">
        <f t="shared" ref="G2:G29" si="5">IF($A2&lt;&gt;"",VLOOKUP($A2,$A$60:$N$201,7,0),"")</f>
        <v>-2.1700000000000001E-2</v>
      </c>
      <c r="H2" s="238">
        <f t="shared" ref="H2:H29" si="6">IF($A2&lt;&gt;"",VLOOKUP($A2,$A$60:$N$201,8,0),"")</f>
        <v>14</v>
      </c>
      <c r="I2" s="230">
        <f t="shared" ref="I2:I29" si="7">IF($A2&lt;&gt;"",VLOOKUP($A2,$A$60:$N$201,9,0),"")</f>
        <v>14</v>
      </c>
      <c r="J2" s="281">
        <f t="shared" ref="J2:J29" si="8">IF($A2&lt;&gt;"",VLOOKUP($A2,$A$60:$N$201,10,0),"")</f>
        <v>13.2</v>
      </c>
      <c r="K2" s="234">
        <f t="shared" ref="K2:K29" si="9">IF($A2&lt;&gt;"",VLOOKUP($A2,$A$60:$N$201,11,0),"")</f>
        <v>13.8</v>
      </c>
      <c r="L2" s="251">
        <f t="shared" ref="L2:L29" si="10">IF($A2&lt;&gt;"",VLOOKUP($A2,$A$60:$N$201,12,0),"")</f>
        <v>13660</v>
      </c>
      <c r="M2" s="827">
        <f t="shared" ref="M2:M29" si="11">IF($A2&lt;&gt;"",VLOOKUP($A2,$A$60:$N$201,13,0),"")</f>
        <v>1009</v>
      </c>
      <c r="N2" s="823">
        <f t="shared" ref="N2:N18" si="12">IF($A2&lt;&gt;"",VLOOKUP($A2,$A$60:$N$201,14,0),"")</f>
        <v>93</v>
      </c>
      <c r="O2" s="275">
        <f t="shared" ref="O2:O17" si="13">IF($A2&lt;&gt;"",VLOOKUP($A2,$A$60:$O$201,15,0),"")</f>
        <v>45385.685740740744</v>
      </c>
      <c r="P2" s="286">
        <v>1</v>
      </c>
      <c r="Q2" s="554"/>
      <c r="R2" s="691"/>
      <c r="S2" s="679"/>
      <c r="T2" s="486"/>
      <c r="U2" s="759"/>
      <c r="V2" s="297"/>
      <c r="W2" s="531"/>
      <c r="X2" s="710"/>
      <c r="Y2" s="704">
        <f>IFERROR(IF($Y$1&lt;&gt;"",INT($Y$1/(D5/100)),100),100)</f>
        <v>738</v>
      </c>
      <c r="Z2" s="642">
        <f>IFERROR($C2*(1-$V$1)/100*$Y2,"")</f>
        <v>99.63000000000001</v>
      </c>
      <c r="AA2" s="764">
        <f>IFERROR($Z2-$Z3,"")</f>
        <v>0.32380000000001985</v>
      </c>
      <c r="AD2" s="289" t="s">
        <v>319</v>
      </c>
      <c r="AE2" s="295">
        <v>45386</v>
      </c>
      <c r="AF2" s="287">
        <v>593313340.42999995</v>
      </c>
      <c r="AG2" s="288">
        <v>0.70010000000000006</v>
      </c>
      <c r="AH2" s="288">
        <v>0.70099999999999996</v>
      </c>
      <c r="AI2" s="287">
        <v>1440914854.22</v>
      </c>
      <c r="AJ2" s="292">
        <v>0.70010000000000006</v>
      </c>
      <c r="AK2" s="287"/>
    </row>
    <row r="3" spans="1:42" ht="12.75" hidden="1" customHeight="1">
      <c r="A3" s="317" t="s">
        <v>14</v>
      </c>
      <c r="B3" s="844">
        <f t="shared" si="0"/>
        <v>220659</v>
      </c>
      <c r="C3" s="304">
        <f t="shared" si="1"/>
        <v>55.66</v>
      </c>
      <c r="D3" s="306">
        <f t="shared" si="2"/>
        <v>55.79</v>
      </c>
      <c r="E3" s="849">
        <f t="shared" si="3"/>
        <v>10000</v>
      </c>
      <c r="F3" s="563">
        <f t="shared" si="4"/>
        <v>55.66</v>
      </c>
      <c r="G3" s="308">
        <f t="shared" si="5"/>
        <v>2.8799999999999999E-2</v>
      </c>
      <c r="H3" s="237">
        <f t="shared" si="6"/>
        <v>53</v>
      </c>
      <c r="I3" s="228">
        <f t="shared" si="7"/>
        <v>55.99</v>
      </c>
      <c r="J3" s="279">
        <f t="shared" si="8"/>
        <v>52.47</v>
      </c>
      <c r="K3" s="232">
        <f t="shared" si="9"/>
        <v>54.1</v>
      </c>
      <c r="L3" s="235">
        <f t="shared" si="10"/>
        <v>87338198</v>
      </c>
      <c r="M3" s="828">
        <f t="shared" si="11"/>
        <v>160168721</v>
      </c>
      <c r="N3" s="829">
        <f t="shared" si="12"/>
        <v>70499</v>
      </c>
      <c r="O3" s="276">
        <f t="shared" si="13"/>
        <v>45385.687777777777</v>
      </c>
      <c r="P3" s="285">
        <v>2</v>
      </c>
      <c r="Q3" s="262"/>
      <c r="R3" s="692"/>
      <c r="S3" s="680"/>
      <c r="T3" s="488"/>
      <c r="U3" s="760"/>
      <c r="V3" s="298"/>
      <c r="W3" s="531"/>
      <c r="X3" s="711"/>
      <c r="Y3" s="705">
        <f>IFERROR(INT($Z2/($D3*(1+$V$1)/100)),0)</f>
        <v>178</v>
      </c>
      <c r="Z3" s="643">
        <f>IFERROR($D3/100*INT($Y3),"")</f>
        <v>99.30619999999999</v>
      </c>
      <c r="AA3" s="765"/>
      <c r="AD3" s="49" t="s">
        <v>320</v>
      </c>
      <c r="AE3" s="296">
        <v>45387</v>
      </c>
      <c r="AF3" s="48">
        <v>5032638.49</v>
      </c>
      <c r="AG3" s="52">
        <v>0.68500000000000005</v>
      </c>
      <c r="AH3" s="52">
        <v>0.71540000000000004</v>
      </c>
      <c r="AI3" s="48">
        <v>1627782.04</v>
      </c>
      <c r="AJ3" s="293">
        <v>0.68500000000000005</v>
      </c>
      <c r="AK3" s="48">
        <v>20847734345</v>
      </c>
    </row>
    <row r="4" spans="1:42" ht="12.75" hidden="1" customHeight="1">
      <c r="A4" s="316" t="s">
        <v>13</v>
      </c>
      <c r="B4" s="843">
        <f t="shared" si="0"/>
        <v>898</v>
      </c>
      <c r="C4" s="305">
        <f t="shared" si="1"/>
        <v>55400</v>
      </c>
      <c r="D4" s="303">
        <f t="shared" si="2"/>
        <v>55500</v>
      </c>
      <c r="E4" s="850">
        <f t="shared" si="3"/>
        <v>38218</v>
      </c>
      <c r="F4" s="562">
        <f t="shared" si="4"/>
        <v>55440</v>
      </c>
      <c r="G4" s="307">
        <f t="shared" si="5"/>
        <v>3.4099999999999998E-2</v>
      </c>
      <c r="H4" s="238">
        <f t="shared" si="6"/>
        <v>55200</v>
      </c>
      <c r="I4" s="230">
        <f t="shared" si="7"/>
        <v>55490</v>
      </c>
      <c r="J4" s="281">
        <f t="shared" si="8"/>
        <v>54020</v>
      </c>
      <c r="K4" s="234">
        <f t="shared" si="9"/>
        <v>53610</v>
      </c>
      <c r="L4" s="251">
        <f t="shared" si="10"/>
        <v>134360197565</v>
      </c>
      <c r="M4" s="827">
        <f t="shared" si="11"/>
        <v>245096321</v>
      </c>
      <c r="N4" s="823">
        <f t="shared" si="12"/>
        <v>123614</v>
      </c>
      <c r="O4" s="275">
        <f t="shared" si="13"/>
        <v>45385.687592592592</v>
      </c>
      <c r="P4" s="286">
        <v>3</v>
      </c>
      <c r="Q4" s="264"/>
      <c r="R4" s="693"/>
      <c r="S4" s="681"/>
      <c r="T4" s="486"/>
      <c r="U4" s="759"/>
      <c r="V4" s="297"/>
      <c r="W4" s="532"/>
      <c r="X4" s="712"/>
      <c r="Y4" s="706">
        <f t="shared" ref="Y4:Y12" si="14">Y3</f>
        <v>178</v>
      </c>
      <c r="Z4" s="644">
        <f>IFERROR($C4*(1-$V$1)/100*INT($Y4),"")</f>
        <v>98612</v>
      </c>
      <c r="AA4" s="766">
        <f>IFERROR($Z4-$Z5,"")</f>
        <v>122</v>
      </c>
      <c r="AD4" s="289" t="s">
        <v>321</v>
      </c>
      <c r="AE4" s="296">
        <v>45388</v>
      </c>
      <c r="AF4" s="287"/>
      <c r="AG4" s="288"/>
      <c r="AH4" s="288"/>
      <c r="AI4" s="287"/>
      <c r="AJ4" s="292"/>
      <c r="AK4" s="287"/>
      <c r="AL4" s="47"/>
    </row>
    <row r="5" spans="1:42" ht="12.75" hidden="1" customHeight="1">
      <c r="A5" s="574" t="s">
        <v>662</v>
      </c>
      <c r="B5" s="845">
        <f t="shared" si="0"/>
        <v>10</v>
      </c>
      <c r="C5" s="312">
        <f t="shared" si="1"/>
        <v>13120</v>
      </c>
      <c r="D5" s="313">
        <f t="shared" si="2"/>
        <v>13400</v>
      </c>
      <c r="E5" s="851">
        <f t="shared" si="3"/>
        <v>1</v>
      </c>
      <c r="F5" s="564">
        <f t="shared" si="4"/>
        <v>13130</v>
      </c>
      <c r="G5" s="314">
        <f t="shared" si="5"/>
        <v>-2.2200000000000001E-2</v>
      </c>
      <c r="H5" s="252">
        <f t="shared" si="6"/>
        <v>13780</v>
      </c>
      <c r="I5" s="253">
        <f t="shared" si="7"/>
        <v>13789</v>
      </c>
      <c r="J5" s="283">
        <f t="shared" si="8"/>
        <v>13000</v>
      </c>
      <c r="K5" s="254">
        <f t="shared" si="9"/>
        <v>13428.5</v>
      </c>
      <c r="L5" s="256">
        <f t="shared" si="10"/>
        <v>87322650</v>
      </c>
      <c r="M5" s="830">
        <f t="shared" si="11"/>
        <v>6465</v>
      </c>
      <c r="N5" s="831">
        <f t="shared" si="12"/>
        <v>705</v>
      </c>
      <c r="O5" s="278">
        <f t="shared" si="13"/>
        <v>45385.687442129631</v>
      </c>
      <c r="P5" s="285">
        <v>4</v>
      </c>
      <c r="Q5" s="555"/>
      <c r="R5" s="694"/>
      <c r="S5" s="682"/>
      <c r="T5" s="490"/>
      <c r="U5" s="761"/>
      <c r="V5" s="298"/>
      <c r="W5" s="531"/>
      <c r="X5" s="711"/>
      <c r="Y5" s="727">
        <f>IFERROR($Z4/($D5*(1+$V$1)/100),0)</f>
        <v>735.91044776119406</v>
      </c>
      <c r="Z5" s="645">
        <f>IFERROR($D5/100*INT($Y5),"")</f>
        <v>98490</v>
      </c>
      <c r="AA5" s="765"/>
      <c r="AD5" s="49" t="s">
        <v>322</v>
      </c>
      <c r="AE5" s="296">
        <v>45389</v>
      </c>
      <c r="AF5" s="48"/>
      <c r="AG5" s="52"/>
      <c r="AH5" s="52"/>
      <c r="AI5" s="48"/>
      <c r="AJ5" s="293"/>
      <c r="AK5" s="48"/>
      <c r="AL5" s="47"/>
    </row>
    <row r="6" spans="1:42" ht="12.75" hidden="1" customHeight="1">
      <c r="A6" s="575" t="s">
        <v>235</v>
      </c>
      <c r="B6" s="843">
        <f t="shared" si="0"/>
        <v>1000</v>
      </c>
      <c r="C6" s="305">
        <f t="shared" si="1"/>
        <v>52.11</v>
      </c>
      <c r="D6" s="250">
        <f t="shared" si="2"/>
        <v>52.45</v>
      </c>
      <c r="E6" s="848">
        <f t="shared" si="3"/>
        <v>5806</v>
      </c>
      <c r="F6" s="562">
        <f t="shared" si="4"/>
        <v>52.45</v>
      </c>
      <c r="G6" s="307">
        <f t="shared" si="5"/>
        <v>1.84E-2</v>
      </c>
      <c r="H6" s="236">
        <f t="shared" si="6"/>
        <v>50</v>
      </c>
      <c r="I6" s="227">
        <f t="shared" si="7"/>
        <v>52.5</v>
      </c>
      <c r="J6" s="280">
        <f t="shared" si="8"/>
        <v>50</v>
      </c>
      <c r="K6" s="231">
        <f t="shared" si="9"/>
        <v>51.5</v>
      </c>
      <c r="L6" s="258">
        <f t="shared" si="10"/>
        <v>178866</v>
      </c>
      <c r="M6" s="832">
        <f t="shared" si="11"/>
        <v>345548</v>
      </c>
      <c r="N6" s="825">
        <f t="shared" si="12"/>
        <v>302</v>
      </c>
      <c r="O6" s="272">
        <f t="shared" si="13"/>
        <v>45385.705509259256</v>
      </c>
      <c r="P6" s="286">
        <v>5</v>
      </c>
      <c r="Q6" s="537"/>
      <c r="R6" s="695"/>
      <c r="S6" s="683"/>
      <c r="T6" s="491"/>
      <c r="U6" s="762"/>
      <c r="V6" s="297"/>
      <c r="W6" s="532"/>
      <c r="X6" s="712"/>
      <c r="Y6" s="707">
        <f>IFERROR(IF($Y$1&lt;&gt;"",INT($Y$1/(D9/100)),100),100)</f>
        <v>189</v>
      </c>
      <c r="Z6" s="644">
        <f>IFERROR($C6*(1-$V$1)/100*$Y6,"")</f>
        <v>98.487899999999996</v>
      </c>
      <c r="AA6" s="764">
        <f>IFERROR($Z6-$Z7,"")</f>
        <v>0.31289999999998486</v>
      </c>
      <c r="AB6" s="226"/>
      <c r="AD6" s="289" t="s">
        <v>323</v>
      </c>
      <c r="AE6" s="296">
        <v>45390</v>
      </c>
      <c r="AF6" s="287">
        <v>20298666.039999999</v>
      </c>
      <c r="AG6" s="288">
        <v>0.71</v>
      </c>
      <c r="AH6" s="288">
        <v>0.71599999999999997</v>
      </c>
      <c r="AI6" s="287">
        <v>942000</v>
      </c>
      <c r="AJ6" s="292">
        <v>0.71</v>
      </c>
      <c r="AK6" s="287">
        <v>10804704188</v>
      </c>
    </row>
    <row r="7" spans="1:42" ht="12.75" hidden="1" customHeight="1">
      <c r="A7" s="317" t="s">
        <v>4</v>
      </c>
      <c r="B7" s="844">
        <f t="shared" si="0"/>
        <v>50894</v>
      </c>
      <c r="C7" s="304">
        <f t="shared" si="1"/>
        <v>56</v>
      </c>
      <c r="D7" s="306">
        <f t="shared" si="2"/>
        <v>56.1</v>
      </c>
      <c r="E7" s="849">
        <f t="shared" si="3"/>
        <v>1246</v>
      </c>
      <c r="F7" s="563">
        <f t="shared" si="4"/>
        <v>56</v>
      </c>
      <c r="G7" s="308">
        <f t="shared" si="5"/>
        <v>3.5499999999999997E-2</v>
      </c>
      <c r="H7" s="237">
        <f t="shared" si="6"/>
        <v>53.78</v>
      </c>
      <c r="I7" s="228">
        <f t="shared" si="7"/>
        <v>56</v>
      </c>
      <c r="J7" s="279">
        <f t="shared" si="8"/>
        <v>52.46</v>
      </c>
      <c r="K7" s="232">
        <f t="shared" si="9"/>
        <v>54.08</v>
      </c>
      <c r="L7" s="235">
        <f t="shared" si="10"/>
        <v>19483736</v>
      </c>
      <c r="M7" s="833">
        <f t="shared" si="11"/>
        <v>35628472</v>
      </c>
      <c r="N7" s="829">
        <f t="shared" si="12"/>
        <v>15202</v>
      </c>
      <c r="O7" s="271">
        <f t="shared" si="13"/>
        <v>45385.708587962959</v>
      </c>
      <c r="P7" s="285">
        <v>6</v>
      </c>
      <c r="Q7" s="262"/>
      <c r="R7" s="692"/>
      <c r="S7" s="680"/>
      <c r="T7" s="488"/>
      <c r="U7" s="760"/>
      <c r="V7" s="298"/>
      <c r="W7" s="531"/>
      <c r="X7" s="711"/>
      <c r="Y7" s="705">
        <f>IFERROR(INT($Z6/($D7*(1+$V$1)/100)),0)</f>
        <v>175</v>
      </c>
      <c r="Z7" s="645">
        <f>IFERROR($D7/100*INT($Y7),"")</f>
        <v>98.175000000000011</v>
      </c>
      <c r="AA7" s="765"/>
      <c r="AD7" s="49" t="s">
        <v>324</v>
      </c>
      <c r="AE7" s="296">
        <v>45391</v>
      </c>
      <c r="AF7" s="48">
        <v>4358565.28</v>
      </c>
      <c r="AG7" s="52">
        <v>0.71250000000000002</v>
      </c>
      <c r="AH7" s="52">
        <v>0.72499999999999998</v>
      </c>
      <c r="AI7" s="48">
        <v>7000000</v>
      </c>
      <c r="AJ7" s="293">
        <v>0.71499999999999997</v>
      </c>
      <c r="AK7" s="48">
        <v>3440131366</v>
      </c>
    </row>
    <row r="8" spans="1:42" hidden="1">
      <c r="A8" s="316" t="s">
        <v>2</v>
      </c>
      <c r="B8" s="843">
        <f t="shared" si="0"/>
        <v>166538</v>
      </c>
      <c r="C8" s="305">
        <f t="shared" si="1"/>
        <v>55500</v>
      </c>
      <c r="D8" s="303">
        <f t="shared" si="2"/>
        <v>55520</v>
      </c>
      <c r="E8" s="850">
        <f t="shared" si="3"/>
        <v>7930</v>
      </c>
      <c r="F8" s="562">
        <f t="shared" si="4"/>
        <v>55510</v>
      </c>
      <c r="G8" s="307">
        <f t="shared" si="5"/>
        <v>1.01E-2</v>
      </c>
      <c r="H8" s="236">
        <f t="shared" si="6"/>
        <v>54590</v>
      </c>
      <c r="I8" s="227">
        <f t="shared" si="7"/>
        <v>55580</v>
      </c>
      <c r="J8" s="280">
        <f t="shared" si="8"/>
        <v>54200</v>
      </c>
      <c r="K8" s="231">
        <f t="shared" si="9"/>
        <v>54950</v>
      </c>
      <c r="L8" s="258">
        <f t="shared" si="10"/>
        <v>69775849650</v>
      </c>
      <c r="M8" s="832">
        <f t="shared" si="11"/>
        <v>126648750</v>
      </c>
      <c r="N8" s="825">
        <f t="shared" si="12"/>
        <v>47126</v>
      </c>
      <c r="O8" s="272">
        <f t="shared" si="13"/>
        <v>45385.708449074074</v>
      </c>
      <c r="P8" s="286">
        <v>7</v>
      </c>
      <c r="Q8" s="537"/>
      <c r="R8" s="695"/>
      <c r="S8" s="683"/>
      <c r="T8" s="491"/>
      <c r="U8" s="759"/>
      <c r="V8" s="297"/>
      <c r="W8" s="553"/>
      <c r="X8" s="713"/>
      <c r="Y8" s="706">
        <f t="shared" si="14"/>
        <v>175</v>
      </c>
      <c r="Z8" s="644">
        <f>IFERROR($C8*(1-$V$1)/100*INT($Y8),"")</f>
        <v>97125</v>
      </c>
      <c r="AA8" s="766">
        <f>IFERROR($Z8-$Z9,"")</f>
        <v>51.600000000005821</v>
      </c>
      <c r="AD8" s="289" t="s">
        <v>325</v>
      </c>
      <c r="AE8" s="296">
        <v>45392</v>
      </c>
      <c r="AF8" s="287">
        <v>196262141</v>
      </c>
      <c r="AG8" s="288">
        <v>0.70599999999999996</v>
      </c>
      <c r="AH8" s="288">
        <v>0.73</v>
      </c>
      <c r="AI8" s="287">
        <v>463876679.94999999</v>
      </c>
      <c r="AJ8" s="292">
        <v>0.70599999999999996</v>
      </c>
      <c r="AK8" s="287">
        <v>180320110660</v>
      </c>
    </row>
    <row r="9" spans="1:42" ht="12.75" hidden="1" customHeight="1">
      <c r="A9" s="618" t="s">
        <v>190</v>
      </c>
      <c r="B9" s="846">
        <f t="shared" si="0"/>
        <v>21784</v>
      </c>
      <c r="C9" s="588">
        <f t="shared" si="1"/>
        <v>51610</v>
      </c>
      <c r="D9" s="619">
        <f t="shared" si="2"/>
        <v>52190</v>
      </c>
      <c r="E9" s="852">
        <f t="shared" si="3"/>
        <v>760</v>
      </c>
      <c r="F9" s="620">
        <f t="shared" si="4"/>
        <v>52190</v>
      </c>
      <c r="G9" s="621">
        <f t="shared" si="5"/>
        <v>3.2000000000000002E-3</v>
      </c>
      <c r="H9" s="592">
        <f t="shared" si="6"/>
        <v>52000</v>
      </c>
      <c r="I9" s="593">
        <f t="shared" si="7"/>
        <v>53000</v>
      </c>
      <c r="J9" s="594">
        <f t="shared" si="8"/>
        <v>51000</v>
      </c>
      <c r="K9" s="595">
        <f t="shared" si="9"/>
        <v>52020</v>
      </c>
      <c r="L9" s="596">
        <f t="shared" si="10"/>
        <v>1172561253</v>
      </c>
      <c r="M9" s="834">
        <f t="shared" si="11"/>
        <v>2274685</v>
      </c>
      <c r="N9" s="835">
        <f t="shared" si="12"/>
        <v>544</v>
      </c>
      <c r="O9" s="622">
        <f t="shared" si="13"/>
        <v>45385.708425925928</v>
      </c>
      <c r="P9" s="606">
        <v>8</v>
      </c>
      <c r="Q9" s="623"/>
      <c r="R9" s="696"/>
      <c r="S9" s="684"/>
      <c r="T9" s="600"/>
      <c r="U9" s="761"/>
      <c r="V9" s="512"/>
      <c r="W9" s="601"/>
      <c r="X9" s="714"/>
      <c r="Y9" s="728">
        <f>IFERROR($Z8/($D9*(1+$V$1)/100),0)</f>
        <v>186.09886951523282</v>
      </c>
      <c r="Z9" s="646">
        <f>IFERROR($D9/100*INT($Y9),"")</f>
        <v>97073.4</v>
      </c>
      <c r="AA9" s="769"/>
      <c r="AD9" s="49" t="s">
        <v>625</v>
      </c>
      <c r="AE9" s="296">
        <v>45393</v>
      </c>
      <c r="AF9" s="290">
        <v>27714319.190000001</v>
      </c>
      <c r="AG9" s="291">
        <v>0.71599999999999997</v>
      </c>
      <c r="AH9" s="291">
        <v>0.73</v>
      </c>
      <c r="AI9" s="290">
        <v>1002764.31</v>
      </c>
      <c r="AJ9" s="294">
        <v>0.71599999999999997</v>
      </c>
      <c r="AK9" s="290">
        <v>698917137</v>
      </c>
    </row>
    <row r="10" spans="1:42" ht="12.75" hidden="1" customHeight="1">
      <c r="A10" s="575" t="s">
        <v>666</v>
      </c>
      <c r="B10" s="843">
        <f t="shared" si="0"/>
        <v>21</v>
      </c>
      <c r="C10" s="305">
        <f t="shared" si="1"/>
        <v>13.5</v>
      </c>
      <c r="D10" s="250">
        <f t="shared" si="2"/>
        <v>13.75</v>
      </c>
      <c r="E10" s="848">
        <f t="shared" si="3"/>
        <v>303</v>
      </c>
      <c r="F10" s="562">
        <f t="shared" si="4"/>
        <v>13.5</v>
      </c>
      <c r="G10" s="307">
        <f t="shared" si="5"/>
        <v>-2.1700000000000001E-2</v>
      </c>
      <c r="H10" s="236">
        <f t="shared" si="6"/>
        <v>14</v>
      </c>
      <c r="I10" s="227">
        <f t="shared" si="7"/>
        <v>14</v>
      </c>
      <c r="J10" s="280">
        <f t="shared" si="8"/>
        <v>13.2</v>
      </c>
      <c r="K10" s="231">
        <f t="shared" si="9"/>
        <v>13.8</v>
      </c>
      <c r="L10" s="258">
        <f t="shared" si="10"/>
        <v>13660</v>
      </c>
      <c r="M10" s="832">
        <f t="shared" si="11"/>
        <v>1009</v>
      </c>
      <c r="N10" s="825">
        <f t="shared" si="12"/>
        <v>93</v>
      </c>
      <c r="O10" s="272">
        <f t="shared" si="13"/>
        <v>45385.685740740744</v>
      </c>
      <c r="P10" s="286">
        <v>9</v>
      </c>
      <c r="Q10" s="537"/>
      <c r="R10" s="695"/>
      <c r="S10" s="683"/>
      <c r="T10" s="491"/>
      <c r="U10" s="762"/>
      <c r="V10" s="297"/>
      <c r="W10" s="532"/>
      <c r="X10" s="712"/>
      <c r="Y10" s="707">
        <f>IFERROR(IF($Y$1&lt;&gt;"",INT($Y$1/(D13/100)),100),100)</f>
        <v>738</v>
      </c>
      <c r="Z10" s="647">
        <f>IFERROR($C10*(1-$V$1)/100*$Y10,"")</f>
        <v>99.63000000000001</v>
      </c>
      <c r="AA10" s="764">
        <f>IFERROR($Z10-$Z11,"")</f>
        <v>0.45000000000001705</v>
      </c>
      <c r="AB10" s="226"/>
      <c r="AD10" s="49" t="s">
        <v>626</v>
      </c>
      <c r="AE10" s="296">
        <v>45394</v>
      </c>
      <c r="AF10" s="290">
        <v>3015000</v>
      </c>
      <c r="AG10" s="291">
        <v>0.70499999999999996</v>
      </c>
      <c r="AH10" s="291">
        <v>0.7390000000000001</v>
      </c>
      <c r="AI10" s="290">
        <v>736618.26</v>
      </c>
      <c r="AJ10" s="294">
        <v>0.70499999999999996</v>
      </c>
      <c r="AK10" s="290">
        <v>261424291</v>
      </c>
    </row>
    <row r="11" spans="1:42" ht="12.75" hidden="1" customHeight="1">
      <c r="A11" s="317" t="s">
        <v>18</v>
      </c>
      <c r="B11" s="844">
        <f t="shared" si="0"/>
        <v>400</v>
      </c>
      <c r="C11" s="304">
        <f t="shared" si="1"/>
        <v>56.63</v>
      </c>
      <c r="D11" s="306">
        <f t="shared" si="2"/>
        <v>57</v>
      </c>
      <c r="E11" s="849">
        <f t="shared" si="3"/>
        <v>43880</v>
      </c>
      <c r="F11" s="563">
        <f t="shared" si="4"/>
        <v>56.64</v>
      </c>
      <c r="G11" s="308">
        <f t="shared" si="5"/>
        <v>1.41E-2</v>
      </c>
      <c r="H11" s="237">
        <f t="shared" si="6"/>
        <v>55.94</v>
      </c>
      <c r="I11" s="228">
        <f t="shared" si="7"/>
        <v>57</v>
      </c>
      <c r="J11" s="279">
        <f t="shared" si="8"/>
        <v>55.05</v>
      </c>
      <c r="K11" s="232">
        <f t="shared" si="9"/>
        <v>55.85</v>
      </c>
      <c r="L11" s="235">
        <f t="shared" si="10"/>
        <v>3974013</v>
      </c>
      <c r="M11" s="828">
        <f t="shared" si="11"/>
        <v>7104294</v>
      </c>
      <c r="N11" s="829">
        <f t="shared" si="12"/>
        <v>3175</v>
      </c>
      <c r="O11" s="271">
        <f t="shared" si="13"/>
        <v>45385.687777777777</v>
      </c>
      <c r="P11" s="285">
        <v>10</v>
      </c>
      <c r="Q11" s="262"/>
      <c r="R11" s="692"/>
      <c r="S11" s="680"/>
      <c r="T11" s="488"/>
      <c r="U11" s="760"/>
      <c r="V11" s="298"/>
      <c r="W11" s="531"/>
      <c r="X11" s="711"/>
      <c r="Y11" s="705">
        <f>IFERROR(INT($Z10/($D11*(1+$V$1)/100)),0)</f>
        <v>174</v>
      </c>
      <c r="Z11" s="645">
        <f>IFERROR($D11/100*INT($Y11),"")</f>
        <v>99.179999999999993</v>
      </c>
      <c r="AA11" s="765"/>
      <c r="AD11" s="49" t="s">
        <v>627</v>
      </c>
      <c r="AE11" s="296">
        <v>45395</v>
      </c>
      <c r="AF11" s="290"/>
      <c r="AG11" s="291"/>
      <c r="AH11" s="291"/>
      <c r="AI11" s="290"/>
      <c r="AJ11" s="294"/>
      <c r="AK11" s="290"/>
    </row>
    <row r="12" spans="1:42" ht="12.75" hidden="1" customHeight="1">
      <c r="A12" s="316" t="s">
        <v>16</v>
      </c>
      <c r="B12" s="843">
        <f t="shared" si="0"/>
        <v>2960</v>
      </c>
      <c r="C12" s="305">
        <f t="shared" si="1"/>
        <v>56660</v>
      </c>
      <c r="D12" s="303">
        <f t="shared" si="2"/>
        <v>56700</v>
      </c>
      <c r="E12" s="850">
        <f t="shared" si="3"/>
        <v>13</v>
      </c>
      <c r="F12" s="562">
        <f t="shared" si="4"/>
        <v>56660</v>
      </c>
      <c r="G12" s="307">
        <f t="shared" si="5"/>
        <v>2.8000000000000004E-3</v>
      </c>
      <c r="H12" s="236">
        <f t="shared" si="6"/>
        <v>56010</v>
      </c>
      <c r="I12" s="227">
        <f t="shared" si="7"/>
        <v>56720</v>
      </c>
      <c r="J12" s="280">
        <f t="shared" si="8"/>
        <v>55500</v>
      </c>
      <c r="K12" s="231">
        <f t="shared" si="9"/>
        <v>56500</v>
      </c>
      <c r="L12" s="258">
        <f t="shared" si="10"/>
        <v>7148928039</v>
      </c>
      <c r="M12" s="832">
        <f t="shared" si="11"/>
        <v>12745111</v>
      </c>
      <c r="N12" s="825">
        <f t="shared" si="12"/>
        <v>4922</v>
      </c>
      <c r="O12" s="272">
        <f t="shared" si="13"/>
        <v>45385.687708333331</v>
      </c>
      <c r="P12" s="286">
        <v>11</v>
      </c>
      <c r="Q12" s="537"/>
      <c r="R12" s="695"/>
      <c r="S12" s="683"/>
      <c r="T12" s="491"/>
      <c r="U12" s="759"/>
      <c r="V12" s="297"/>
      <c r="W12" s="532"/>
      <c r="X12" s="712"/>
      <c r="Y12" s="706">
        <f t="shared" si="14"/>
        <v>174</v>
      </c>
      <c r="Z12" s="644">
        <f>IFERROR($C12*(1-$V$1)/100*INT($Y12),"")</f>
        <v>98588.400000000009</v>
      </c>
      <c r="AA12" s="766">
        <f>IFERROR($Z12-$Z13,"")</f>
        <v>98.400000000008731</v>
      </c>
    </row>
    <row r="13" spans="1:42" ht="12.75" hidden="1" customHeight="1">
      <c r="A13" s="574" t="s">
        <v>662</v>
      </c>
      <c r="B13" s="845">
        <f t="shared" si="0"/>
        <v>10</v>
      </c>
      <c r="C13" s="312">
        <f t="shared" si="1"/>
        <v>13120</v>
      </c>
      <c r="D13" s="313">
        <f t="shared" si="2"/>
        <v>13400</v>
      </c>
      <c r="E13" s="851">
        <f t="shared" si="3"/>
        <v>1</v>
      </c>
      <c r="F13" s="564">
        <f t="shared" si="4"/>
        <v>13130</v>
      </c>
      <c r="G13" s="314">
        <f t="shared" si="5"/>
        <v>-2.2200000000000001E-2</v>
      </c>
      <c r="H13" s="252">
        <f t="shared" si="6"/>
        <v>13780</v>
      </c>
      <c r="I13" s="253">
        <f t="shared" si="7"/>
        <v>13789</v>
      </c>
      <c r="J13" s="283">
        <f t="shared" si="8"/>
        <v>13000</v>
      </c>
      <c r="K13" s="254">
        <f t="shared" si="9"/>
        <v>13428.5</v>
      </c>
      <c r="L13" s="256">
        <f t="shared" si="10"/>
        <v>87322650</v>
      </c>
      <c r="M13" s="830">
        <f t="shared" si="11"/>
        <v>6465</v>
      </c>
      <c r="N13" s="836">
        <f t="shared" si="12"/>
        <v>705</v>
      </c>
      <c r="O13" s="315">
        <f t="shared" si="13"/>
        <v>45385.687442129631</v>
      </c>
      <c r="P13" s="285">
        <v>12</v>
      </c>
      <c r="Q13" s="555"/>
      <c r="R13" s="697"/>
      <c r="S13" s="682"/>
      <c r="T13" s="493"/>
      <c r="U13" s="760"/>
      <c r="V13" s="298"/>
      <c r="W13" s="531"/>
      <c r="X13" s="711"/>
      <c r="Y13" s="727">
        <f>IFERROR($Z12/($D13*(1+$V$1)/100),0)</f>
        <v>735.73432835820904</v>
      </c>
      <c r="Z13" s="645">
        <f>IFERROR($D13/100*INT($Y13),"")</f>
        <v>98490</v>
      </c>
      <c r="AA13" s="765"/>
    </row>
    <row r="14" spans="1:42" ht="12.75" hidden="1" customHeight="1">
      <c r="A14" s="575" t="s">
        <v>235</v>
      </c>
      <c r="B14" s="843">
        <f t="shared" si="0"/>
        <v>1000</v>
      </c>
      <c r="C14" s="305">
        <f t="shared" si="1"/>
        <v>52.11</v>
      </c>
      <c r="D14" s="250">
        <f t="shared" si="2"/>
        <v>52.45</v>
      </c>
      <c r="E14" s="848">
        <f t="shared" si="3"/>
        <v>5806</v>
      </c>
      <c r="F14" s="562">
        <f t="shared" si="4"/>
        <v>52.45</v>
      </c>
      <c r="G14" s="307">
        <f t="shared" si="5"/>
        <v>1.84E-2</v>
      </c>
      <c r="H14" s="238">
        <f t="shared" si="6"/>
        <v>50</v>
      </c>
      <c r="I14" s="230">
        <f t="shared" si="7"/>
        <v>52.5</v>
      </c>
      <c r="J14" s="281">
        <f t="shared" si="8"/>
        <v>50</v>
      </c>
      <c r="K14" s="234">
        <f t="shared" si="9"/>
        <v>51.5</v>
      </c>
      <c r="L14" s="251">
        <f t="shared" si="10"/>
        <v>178866</v>
      </c>
      <c r="M14" s="827">
        <f t="shared" si="11"/>
        <v>345548</v>
      </c>
      <c r="N14" s="823">
        <f t="shared" si="12"/>
        <v>302</v>
      </c>
      <c r="O14" s="273">
        <f t="shared" si="13"/>
        <v>45385.705509259256</v>
      </c>
      <c r="P14" s="286">
        <v>13</v>
      </c>
      <c r="Q14" s="264"/>
      <c r="R14" s="693"/>
      <c r="S14" s="681"/>
      <c r="T14" s="486"/>
      <c r="U14" s="759"/>
      <c r="V14" s="297"/>
      <c r="W14" s="532"/>
      <c r="X14" s="712"/>
      <c r="Y14" s="707">
        <v>100</v>
      </c>
      <c r="Z14" s="647">
        <f>IFERROR($C14*(1-$V$1)/100*$Y14,"")</f>
        <v>52.11</v>
      </c>
      <c r="AA14" s="764">
        <f>IFERROR($Z14-$Z15,"")</f>
        <v>3.0700000000010164E-2</v>
      </c>
      <c r="AN14" s="47"/>
      <c r="AO14" s="47"/>
      <c r="AP14" s="47"/>
    </row>
    <row r="15" spans="1:42" ht="12.75" hidden="1" customHeight="1">
      <c r="A15" s="317" t="s">
        <v>7</v>
      </c>
      <c r="B15" s="844">
        <f t="shared" si="0"/>
        <v>35114</v>
      </c>
      <c r="C15" s="304">
        <f t="shared" si="1"/>
        <v>57</v>
      </c>
      <c r="D15" s="306">
        <f t="shared" si="2"/>
        <v>57.23</v>
      </c>
      <c r="E15" s="849">
        <f t="shared" si="3"/>
        <v>100</v>
      </c>
      <c r="F15" s="563">
        <f t="shared" si="4"/>
        <v>56.98</v>
      </c>
      <c r="G15" s="308">
        <f t="shared" si="5"/>
        <v>1.7399999999999999E-2</v>
      </c>
      <c r="H15" s="241">
        <f t="shared" si="6"/>
        <v>55.95</v>
      </c>
      <c r="I15" s="242">
        <f t="shared" si="7"/>
        <v>57.49</v>
      </c>
      <c r="J15" s="282">
        <f t="shared" si="8"/>
        <v>54.46</v>
      </c>
      <c r="K15" s="243">
        <f t="shared" si="9"/>
        <v>56</v>
      </c>
      <c r="L15" s="261">
        <f t="shared" si="10"/>
        <v>1681055</v>
      </c>
      <c r="M15" s="837">
        <f t="shared" si="11"/>
        <v>3011240</v>
      </c>
      <c r="N15" s="838">
        <f t="shared" si="12"/>
        <v>1291</v>
      </c>
      <c r="O15" s="274">
        <f t="shared" si="13"/>
        <v>45385.705243055556</v>
      </c>
      <c r="P15" s="285">
        <v>14</v>
      </c>
      <c r="Q15" s="556"/>
      <c r="R15" s="698"/>
      <c r="S15" s="685"/>
      <c r="T15" s="492"/>
      <c r="U15" s="760"/>
      <c r="V15" s="298"/>
      <c r="W15" s="531"/>
      <c r="X15" s="711"/>
      <c r="Y15" s="705">
        <f>IFERROR(INT($Z14/($D15*(1+$V$1)/100)),0)</f>
        <v>91</v>
      </c>
      <c r="Z15" s="645">
        <f>IFERROR($D15/100*INT($Y15),"")</f>
        <v>52.079299999999989</v>
      </c>
      <c r="AA15" s="765"/>
    </row>
    <row r="16" spans="1:42" ht="12.75" hidden="1" customHeight="1">
      <c r="A16" s="316" t="s">
        <v>5</v>
      </c>
      <c r="B16" s="843">
        <f t="shared" si="0"/>
        <v>50</v>
      </c>
      <c r="C16" s="305">
        <f t="shared" si="1"/>
        <v>57050</v>
      </c>
      <c r="D16" s="303">
        <f t="shared" si="2"/>
        <v>57080</v>
      </c>
      <c r="E16" s="850">
        <f t="shared" si="3"/>
        <v>97234</v>
      </c>
      <c r="F16" s="562">
        <f t="shared" si="4"/>
        <v>57080</v>
      </c>
      <c r="G16" s="307">
        <f t="shared" si="5"/>
        <v>1.7000000000000001E-3</v>
      </c>
      <c r="H16" s="236">
        <f t="shared" si="6"/>
        <v>56870</v>
      </c>
      <c r="I16" s="227">
        <f t="shared" si="7"/>
        <v>57140</v>
      </c>
      <c r="J16" s="227">
        <f t="shared" si="8"/>
        <v>55800</v>
      </c>
      <c r="K16" s="231">
        <f t="shared" si="9"/>
        <v>56980</v>
      </c>
      <c r="L16" s="258">
        <f t="shared" si="10"/>
        <v>28807441571</v>
      </c>
      <c r="M16" s="832">
        <f t="shared" si="11"/>
        <v>51091854</v>
      </c>
      <c r="N16" s="825">
        <f t="shared" si="12"/>
        <v>6262</v>
      </c>
      <c r="O16" s="272">
        <f t="shared" si="13"/>
        <v>45385.708634259259</v>
      </c>
      <c r="P16" s="286">
        <v>15</v>
      </c>
      <c r="Q16" s="557"/>
      <c r="R16" s="695"/>
      <c r="S16" s="683"/>
      <c r="T16" s="491"/>
      <c r="U16" s="759"/>
      <c r="V16" s="297"/>
      <c r="W16" s="553"/>
      <c r="X16" s="713"/>
      <c r="Y16" s="706">
        <f t="shared" ref="Y16" si="15">Y15</f>
        <v>91</v>
      </c>
      <c r="Z16" s="644">
        <f>IFERROR($C16*(1-$V$1)/100*INT($Y16),"")</f>
        <v>51915.5</v>
      </c>
      <c r="AA16" s="766">
        <f>IFERROR($Z16-$Z17,"")</f>
        <v>247.40000000000146</v>
      </c>
    </row>
    <row r="17" spans="1:41" ht="12.75" hidden="1" customHeight="1">
      <c r="A17" s="618" t="s">
        <v>190</v>
      </c>
      <c r="B17" s="846">
        <f t="shared" si="0"/>
        <v>21784</v>
      </c>
      <c r="C17" s="588">
        <f t="shared" si="1"/>
        <v>51610</v>
      </c>
      <c r="D17" s="619">
        <f t="shared" si="2"/>
        <v>52190</v>
      </c>
      <c r="E17" s="852">
        <f t="shared" si="3"/>
        <v>760</v>
      </c>
      <c r="F17" s="620">
        <f t="shared" si="4"/>
        <v>52190</v>
      </c>
      <c r="G17" s="621">
        <f t="shared" si="5"/>
        <v>3.2000000000000002E-3</v>
      </c>
      <c r="H17" s="592">
        <f t="shared" si="6"/>
        <v>52000</v>
      </c>
      <c r="I17" s="593">
        <f t="shared" si="7"/>
        <v>53000</v>
      </c>
      <c r="J17" s="594">
        <f t="shared" si="8"/>
        <v>51000</v>
      </c>
      <c r="K17" s="595">
        <f t="shared" si="9"/>
        <v>52020</v>
      </c>
      <c r="L17" s="596">
        <f t="shared" si="10"/>
        <v>1172561253</v>
      </c>
      <c r="M17" s="834">
        <f t="shared" si="11"/>
        <v>2274685</v>
      </c>
      <c r="N17" s="835">
        <f t="shared" si="12"/>
        <v>544</v>
      </c>
      <c r="O17" s="622">
        <f t="shared" si="13"/>
        <v>45385.708425925928</v>
      </c>
      <c r="P17" s="606">
        <v>16</v>
      </c>
      <c r="Q17" s="623"/>
      <c r="R17" s="696"/>
      <c r="S17" s="684"/>
      <c r="T17" s="600"/>
      <c r="U17" s="760"/>
      <c r="V17" s="298"/>
      <c r="W17" s="601"/>
      <c r="X17" s="714"/>
      <c r="Y17" s="728">
        <f>IFERROR($Z16/($D17*(1+$V$1)/100),0)</f>
        <v>99.474037171872013</v>
      </c>
      <c r="Z17" s="646">
        <f>IFERROR($D17/100*INT($Y17),"")</f>
        <v>51668.1</v>
      </c>
      <c r="AA17" s="769"/>
      <c r="AO17" s="387"/>
    </row>
    <row r="18" spans="1:41" ht="12.75" hidden="1" customHeight="1">
      <c r="A18" s="575" t="s">
        <v>666</v>
      </c>
      <c r="B18" s="843">
        <f t="shared" si="0"/>
        <v>21</v>
      </c>
      <c r="C18" s="305">
        <f t="shared" si="1"/>
        <v>13.5</v>
      </c>
      <c r="D18" s="250">
        <f t="shared" si="2"/>
        <v>13.75</v>
      </c>
      <c r="E18" s="848">
        <f t="shared" si="3"/>
        <v>303</v>
      </c>
      <c r="F18" s="565">
        <f t="shared" si="4"/>
        <v>13.5</v>
      </c>
      <c r="G18" s="318">
        <f t="shared" si="5"/>
        <v>-2.1700000000000001E-2</v>
      </c>
      <c r="H18" s="319">
        <f t="shared" si="6"/>
        <v>14</v>
      </c>
      <c r="I18" s="320">
        <f t="shared" si="7"/>
        <v>14</v>
      </c>
      <c r="J18" s="321">
        <f t="shared" si="8"/>
        <v>13.2</v>
      </c>
      <c r="K18" s="322">
        <f t="shared" si="9"/>
        <v>13.8</v>
      </c>
      <c r="L18" s="323">
        <f t="shared" si="10"/>
        <v>13660</v>
      </c>
      <c r="M18" s="839">
        <f t="shared" si="11"/>
        <v>1009</v>
      </c>
      <c r="N18" s="823">
        <f t="shared" si="12"/>
        <v>93</v>
      </c>
      <c r="O18" s="273"/>
      <c r="P18" s="286">
        <v>17</v>
      </c>
      <c r="Q18" s="264"/>
      <c r="R18" s="699"/>
      <c r="S18" s="681"/>
      <c r="T18" s="486"/>
      <c r="U18" s="762"/>
      <c r="V18" s="297"/>
      <c r="W18" s="532"/>
      <c r="X18" s="712"/>
      <c r="Y18" s="707">
        <v>101</v>
      </c>
      <c r="Z18" s="647">
        <f>IFERROR($C18*(1-$V$1)/100*$Y18,"")</f>
        <v>13.635000000000002</v>
      </c>
      <c r="AA18" s="764">
        <f>IFERROR($Z18-$Z19,"")</f>
        <v>2.7000000000221291E-4</v>
      </c>
    </row>
    <row r="19" spans="1:41" ht="12.75" hidden="1" customHeight="1">
      <c r="A19" s="317" t="s">
        <v>586</v>
      </c>
      <c r="B19" s="844">
        <f t="shared" si="0"/>
        <v>49820596</v>
      </c>
      <c r="C19" s="304">
        <f t="shared" si="1"/>
        <v>0.17799999999999999</v>
      </c>
      <c r="D19" s="306">
        <f t="shared" si="2"/>
        <v>0.18099999999999999</v>
      </c>
      <c r="E19" s="849">
        <f t="shared" si="3"/>
        <v>17823013</v>
      </c>
      <c r="F19" s="566">
        <f t="shared" si="4"/>
        <v>0.17799999999999999</v>
      </c>
      <c r="G19" s="324">
        <f t="shared" si="5"/>
        <v>2.29E-2</v>
      </c>
      <c r="H19" s="325">
        <f t="shared" si="6"/>
        <v>0.17299999999999999</v>
      </c>
      <c r="I19" s="326">
        <f t="shared" si="7"/>
        <v>0.183</v>
      </c>
      <c r="J19" s="327">
        <f t="shared" si="8"/>
        <v>0.17299999999999999</v>
      </c>
      <c r="K19" s="328">
        <f t="shared" si="9"/>
        <v>0.17399999999999999</v>
      </c>
      <c r="L19" s="329">
        <f t="shared" si="10"/>
        <v>5391488</v>
      </c>
      <c r="M19" s="840">
        <f t="shared" si="11"/>
        <v>3061969609</v>
      </c>
      <c r="N19" s="838">
        <f t="shared" ref="N19:N29" si="16">IF($A19&lt;&gt;"",VLOOKUP($A19,$A$60:$N$201,14,0),"")</f>
        <v>685</v>
      </c>
      <c r="O19" s="274">
        <f t="shared" ref="O19:O29" si="17">IF($A19&lt;&gt;"",VLOOKUP($A19,$A$60:$O$201,15,0),"")</f>
        <v>45385.687592592592</v>
      </c>
      <c r="P19" s="285">
        <v>18</v>
      </c>
      <c r="Q19" s="556"/>
      <c r="R19" s="698"/>
      <c r="S19" s="685"/>
      <c r="T19" s="492"/>
      <c r="U19" s="761"/>
      <c r="V19" s="298"/>
      <c r="W19" s="531"/>
      <c r="X19" s="711"/>
      <c r="Y19" s="705">
        <f>IFERROR(INT($Z18/($D19*(1+$V$1)/100)),0)</f>
        <v>7533</v>
      </c>
      <c r="Z19" s="645">
        <f>IFERROR($D19/100*INT($Y19),"")</f>
        <v>13.634729999999999</v>
      </c>
      <c r="AA19" s="765"/>
    </row>
    <row r="20" spans="1:41" ht="12.75" hidden="1" customHeight="1">
      <c r="A20" s="316" t="s">
        <v>584</v>
      </c>
      <c r="B20" s="843">
        <f t="shared" si="0"/>
        <v>81698304</v>
      </c>
      <c r="C20" s="305">
        <f t="shared" si="1"/>
        <v>0.16700000000000001</v>
      </c>
      <c r="D20" s="303">
        <f t="shared" si="2"/>
        <v>0.16800000000000001</v>
      </c>
      <c r="E20" s="850">
        <f t="shared" si="3"/>
        <v>466351222</v>
      </c>
      <c r="F20" s="565">
        <f t="shared" si="4"/>
        <v>0.16800000000000001</v>
      </c>
      <c r="G20" s="318">
        <f t="shared" si="5"/>
        <v>1.2E-2</v>
      </c>
      <c r="H20" s="330">
        <f t="shared" si="6"/>
        <v>0.161</v>
      </c>
      <c r="I20" s="331">
        <f t="shared" si="7"/>
        <v>0.17199999999999999</v>
      </c>
      <c r="J20" s="332">
        <f t="shared" si="8"/>
        <v>0.161</v>
      </c>
      <c r="K20" s="333">
        <f t="shared" si="9"/>
        <v>0.16600000000000001</v>
      </c>
      <c r="L20" s="334">
        <f t="shared" si="10"/>
        <v>5105241</v>
      </c>
      <c r="M20" s="841">
        <f t="shared" si="11"/>
        <v>3071044438</v>
      </c>
      <c r="N20" s="825">
        <f t="shared" si="16"/>
        <v>994</v>
      </c>
      <c r="O20" s="272">
        <f t="shared" si="17"/>
        <v>45385.684861111113</v>
      </c>
      <c r="P20" s="286">
        <v>19</v>
      </c>
      <c r="Q20" s="557"/>
      <c r="R20" s="695"/>
      <c r="S20" s="683"/>
      <c r="T20" s="491"/>
      <c r="U20" s="762"/>
      <c r="V20" s="297"/>
      <c r="W20" s="553"/>
      <c r="X20" s="713"/>
      <c r="Y20" s="706">
        <f t="shared" ref="Y20" si="18">Y19</f>
        <v>7533</v>
      </c>
      <c r="Z20" s="644">
        <f>IFERROR($C20*(1-$V$1)/100*INT($Y20),"")</f>
        <v>12.580109999999999</v>
      </c>
      <c r="AA20" s="766">
        <f>IFERROR($Z20-$Z21,"")</f>
        <v>12.580109999999999</v>
      </c>
    </row>
    <row r="21" spans="1:41" ht="12.75" hidden="1" customHeight="1">
      <c r="A21" s="574" t="s">
        <v>664</v>
      </c>
      <c r="B21" s="845">
        <f t="shared" si="0"/>
        <v>0</v>
      </c>
      <c r="C21" s="312">
        <f t="shared" si="1"/>
        <v>0</v>
      </c>
      <c r="D21" s="313">
        <f t="shared" si="2"/>
        <v>0</v>
      </c>
      <c r="E21" s="851">
        <f t="shared" si="3"/>
        <v>0</v>
      </c>
      <c r="F21" s="802">
        <f t="shared" si="4"/>
        <v>0</v>
      </c>
      <c r="G21" s="803">
        <f t="shared" si="5"/>
        <v>0</v>
      </c>
      <c r="H21" s="804">
        <f t="shared" si="6"/>
        <v>0</v>
      </c>
      <c r="I21" s="805">
        <f t="shared" si="7"/>
        <v>0</v>
      </c>
      <c r="J21" s="806">
        <f t="shared" si="8"/>
        <v>0</v>
      </c>
      <c r="K21" s="807">
        <f t="shared" si="9"/>
        <v>13</v>
      </c>
      <c r="L21" s="808">
        <f t="shared" si="10"/>
        <v>0</v>
      </c>
      <c r="M21" s="842">
        <f t="shared" si="11"/>
        <v>0</v>
      </c>
      <c r="N21" s="836">
        <f t="shared" si="16"/>
        <v>0</v>
      </c>
      <c r="O21" s="315">
        <f t="shared" si="17"/>
        <v>0</v>
      </c>
      <c r="P21" s="809">
        <v>20</v>
      </c>
      <c r="Q21" s="555"/>
      <c r="R21" s="697"/>
      <c r="S21" s="682"/>
      <c r="T21" s="493"/>
      <c r="U21" s="760"/>
      <c r="V21" s="298"/>
      <c r="W21" s="810"/>
      <c r="X21" s="811"/>
      <c r="Y21" s="812">
        <f>IFERROR($Z20/($D21*(1+$V$1)/100),0)</f>
        <v>0</v>
      </c>
      <c r="Z21" s="813">
        <f>IFERROR($D21/100*INT($Y21),"")</f>
        <v>0</v>
      </c>
      <c r="AA21" s="814"/>
    </row>
    <row r="22" spans="1:41" ht="12.75" hidden="1" customHeight="1">
      <c r="A22" s="575" t="s">
        <v>235</v>
      </c>
      <c r="B22" s="843">
        <f t="shared" si="0"/>
        <v>1000</v>
      </c>
      <c r="C22" s="305">
        <f t="shared" si="1"/>
        <v>52.11</v>
      </c>
      <c r="D22" s="250">
        <f t="shared" si="2"/>
        <v>52.45</v>
      </c>
      <c r="E22" s="848">
        <f t="shared" si="3"/>
        <v>5806</v>
      </c>
      <c r="F22" s="562">
        <f t="shared" si="4"/>
        <v>52.45</v>
      </c>
      <c r="G22" s="318">
        <f t="shared" si="5"/>
        <v>1.84E-2</v>
      </c>
      <c r="H22" s="319">
        <f t="shared" si="6"/>
        <v>50</v>
      </c>
      <c r="I22" s="320">
        <f t="shared" si="7"/>
        <v>52.5</v>
      </c>
      <c r="J22" s="321">
        <f t="shared" si="8"/>
        <v>50</v>
      </c>
      <c r="K22" s="322">
        <f t="shared" si="9"/>
        <v>51.5</v>
      </c>
      <c r="L22" s="323">
        <f t="shared" si="10"/>
        <v>178866</v>
      </c>
      <c r="M22" s="816">
        <f t="shared" si="11"/>
        <v>345548</v>
      </c>
      <c r="N22" s="823">
        <f t="shared" si="16"/>
        <v>302</v>
      </c>
      <c r="O22" s="275">
        <f t="shared" si="17"/>
        <v>45385.705509259256</v>
      </c>
      <c r="P22" s="286">
        <v>21</v>
      </c>
      <c r="Q22" s="264"/>
      <c r="R22" s="699"/>
      <c r="S22" s="681"/>
      <c r="T22" s="486"/>
      <c r="U22" s="759"/>
      <c r="V22" s="297"/>
      <c r="W22" s="532"/>
      <c r="X22" s="712"/>
      <c r="Y22" s="707">
        <v>102</v>
      </c>
      <c r="Z22" s="647">
        <f>IFERROR($C22*(1-$V$1)/100*$Y22,"")</f>
        <v>53.152200000000001</v>
      </c>
      <c r="AA22" s="764">
        <f>IFERROR($Z22-$Z23,"")</f>
        <v>0.41819999999999879</v>
      </c>
    </row>
    <row r="23" spans="1:41" ht="12.75" hidden="1" customHeight="1">
      <c r="A23" s="317" t="s">
        <v>4</v>
      </c>
      <c r="B23" s="844">
        <f t="shared" si="0"/>
        <v>50894</v>
      </c>
      <c r="C23" s="304">
        <f t="shared" si="1"/>
        <v>56</v>
      </c>
      <c r="D23" s="306">
        <f t="shared" si="2"/>
        <v>56.1</v>
      </c>
      <c r="E23" s="849">
        <f t="shared" si="3"/>
        <v>1246</v>
      </c>
      <c r="F23" s="563">
        <f t="shared" si="4"/>
        <v>56</v>
      </c>
      <c r="G23" s="324">
        <f t="shared" si="5"/>
        <v>3.5499999999999997E-2</v>
      </c>
      <c r="H23" s="335">
        <f t="shared" si="6"/>
        <v>53.78</v>
      </c>
      <c r="I23" s="336">
        <f t="shared" si="7"/>
        <v>56</v>
      </c>
      <c r="J23" s="337">
        <f t="shared" si="8"/>
        <v>52.46</v>
      </c>
      <c r="K23" s="338">
        <f t="shared" si="9"/>
        <v>54.08</v>
      </c>
      <c r="L23" s="339">
        <f t="shared" si="10"/>
        <v>19483736</v>
      </c>
      <c r="M23" s="817">
        <f t="shared" si="11"/>
        <v>35628472</v>
      </c>
      <c r="N23" s="829">
        <f t="shared" si="16"/>
        <v>15202</v>
      </c>
      <c r="O23" s="276">
        <f t="shared" si="17"/>
        <v>45385.708587962959</v>
      </c>
      <c r="P23" s="285">
        <v>22</v>
      </c>
      <c r="Q23" s="262"/>
      <c r="R23" s="692"/>
      <c r="S23" s="680"/>
      <c r="T23" s="488"/>
      <c r="U23" s="760"/>
      <c r="V23" s="298"/>
      <c r="W23" s="531"/>
      <c r="X23" s="711"/>
      <c r="Y23" s="705">
        <f>IFERROR(INT($Z22/($D23*(1+$V$1)/100)),0)</f>
        <v>94</v>
      </c>
      <c r="Z23" s="645">
        <f>IFERROR($D23/100*INT($Y23),"")</f>
        <v>52.734000000000002</v>
      </c>
      <c r="AA23" s="765"/>
    </row>
    <row r="24" spans="1:41" ht="12.75" hidden="1" customHeight="1">
      <c r="A24" s="316" t="s">
        <v>3</v>
      </c>
      <c r="B24" s="843">
        <f t="shared" si="0"/>
        <v>20000</v>
      </c>
      <c r="C24" s="305">
        <f t="shared" si="1"/>
        <v>52</v>
      </c>
      <c r="D24" s="303">
        <f t="shared" si="2"/>
        <v>52.25</v>
      </c>
      <c r="E24" s="850">
        <f t="shared" si="3"/>
        <v>46659</v>
      </c>
      <c r="F24" s="562">
        <f t="shared" si="4"/>
        <v>51.83</v>
      </c>
      <c r="G24" s="318">
        <f t="shared" si="5"/>
        <v>2.3199999999999998E-2</v>
      </c>
      <c r="H24" s="319">
        <f t="shared" si="6"/>
        <v>50.74</v>
      </c>
      <c r="I24" s="227">
        <f t="shared" si="7"/>
        <v>52.5</v>
      </c>
      <c r="J24" s="321">
        <f t="shared" si="8"/>
        <v>50.4</v>
      </c>
      <c r="K24" s="322">
        <f t="shared" si="9"/>
        <v>50.65</v>
      </c>
      <c r="L24" s="323">
        <f t="shared" si="10"/>
        <v>3760394</v>
      </c>
      <c r="M24" s="818">
        <f t="shared" si="11"/>
        <v>7292348</v>
      </c>
      <c r="N24" s="823">
        <f t="shared" si="16"/>
        <v>1315</v>
      </c>
      <c r="O24" s="275">
        <f t="shared" si="17"/>
        <v>45385.703425925924</v>
      </c>
      <c r="P24" s="286">
        <v>23</v>
      </c>
      <c r="Q24" s="264"/>
      <c r="R24" s="693"/>
      <c r="S24" s="681"/>
      <c r="T24" s="486"/>
      <c r="U24" s="759"/>
      <c r="V24" s="297"/>
      <c r="W24" s="553"/>
      <c r="X24" s="713"/>
      <c r="Y24" s="706">
        <f t="shared" ref="Y24" si="19">Y23</f>
        <v>94</v>
      </c>
      <c r="Z24" s="644">
        <f>IFERROR($C24*(1-$V$1)/100*INT($Y24),"")</f>
        <v>48.88</v>
      </c>
      <c r="AA24" s="766">
        <f>IFERROR($Z24-$Z25,"")</f>
        <v>48.88</v>
      </c>
    </row>
    <row r="25" spans="1:41" ht="12.75" hidden="1" customHeight="1">
      <c r="A25" s="576" t="s">
        <v>234</v>
      </c>
      <c r="B25" s="847">
        <f t="shared" si="0"/>
        <v>0</v>
      </c>
      <c r="C25" s="354">
        <f t="shared" si="1"/>
        <v>0</v>
      </c>
      <c r="D25" s="733">
        <f t="shared" si="2"/>
        <v>0</v>
      </c>
      <c r="E25" s="853">
        <f t="shared" si="3"/>
        <v>0</v>
      </c>
      <c r="F25" s="735">
        <f t="shared" si="4"/>
        <v>0</v>
      </c>
      <c r="G25" s="345">
        <f t="shared" si="5"/>
        <v>0</v>
      </c>
      <c r="H25" s="346">
        <f t="shared" si="6"/>
        <v>0</v>
      </c>
      <c r="I25" s="347">
        <f t="shared" si="7"/>
        <v>0</v>
      </c>
      <c r="J25" s="348">
        <f t="shared" si="8"/>
        <v>0</v>
      </c>
      <c r="K25" s="349">
        <f t="shared" si="9"/>
        <v>40.375</v>
      </c>
      <c r="L25" s="350">
        <f t="shared" si="10"/>
        <v>0</v>
      </c>
      <c r="M25" s="819">
        <f t="shared" si="11"/>
        <v>0</v>
      </c>
      <c r="N25" s="826">
        <f t="shared" si="16"/>
        <v>0</v>
      </c>
      <c r="O25" s="352">
        <f t="shared" si="17"/>
        <v>0</v>
      </c>
      <c r="P25" s="285">
        <v>24</v>
      </c>
      <c r="Q25" s="353"/>
      <c r="R25" s="701"/>
      <c r="S25" s="686"/>
      <c r="T25" s="494"/>
      <c r="U25" s="761"/>
      <c r="V25" s="512"/>
      <c r="W25" s="414"/>
      <c r="X25" s="715"/>
      <c r="Y25" s="729">
        <f>IFERROR($Z24/($D25*(1+$V$1)/100),0)</f>
        <v>0</v>
      </c>
      <c r="Z25" s="648">
        <f>IFERROR($D25/100*INT($Y25),"")</f>
        <v>0</v>
      </c>
      <c r="AA25" s="767"/>
    </row>
    <row r="26" spans="1:41" ht="12.75" customHeight="1">
      <c r="A26" s="558" t="s">
        <v>13</v>
      </c>
      <c r="B26" s="820">
        <f t="shared" si="0"/>
        <v>898</v>
      </c>
      <c r="C26" s="305">
        <f t="shared" si="1"/>
        <v>55400</v>
      </c>
      <c r="D26" s="305">
        <f t="shared" si="2"/>
        <v>55500</v>
      </c>
      <c r="E26" s="820">
        <f t="shared" si="3"/>
        <v>38218</v>
      </c>
      <c r="F26" s="624">
        <f t="shared" si="4"/>
        <v>55440</v>
      </c>
      <c r="G26" s="307">
        <f t="shared" si="5"/>
        <v>3.4099999999999998E-2</v>
      </c>
      <c r="H26" s="238">
        <f t="shared" si="6"/>
        <v>55200</v>
      </c>
      <c r="I26" s="230">
        <f t="shared" si="7"/>
        <v>55490</v>
      </c>
      <c r="J26" s="281">
        <f t="shared" si="8"/>
        <v>54020</v>
      </c>
      <c r="K26" s="234">
        <f t="shared" si="9"/>
        <v>53610</v>
      </c>
      <c r="L26" s="251">
        <f t="shared" si="10"/>
        <v>134360197565</v>
      </c>
      <c r="M26" s="816">
        <f t="shared" si="11"/>
        <v>245096321</v>
      </c>
      <c r="N26" s="823">
        <f t="shared" si="16"/>
        <v>123614</v>
      </c>
      <c r="O26" s="273">
        <f t="shared" si="17"/>
        <v>45385.687592592592</v>
      </c>
      <c r="P26" s="286">
        <v>25</v>
      </c>
      <c r="Q26" s="535"/>
      <c r="R26" s="693"/>
      <c r="S26" s="687"/>
      <c r="T26" s="486"/>
      <c r="U26" s="520"/>
      <c r="V26" s="579"/>
      <c r="W26" s="532"/>
      <c r="X26" s="712"/>
      <c r="Y26" s="707">
        <v>5</v>
      </c>
      <c r="Z26" s="534">
        <f t="shared" ref="Z26:Z29" si="20">C26/100*V26-(X26*V26)</f>
        <v>0</v>
      </c>
      <c r="AA26" s="649" t="str">
        <f t="shared" ref="AA26:AA29" si="21">IF(V26&lt;&gt;0,F26/100*V26,"")</f>
        <v/>
      </c>
      <c r="AC26" s="226"/>
    </row>
    <row r="27" spans="1:41" ht="12.75" customHeight="1">
      <c r="A27" s="583" t="s">
        <v>13</v>
      </c>
      <c r="B27" s="821">
        <f t="shared" si="0"/>
        <v>898</v>
      </c>
      <c r="C27" s="306">
        <f t="shared" si="1"/>
        <v>55400</v>
      </c>
      <c r="D27" s="560">
        <f t="shared" si="2"/>
        <v>55500</v>
      </c>
      <c r="E27" s="821">
        <f t="shared" si="3"/>
        <v>38218</v>
      </c>
      <c r="F27" s="625">
        <f t="shared" si="4"/>
        <v>55440</v>
      </c>
      <c r="G27" s="308">
        <f t="shared" si="5"/>
        <v>3.4099999999999998E-2</v>
      </c>
      <c r="H27" s="501">
        <f t="shared" si="6"/>
        <v>55200</v>
      </c>
      <c r="I27" s="502">
        <f t="shared" si="7"/>
        <v>55490</v>
      </c>
      <c r="J27" s="503">
        <f t="shared" si="8"/>
        <v>54020</v>
      </c>
      <c r="K27" s="504">
        <f t="shared" si="9"/>
        <v>53610</v>
      </c>
      <c r="L27" s="505">
        <f t="shared" si="10"/>
        <v>134360197565</v>
      </c>
      <c r="M27" s="817">
        <f t="shared" si="11"/>
        <v>245096321</v>
      </c>
      <c r="N27" s="824">
        <f t="shared" si="16"/>
        <v>123614</v>
      </c>
      <c r="O27" s="506">
        <f t="shared" si="17"/>
        <v>45385.687592592592</v>
      </c>
      <c r="P27" s="285">
        <v>26</v>
      </c>
      <c r="Q27" s="536"/>
      <c r="R27" s="702"/>
      <c r="S27" s="680"/>
      <c r="T27" s="488"/>
      <c r="U27" s="521"/>
      <c r="V27" s="580"/>
      <c r="W27" s="531"/>
      <c r="X27" s="711"/>
      <c r="Y27" s="708">
        <v>5</v>
      </c>
      <c r="Z27" s="533">
        <f t="shared" si="20"/>
        <v>0</v>
      </c>
      <c r="AA27" s="650" t="str">
        <f t="shared" si="21"/>
        <v/>
      </c>
    </row>
    <row r="28" spans="1:41" ht="12.75" customHeight="1">
      <c r="A28" s="305" t="s">
        <v>13</v>
      </c>
      <c r="B28" s="820">
        <f t="shared" si="0"/>
        <v>898</v>
      </c>
      <c r="C28" s="305">
        <f t="shared" si="1"/>
        <v>55400</v>
      </c>
      <c r="D28" s="305">
        <f t="shared" si="2"/>
        <v>55500</v>
      </c>
      <c r="E28" s="820">
        <f t="shared" si="3"/>
        <v>38218</v>
      </c>
      <c r="F28" s="624">
        <f t="shared" si="4"/>
        <v>55440</v>
      </c>
      <c r="G28" s="307">
        <f t="shared" si="5"/>
        <v>3.4099999999999998E-2</v>
      </c>
      <c r="H28" s="236">
        <f t="shared" si="6"/>
        <v>55200</v>
      </c>
      <c r="I28" s="227">
        <f t="shared" si="7"/>
        <v>55490</v>
      </c>
      <c r="J28" s="227">
        <f t="shared" si="8"/>
        <v>54020</v>
      </c>
      <c r="K28" s="231">
        <f t="shared" si="9"/>
        <v>53610</v>
      </c>
      <c r="L28" s="258">
        <f t="shared" si="10"/>
        <v>134360197565</v>
      </c>
      <c r="M28" s="818">
        <f t="shared" si="11"/>
        <v>245096321</v>
      </c>
      <c r="N28" s="825">
        <f t="shared" si="16"/>
        <v>123614</v>
      </c>
      <c r="O28" s="272">
        <f t="shared" si="17"/>
        <v>45385.687592592592</v>
      </c>
      <c r="P28" s="286">
        <v>27</v>
      </c>
      <c r="Q28" s="537"/>
      <c r="R28" s="695"/>
      <c r="S28" s="681"/>
      <c r="T28" s="486"/>
      <c r="U28" s="520"/>
      <c r="V28" s="579"/>
      <c r="W28" s="532"/>
      <c r="X28" s="712"/>
      <c r="Y28" s="707">
        <v>5</v>
      </c>
      <c r="Z28" s="534">
        <f t="shared" si="20"/>
        <v>0</v>
      </c>
      <c r="AA28" s="649" t="str">
        <f t="shared" si="21"/>
        <v/>
      </c>
    </row>
    <row r="29" spans="1:41" ht="12.75" customHeight="1">
      <c r="A29" s="559" t="s">
        <v>13</v>
      </c>
      <c r="B29" s="822">
        <f t="shared" si="0"/>
        <v>898</v>
      </c>
      <c r="C29" s="641">
        <f t="shared" si="1"/>
        <v>55400</v>
      </c>
      <c r="D29" s="559">
        <f t="shared" si="2"/>
        <v>55500</v>
      </c>
      <c r="E29" s="822">
        <f t="shared" si="3"/>
        <v>38218</v>
      </c>
      <c r="F29" s="626">
        <f t="shared" si="4"/>
        <v>55440</v>
      </c>
      <c r="G29" s="355">
        <f t="shared" si="5"/>
        <v>3.4099999999999998E-2</v>
      </c>
      <c r="H29" s="356">
        <f t="shared" si="6"/>
        <v>55200</v>
      </c>
      <c r="I29" s="357">
        <f t="shared" si="7"/>
        <v>55490</v>
      </c>
      <c r="J29" s="358">
        <f t="shared" si="8"/>
        <v>54020</v>
      </c>
      <c r="K29" s="359">
        <f t="shared" si="9"/>
        <v>53610</v>
      </c>
      <c r="L29" s="351">
        <f t="shared" si="10"/>
        <v>134360197565</v>
      </c>
      <c r="M29" s="819">
        <f t="shared" si="11"/>
        <v>245096321</v>
      </c>
      <c r="N29" s="826">
        <f t="shared" si="16"/>
        <v>123614</v>
      </c>
      <c r="O29" s="360">
        <f t="shared" si="17"/>
        <v>45385.687592592592</v>
      </c>
      <c r="P29" s="285">
        <v>28</v>
      </c>
      <c r="Q29" s="353"/>
      <c r="R29" s="700"/>
      <c r="S29" s="686"/>
      <c r="T29" s="487"/>
      <c r="U29" s="521"/>
      <c r="V29" s="581"/>
      <c r="W29" s="414"/>
      <c r="X29" s="715"/>
      <c r="Y29" s="709">
        <v>5</v>
      </c>
      <c r="Z29" s="413">
        <f t="shared" si="20"/>
        <v>0</v>
      </c>
      <c r="AA29" s="651" t="str">
        <f t="shared" si="21"/>
        <v/>
      </c>
    </row>
    <row r="30" spans="1:41" ht="12.75" customHeight="1">
      <c r="A30" s="479" t="s">
        <v>590</v>
      </c>
      <c r="B30" s="248">
        <v>86</v>
      </c>
      <c r="C30" s="303">
        <v>99</v>
      </c>
      <c r="D30" s="255">
        <v>101.9</v>
      </c>
      <c r="E30" s="248">
        <v>10</v>
      </c>
      <c r="F30" s="562">
        <v>101</v>
      </c>
      <c r="G30" s="307">
        <v>-0.22159999999999999</v>
      </c>
      <c r="H30" s="238">
        <v>128.5</v>
      </c>
      <c r="I30" s="230">
        <v>128.5</v>
      </c>
      <c r="J30" s="281">
        <v>76</v>
      </c>
      <c r="K30" s="234">
        <v>129.767</v>
      </c>
      <c r="L30" s="251">
        <v>54318989</v>
      </c>
      <c r="M30" s="511">
        <v>6034</v>
      </c>
      <c r="N30" s="496">
        <v>678</v>
      </c>
      <c r="O30" s="275">
        <v>45385.708310185182</v>
      </c>
      <c r="P30" s="286">
        <v>29</v>
      </c>
      <c r="Q30" s="539"/>
      <c r="R30" s="693"/>
      <c r="S30" s="687"/>
      <c r="T30" s="486"/>
      <c r="U30" s="578"/>
      <c r="V30" s="579"/>
      <c r="W30" s="538"/>
      <c r="X30" s="716"/>
      <c r="Y30" s="652" t="str">
        <f t="shared" ref="Y26:Y44" si="22">IF(V30&gt;0,V30,"")</f>
        <v/>
      </c>
      <c r="Z30" s="543">
        <f t="shared" ref="Z30:Z44" si="23">C30*100*V30-(X30*V30)</f>
        <v>0</v>
      </c>
      <c r="AA30" s="649" t="str">
        <f>IF(V30&lt;&gt;0,F30*100*V30,"")</f>
        <v/>
      </c>
    </row>
    <row r="31" spans="1:41" ht="12.75" customHeight="1">
      <c r="A31" s="480" t="s">
        <v>591</v>
      </c>
      <c r="B31" s="630">
        <v>78</v>
      </c>
      <c r="C31" s="239">
        <v>61.5</v>
      </c>
      <c r="D31" s="239">
        <v>61.6</v>
      </c>
      <c r="E31" s="630">
        <v>5</v>
      </c>
      <c r="F31" s="567">
        <v>61.5</v>
      </c>
      <c r="G31" s="309">
        <v>-0.28770000000000001</v>
      </c>
      <c r="H31" s="237">
        <v>67.400000000000006</v>
      </c>
      <c r="I31" s="228">
        <v>67.400000000000006</v>
      </c>
      <c r="J31" s="279">
        <v>49</v>
      </c>
      <c r="K31" s="232">
        <v>86.341999999999999</v>
      </c>
      <c r="L31" s="235">
        <v>226143292</v>
      </c>
      <c r="M31" s="235">
        <v>41266</v>
      </c>
      <c r="N31" s="497">
        <v>2355</v>
      </c>
      <c r="O31" s="276">
        <v>45385.708321759259</v>
      </c>
      <c r="P31" s="285">
        <v>30</v>
      </c>
      <c r="Q31" s="540"/>
      <c r="R31" s="692"/>
      <c r="S31" s="680"/>
      <c r="T31" s="488"/>
      <c r="U31" s="521"/>
      <c r="V31" s="580">
        <v>0</v>
      </c>
      <c r="W31" s="531"/>
      <c r="X31" s="711"/>
      <c r="Y31" s="653" t="str">
        <f t="shared" si="22"/>
        <v/>
      </c>
      <c r="Z31" s="544">
        <f t="shared" si="23"/>
        <v>0</v>
      </c>
      <c r="AA31" s="650" t="str">
        <f t="shared" ref="AA31:AA44" si="24">IF(V31&lt;&gt;0,F31*100*V31,"")</f>
        <v/>
      </c>
    </row>
    <row r="32" spans="1:41" ht="12.75" customHeight="1">
      <c r="A32" s="479" t="s">
        <v>592</v>
      </c>
      <c r="B32" s="248">
        <v>4</v>
      </c>
      <c r="C32" s="303">
        <v>24.001000000000001</v>
      </c>
      <c r="D32" s="255">
        <v>25.8</v>
      </c>
      <c r="E32" s="248">
        <v>5</v>
      </c>
      <c r="F32" s="562">
        <v>24</v>
      </c>
      <c r="G32" s="307">
        <v>-0.4</v>
      </c>
      <c r="H32" s="240">
        <v>42.5</v>
      </c>
      <c r="I32" s="229">
        <v>42.5</v>
      </c>
      <c r="J32" s="284">
        <v>19.100000000000001</v>
      </c>
      <c r="K32" s="233">
        <v>40.005000000000003</v>
      </c>
      <c r="L32" s="247">
        <v>16968842</v>
      </c>
      <c r="M32" s="247">
        <v>7067</v>
      </c>
      <c r="N32" s="498">
        <v>510</v>
      </c>
      <c r="O32" s="277">
        <v>45385.707986111112</v>
      </c>
      <c r="P32" s="286">
        <v>31</v>
      </c>
      <c r="Q32" s="541"/>
      <c r="R32" s="703"/>
      <c r="S32" s="688"/>
      <c r="T32" s="489"/>
      <c r="U32" s="578"/>
      <c r="V32" s="579"/>
      <c r="W32" s="538"/>
      <c r="X32" s="716"/>
      <c r="Y32" s="654" t="str">
        <f t="shared" si="22"/>
        <v/>
      </c>
      <c r="Z32" s="545">
        <f t="shared" si="23"/>
        <v>0</v>
      </c>
      <c r="AA32" s="649" t="str">
        <f t="shared" si="24"/>
        <v/>
      </c>
    </row>
    <row r="33" spans="1:27" ht="12.75" customHeight="1">
      <c r="A33" s="480" t="s">
        <v>593</v>
      </c>
      <c r="B33" s="630">
        <v>15</v>
      </c>
      <c r="C33" s="239">
        <v>12.2</v>
      </c>
      <c r="D33" s="239">
        <v>12.9</v>
      </c>
      <c r="E33" s="630">
        <v>98</v>
      </c>
      <c r="F33" s="567">
        <v>12.5</v>
      </c>
      <c r="G33" s="309">
        <v>-0.43259999999999998</v>
      </c>
      <c r="H33" s="237">
        <v>12.154999999999999</v>
      </c>
      <c r="I33" s="228">
        <v>15.5</v>
      </c>
      <c r="J33" s="279">
        <v>10.3</v>
      </c>
      <c r="K33" s="232">
        <v>22.030999999999999</v>
      </c>
      <c r="L33" s="235">
        <v>9546016</v>
      </c>
      <c r="M33" s="235">
        <v>7520</v>
      </c>
      <c r="N33" s="497">
        <v>652</v>
      </c>
      <c r="O33" s="276">
        <v>45385.707835648151</v>
      </c>
      <c r="P33" s="285">
        <v>32</v>
      </c>
      <c r="Q33" s="540"/>
      <c r="R33" s="692"/>
      <c r="S33" s="680"/>
      <c r="T33" s="488"/>
      <c r="U33" s="521"/>
      <c r="V33" s="580"/>
      <c r="W33" s="531"/>
      <c r="X33" s="711"/>
      <c r="Y33" s="653" t="str">
        <f t="shared" si="22"/>
        <v/>
      </c>
      <c r="Z33" s="544">
        <f t="shared" si="23"/>
        <v>0</v>
      </c>
      <c r="AA33" s="650" t="str">
        <f t="shared" si="24"/>
        <v/>
      </c>
    </row>
    <row r="34" spans="1:27" ht="12.75" customHeight="1">
      <c r="A34" s="479" t="s">
        <v>594</v>
      </c>
      <c r="B34" s="248">
        <v>160</v>
      </c>
      <c r="C34" s="303">
        <v>6.25</v>
      </c>
      <c r="D34" s="255">
        <v>6.7990000000000004</v>
      </c>
      <c r="E34" s="248">
        <v>4</v>
      </c>
      <c r="F34" s="562">
        <v>6.25</v>
      </c>
      <c r="G34" s="307">
        <v>-0.49979999999999997</v>
      </c>
      <c r="H34" s="240">
        <v>5</v>
      </c>
      <c r="I34" s="229">
        <v>9.9499999999999993</v>
      </c>
      <c r="J34" s="284">
        <v>5</v>
      </c>
      <c r="K34" s="233">
        <v>12.497</v>
      </c>
      <c r="L34" s="247">
        <v>1044290</v>
      </c>
      <c r="M34" s="247">
        <v>1539</v>
      </c>
      <c r="N34" s="498">
        <v>244</v>
      </c>
      <c r="O34" s="277">
        <v>45385.707997685182</v>
      </c>
      <c r="P34" s="286">
        <v>33</v>
      </c>
      <c r="Q34" s="541"/>
      <c r="R34" s="703"/>
      <c r="S34" s="688"/>
      <c r="T34" s="489"/>
      <c r="U34" s="578"/>
      <c r="V34" s="579"/>
      <c r="W34" s="538"/>
      <c r="X34" s="716"/>
      <c r="Y34" s="654" t="str">
        <f t="shared" si="22"/>
        <v/>
      </c>
      <c r="Z34" s="545">
        <f t="shared" si="23"/>
        <v>0</v>
      </c>
      <c r="AA34" s="649" t="str">
        <f t="shared" si="24"/>
        <v/>
      </c>
    </row>
    <row r="35" spans="1:27" ht="12.75" customHeight="1">
      <c r="A35" s="480" t="s">
        <v>595</v>
      </c>
      <c r="B35" s="630">
        <v>10</v>
      </c>
      <c r="C35" s="239">
        <v>3.6</v>
      </c>
      <c r="D35" s="239">
        <v>4.45</v>
      </c>
      <c r="E35" s="630">
        <v>6</v>
      </c>
      <c r="F35" s="567">
        <v>4.4800000000000004</v>
      </c>
      <c r="G35" s="309">
        <v>-0.45030000000000003</v>
      </c>
      <c r="H35" s="237">
        <v>4.21</v>
      </c>
      <c r="I35" s="228">
        <v>7.5</v>
      </c>
      <c r="J35" s="279">
        <v>3</v>
      </c>
      <c r="K35" s="232">
        <v>8.15</v>
      </c>
      <c r="L35" s="235">
        <v>366218</v>
      </c>
      <c r="M35" s="235">
        <v>912</v>
      </c>
      <c r="N35" s="497">
        <v>170</v>
      </c>
      <c r="O35" s="276">
        <v>45385.706782407404</v>
      </c>
      <c r="P35" s="285">
        <v>34</v>
      </c>
      <c r="Q35" s="540"/>
      <c r="R35" s="692"/>
      <c r="S35" s="680"/>
      <c r="T35" s="488"/>
      <c r="U35" s="521"/>
      <c r="V35" s="580"/>
      <c r="W35" s="531"/>
      <c r="X35" s="711"/>
      <c r="Y35" s="422" t="str">
        <f t="shared" si="22"/>
        <v/>
      </c>
      <c r="Z35" s="533">
        <f t="shared" si="23"/>
        <v>0</v>
      </c>
      <c r="AA35" s="650" t="str">
        <f t="shared" si="24"/>
        <v/>
      </c>
    </row>
    <row r="36" spans="1:27" ht="12.75" customHeight="1">
      <c r="A36" s="479" t="s">
        <v>596</v>
      </c>
      <c r="B36" s="248">
        <v>70</v>
      </c>
      <c r="C36" s="303">
        <v>3</v>
      </c>
      <c r="D36" s="255">
        <v>3.33</v>
      </c>
      <c r="E36" s="248">
        <v>5</v>
      </c>
      <c r="F36" s="562">
        <v>3</v>
      </c>
      <c r="G36" s="307">
        <v>-0.46279999999999999</v>
      </c>
      <c r="H36" s="240">
        <v>0.9</v>
      </c>
      <c r="I36" s="229">
        <v>3.8</v>
      </c>
      <c r="J36" s="284">
        <v>0.9</v>
      </c>
      <c r="K36" s="233">
        <v>5.585</v>
      </c>
      <c r="L36" s="247">
        <v>336263</v>
      </c>
      <c r="M36" s="247">
        <v>1086</v>
      </c>
      <c r="N36" s="498">
        <v>162</v>
      </c>
      <c r="O36" s="277">
        <v>45385.708067129628</v>
      </c>
      <c r="P36" s="286">
        <v>35</v>
      </c>
      <c r="Q36" s="541"/>
      <c r="R36" s="703"/>
      <c r="S36" s="688"/>
      <c r="T36" s="489"/>
      <c r="U36" s="578"/>
      <c r="V36" s="579"/>
      <c r="W36" s="538"/>
      <c r="X36" s="716"/>
      <c r="Y36" s="412" t="str">
        <f t="shared" si="22"/>
        <v/>
      </c>
      <c r="Z36" s="534">
        <f t="shared" si="23"/>
        <v>0</v>
      </c>
      <c r="AA36" s="649" t="str">
        <f t="shared" si="24"/>
        <v/>
      </c>
    </row>
    <row r="37" spans="1:27" ht="12.75" customHeight="1">
      <c r="A37" s="480" t="s">
        <v>597</v>
      </c>
      <c r="B37" s="630">
        <v>26</v>
      </c>
      <c r="C37" s="239">
        <v>2.27</v>
      </c>
      <c r="D37" s="239">
        <v>2.79</v>
      </c>
      <c r="E37" s="630">
        <v>4</v>
      </c>
      <c r="F37" s="567">
        <v>2.77</v>
      </c>
      <c r="G37" s="309">
        <v>-0.36829999999999996</v>
      </c>
      <c r="H37" s="237">
        <v>1.1000000000000001</v>
      </c>
      <c r="I37" s="228">
        <v>2.9990000000000001</v>
      </c>
      <c r="J37" s="279">
        <v>1.1000000000000001</v>
      </c>
      <c r="K37" s="232">
        <v>4.3849999999999998</v>
      </c>
      <c r="L37" s="235">
        <v>143559</v>
      </c>
      <c r="M37" s="235">
        <v>648</v>
      </c>
      <c r="N37" s="497">
        <v>92</v>
      </c>
      <c r="O37" s="276">
        <v>45385.706759259258</v>
      </c>
      <c r="P37" s="285">
        <v>36</v>
      </c>
      <c r="Q37" s="540"/>
      <c r="R37" s="692"/>
      <c r="S37" s="680"/>
      <c r="T37" s="488"/>
      <c r="U37" s="521"/>
      <c r="V37" s="580"/>
      <c r="W37" s="531"/>
      <c r="X37" s="711"/>
      <c r="Y37" s="653" t="str">
        <f t="shared" si="22"/>
        <v/>
      </c>
      <c r="Z37" s="544">
        <f t="shared" si="23"/>
        <v>0</v>
      </c>
      <c r="AA37" s="650" t="str">
        <f t="shared" si="24"/>
        <v/>
      </c>
    </row>
    <row r="38" spans="1:27" ht="12.75" customHeight="1">
      <c r="A38" s="479" t="s">
        <v>598</v>
      </c>
      <c r="B38" s="248">
        <v>20</v>
      </c>
      <c r="C38" s="303">
        <v>2</v>
      </c>
      <c r="D38" s="255">
        <v>2.63</v>
      </c>
      <c r="E38" s="248">
        <v>1</v>
      </c>
      <c r="F38" s="562">
        <v>2</v>
      </c>
      <c r="G38" s="307">
        <v>-0.44819999999999999</v>
      </c>
      <c r="H38" s="240">
        <v>2.9809999999999999</v>
      </c>
      <c r="I38" s="229">
        <v>2.9809999999999999</v>
      </c>
      <c r="J38" s="284">
        <v>2</v>
      </c>
      <c r="K38" s="233">
        <v>3.625</v>
      </c>
      <c r="L38" s="247">
        <v>15146</v>
      </c>
      <c r="M38" s="247">
        <v>71</v>
      </c>
      <c r="N38" s="498">
        <v>24</v>
      </c>
      <c r="O38" s="277">
        <v>45385.707986111112</v>
      </c>
      <c r="P38" s="286">
        <v>37</v>
      </c>
      <c r="Q38" s="541"/>
      <c r="R38" s="703"/>
      <c r="S38" s="689"/>
      <c r="T38" s="489"/>
      <c r="U38" s="578"/>
      <c r="V38" s="579"/>
      <c r="W38" s="538"/>
      <c r="X38" s="716"/>
      <c r="Y38" s="654" t="str">
        <f t="shared" si="22"/>
        <v/>
      </c>
      <c r="Z38" s="545">
        <f t="shared" si="23"/>
        <v>0</v>
      </c>
      <c r="AA38" s="649" t="str">
        <f t="shared" si="24"/>
        <v/>
      </c>
    </row>
    <row r="39" spans="1:27" ht="12.75" customHeight="1">
      <c r="A39" s="604" t="s">
        <v>599</v>
      </c>
      <c r="B39" s="631">
        <v>1</v>
      </c>
      <c r="C39" s="588">
        <v>2</v>
      </c>
      <c r="D39" s="588">
        <v>2.2000000000000002</v>
      </c>
      <c r="E39" s="631">
        <v>306</v>
      </c>
      <c r="F39" s="590">
        <v>2.2000000000000002</v>
      </c>
      <c r="G39" s="591">
        <v>-0.30859999999999999</v>
      </c>
      <c r="H39" s="592">
        <v>1</v>
      </c>
      <c r="I39" s="593">
        <v>2.2480000000000002</v>
      </c>
      <c r="J39" s="594">
        <v>1</v>
      </c>
      <c r="K39" s="595">
        <v>3.1819999999999999</v>
      </c>
      <c r="L39" s="596">
        <v>1202034</v>
      </c>
      <c r="M39" s="596">
        <v>6867</v>
      </c>
      <c r="N39" s="605">
        <v>386</v>
      </c>
      <c r="O39" s="597">
        <v>45385.708067129628</v>
      </c>
      <c r="P39" s="606">
        <v>38</v>
      </c>
      <c r="Q39" s="607"/>
      <c r="R39" s="696"/>
      <c r="S39" s="684"/>
      <c r="T39" s="600"/>
      <c r="U39" s="521"/>
      <c r="V39" s="580"/>
      <c r="W39" s="601"/>
      <c r="X39" s="714"/>
      <c r="Y39" s="655" t="str">
        <f t="shared" si="22"/>
        <v/>
      </c>
      <c r="Z39" s="608">
        <f t="shared" si="23"/>
        <v>0</v>
      </c>
      <c r="AA39" s="656" t="str">
        <f t="shared" si="24"/>
        <v/>
      </c>
    </row>
    <row r="40" spans="1:27" ht="12.75" customHeight="1">
      <c r="A40" s="479" t="s">
        <v>628</v>
      </c>
      <c r="B40" s="248">
        <v>1</v>
      </c>
      <c r="C40" s="303">
        <v>255.9</v>
      </c>
      <c r="D40" s="255">
        <v>999</v>
      </c>
      <c r="E40" s="248">
        <v>3</v>
      </c>
      <c r="F40" s="562"/>
      <c r="G40" s="307"/>
      <c r="H40" s="238"/>
      <c r="I40" s="230"/>
      <c r="J40" s="281"/>
      <c r="K40" s="234"/>
      <c r="L40" s="251"/>
      <c r="M40" s="251"/>
      <c r="N40" s="496"/>
      <c r="O40" s="275"/>
      <c r="P40" s="286">
        <v>39</v>
      </c>
      <c r="Q40" s="586"/>
      <c r="R40" s="693"/>
      <c r="S40" s="681"/>
      <c r="T40" s="486"/>
      <c r="U40" s="578"/>
      <c r="V40" s="579"/>
      <c r="W40" s="532"/>
      <c r="X40" s="712"/>
      <c r="Y40" s="657" t="str">
        <f t="shared" si="22"/>
        <v/>
      </c>
      <c r="Z40" s="547">
        <f t="shared" si="23"/>
        <v>0</v>
      </c>
      <c r="AA40" s="649" t="str">
        <f t="shared" si="24"/>
        <v/>
      </c>
    </row>
    <row r="41" spans="1:27" ht="12.75" customHeight="1">
      <c r="A41" s="480" t="s">
        <v>629</v>
      </c>
      <c r="B41" s="630">
        <v>1</v>
      </c>
      <c r="C41" s="239">
        <v>368.00099999999998</v>
      </c>
      <c r="D41" s="239">
        <v>380</v>
      </c>
      <c r="E41" s="630">
        <v>1</v>
      </c>
      <c r="F41" s="567">
        <v>380</v>
      </c>
      <c r="G41" s="309">
        <v>-9.1000000000000004E-3</v>
      </c>
      <c r="H41" s="237">
        <v>390</v>
      </c>
      <c r="I41" s="228">
        <v>390</v>
      </c>
      <c r="J41" s="279">
        <v>364</v>
      </c>
      <c r="K41" s="232">
        <v>383.49900000000002</v>
      </c>
      <c r="L41" s="235">
        <v>2521018</v>
      </c>
      <c r="M41" s="235">
        <v>67</v>
      </c>
      <c r="N41" s="497">
        <v>37</v>
      </c>
      <c r="O41" s="276">
        <v>45385.707824074074</v>
      </c>
      <c r="P41" s="285">
        <v>40</v>
      </c>
      <c r="Q41" s="540"/>
      <c r="R41" s="692"/>
      <c r="S41" s="680"/>
      <c r="T41" s="488"/>
      <c r="U41" s="521"/>
      <c r="V41" s="580"/>
      <c r="W41" s="531"/>
      <c r="X41" s="711"/>
      <c r="Y41" s="658" t="str">
        <f t="shared" si="22"/>
        <v/>
      </c>
      <c r="Z41" s="546">
        <f t="shared" si="23"/>
        <v>0</v>
      </c>
      <c r="AA41" s="650" t="str">
        <f t="shared" si="24"/>
        <v/>
      </c>
    </row>
    <row r="42" spans="1:27" ht="12.75" customHeight="1">
      <c r="A42" s="479" t="s">
        <v>630</v>
      </c>
      <c r="B42" s="248">
        <v>1</v>
      </c>
      <c r="C42" s="421">
        <v>250.001</v>
      </c>
      <c r="D42" s="421">
        <v>298.99900000000002</v>
      </c>
      <c r="E42" s="248">
        <v>1</v>
      </c>
      <c r="F42" s="568">
        <v>275</v>
      </c>
      <c r="G42" s="310">
        <v>1.8500000000000003E-2</v>
      </c>
      <c r="H42" s="240">
        <v>200</v>
      </c>
      <c r="I42" s="229">
        <v>300</v>
      </c>
      <c r="J42" s="284">
        <v>200</v>
      </c>
      <c r="K42" s="233">
        <v>270</v>
      </c>
      <c r="L42" s="247">
        <v>540000</v>
      </c>
      <c r="M42" s="247">
        <v>19</v>
      </c>
      <c r="N42" s="498">
        <v>6</v>
      </c>
      <c r="O42" s="277">
        <v>45385.608935185184</v>
      </c>
      <c r="P42" s="286">
        <v>41</v>
      </c>
      <c r="Q42" s="541"/>
      <c r="R42" s="703"/>
      <c r="S42" s="688"/>
      <c r="T42" s="489"/>
      <c r="U42" s="578"/>
      <c r="V42" s="580"/>
      <c r="W42" s="538"/>
      <c r="X42" s="716"/>
      <c r="Y42" s="412" t="str">
        <f t="shared" si="22"/>
        <v/>
      </c>
      <c r="Z42" s="534">
        <f t="shared" si="23"/>
        <v>0</v>
      </c>
      <c r="AA42" s="649" t="str">
        <f t="shared" si="24"/>
        <v/>
      </c>
    </row>
    <row r="43" spans="1:27" ht="12.75" customHeight="1">
      <c r="A43" s="480" t="s">
        <v>631</v>
      </c>
      <c r="B43" s="630">
        <v>1</v>
      </c>
      <c r="C43" s="239">
        <v>200.001</v>
      </c>
      <c r="D43" s="385">
        <v>245</v>
      </c>
      <c r="E43" s="630">
        <v>2</v>
      </c>
      <c r="F43" s="567">
        <v>245</v>
      </c>
      <c r="G43" s="309">
        <v>-0.10580000000000001</v>
      </c>
      <c r="H43" s="237">
        <v>250</v>
      </c>
      <c r="I43" s="228">
        <v>260</v>
      </c>
      <c r="J43" s="279">
        <v>245</v>
      </c>
      <c r="K43" s="232">
        <v>274</v>
      </c>
      <c r="L43" s="235">
        <v>249500</v>
      </c>
      <c r="M43" s="235">
        <v>10</v>
      </c>
      <c r="N43" s="497">
        <v>4</v>
      </c>
      <c r="O43" s="276">
        <v>45385.672858796293</v>
      </c>
      <c r="P43" s="285">
        <v>42</v>
      </c>
      <c r="Q43" s="540"/>
      <c r="R43" s="692"/>
      <c r="S43" s="680"/>
      <c r="T43" s="488"/>
      <c r="U43" s="521"/>
      <c r="V43" s="579"/>
      <c r="W43" s="531"/>
      <c r="X43" s="711"/>
      <c r="Y43" s="422" t="str">
        <f t="shared" si="22"/>
        <v/>
      </c>
      <c r="Z43" s="533">
        <f t="shared" si="23"/>
        <v>0</v>
      </c>
      <c r="AA43" s="650" t="str">
        <f t="shared" si="24"/>
        <v/>
      </c>
    </row>
    <row r="44" spans="1:27" ht="12.75" customHeight="1">
      <c r="A44" s="479" t="s">
        <v>632</v>
      </c>
      <c r="B44" s="248"/>
      <c r="C44" s="421"/>
      <c r="D44" s="421"/>
      <c r="E44" s="248"/>
      <c r="F44" s="568"/>
      <c r="G44" s="310"/>
      <c r="H44" s="240"/>
      <c r="I44" s="229"/>
      <c r="J44" s="284"/>
      <c r="K44" s="233"/>
      <c r="L44" s="247"/>
      <c r="M44" s="247"/>
      <c r="N44" s="498"/>
      <c r="O44" s="277"/>
      <c r="P44" s="286">
        <v>43</v>
      </c>
      <c r="Q44" s="541"/>
      <c r="R44" s="703"/>
      <c r="S44" s="688"/>
      <c r="T44" s="489"/>
      <c r="U44" s="578"/>
      <c r="V44" s="580"/>
      <c r="W44" s="584"/>
      <c r="X44" s="716"/>
      <c r="Y44" s="412" t="str">
        <f t="shared" si="22"/>
        <v/>
      </c>
      <c r="Z44" s="534">
        <f t="shared" si="23"/>
        <v>0</v>
      </c>
      <c r="AA44" s="649" t="str">
        <f t="shared" si="24"/>
        <v/>
      </c>
    </row>
    <row r="45" spans="1:27" ht="12.75" customHeight="1">
      <c r="A45" s="528" t="s">
        <v>633</v>
      </c>
      <c r="B45" s="632">
        <v>1</v>
      </c>
      <c r="C45" s="239">
        <v>142.001</v>
      </c>
      <c r="D45" s="385">
        <v>149</v>
      </c>
      <c r="E45" s="632">
        <v>2</v>
      </c>
      <c r="F45" s="567">
        <v>149</v>
      </c>
      <c r="G45" s="309">
        <v>4.6600000000000003E-2</v>
      </c>
      <c r="H45" s="237">
        <v>121</v>
      </c>
      <c r="I45" s="228">
        <v>149</v>
      </c>
      <c r="J45" s="279">
        <v>121</v>
      </c>
      <c r="K45" s="232">
        <v>142.364</v>
      </c>
      <c r="L45" s="235">
        <v>501900</v>
      </c>
      <c r="M45" s="235">
        <v>34</v>
      </c>
      <c r="N45" s="235">
        <v>9</v>
      </c>
      <c r="O45" s="276">
        <v>45385.703726851854</v>
      </c>
      <c r="P45" s="550">
        <v>44</v>
      </c>
      <c r="Q45" s="548"/>
      <c r="R45" s="692"/>
      <c r="S45" s="690"/>
      <c r="T45" s="488"/>
      <c r="U45" s="521"/>
      <c r="V45" s="368"/>
      <c r="W45" s="531"/>
      <c r="X45" s="711"/>
      <c r="Y45" s="422" t="str">
        <f t="shared" ref="Y45:Y59" si="25">IF(V45&gt;0,V45,"")</f>
        <v/>
      </c>
      <c r="Z45" s="533">
        <f t="shared" ref="Z45:Z59" si="26">C45*100*V45-(X45*V45)</f>
        <v>0</v>
      </c>
      <c r="AA45" s="650" t="str">
        <f>IF(V45&lt;&gt;0,F45*100*V45,"")</f>
        <v/>
      </c>
    </row>
    <row r="46" spans="1:27" ht="12.75" customHeight="1">
      <c r="A46" s="481" t="s">
        <v>634</v>
      </c>
      <c r="B46" s="633"/>
      <c r="C46" s="421"/>
      <c r="D46" s="421"/>
      <c r="E46" s="633"/>
      <c r="F46" s="568"/>
      <c r="G46" s="310"/>
      <c r="H46" s="240"/>
      <c r="I46" s="229"/>
      <c r="J46" s="284"/>
      <c r="K46" s="233"/>
      <c r="L46" s="247"/>
      <c r="M46" s="247"/>
      <c r="N46" s="247"/>
      <c r="O46" s="277"/>
      <c r="P46" s="551">
        <v>45</v>
      </c>
      <c r="Q46" s="541"/>
      <c r="R46" s="703"/>
      <c r="S46" s="688"/>
      <c r="T46" s="489"/>
      <c r="U46" s="578"/>
      <c r="V46" s="411"/>
      <c r="W46" s="584"/>
      <c r="X46" s="716"/>
      <c r="Y46" s="412" t="str">
        <f t="shared" si="25"/>
        <v/>
      </c>
      <c r="Z46" s="534">
        <f t="shared" si="26"/>
        <v>0</v>
      </c>
      <c r="AA46" s="649" t="str">
        <f t="shared" ref="AA46:AA59" si="27">IF(V46&lt;&gt;0,F46*100*V46,"")</f>
        <v/>
      </c>
    </row>
    <row r="47" spans="1:27" ht="12.75" customHeight="1">
      <c r="A47" s="482" t="s">
        <v>635</v>
      </c>
      <c r="B47" s="632">
        <v>1</v>
      </c>
      <c r="C47" s="239">
        <v>80.001000000000005</v>
      </c>
      <c r="D47" s="385">
        <v>99</v>
      </c>
      <c r="E47" s="632">
        <v>10</v>
      </c>
      <c r="F47" s="567">
        <v>93</v>
      </c>
      <c r="G47" s="309">
        <v>-7.000000000000001E-4</v>
      </c>
      <c r="H47" s="237">
        <v>80</v>
      </c>
      <c r="I47" s="228">
        <v>96.8</v>
      </c>
      <c r="J47" s="279">
        <v>75.2</v>
      </c>
      <c r="K47" s="232">
        <v>93.073999999999998</v>
      </c>
      <c r="L47" s="235">
        <v>993636</v>
      </c>
      <c r="M47" s="235">
        <v>119</v>
      </c>
      <c r="N47" s="235">
        <v>13</v>
      </c>
      <c r="O47" s="276">
        <v>45385.698414351849</v>
      </c>
      <c r="P47" s="552">
        <v>46</v>
      </c>
      <c r="Q47" s="549"/>
      <c r="R47" s="692"/>
      <c r="S47" s="680"/>
      <c r="T47" s="488"/>
      <c r="U47" s="521"/>
      <c r="V47" s="368"/>
      <c r="W47" s="531"/>
      <c r="X47" s="711"/>
      <c r="Y47" s="422" t="str">
        <f t="shared" si="25"/>
        <v/>
      </c>
      <c r="Z47" s="533">
        <f t="shared" si="26"/>
        <v>0</v>
      </c>
      <c r="AA47" s="650" t="str">
        <f t="shared" si="27"/>
        <v/>
      </c>
    </row>
    <row r="48" spans="1:27" ht="12.75" customHeight="1">
      <c r="A48" s="481" t="s">
        <v>636</v>
      </c>
      <c r="B48" s="633">
        <v>2</v>
      </c>
      <c r="C48" s="421">
        <v>49</v>
      </c>
      <c r="D48" s="421">
        <v>300</v>
      </c>
      <c r="E48" s="633">
        <v>10</v>
      </c>
      <c r="F48" s="568"/>
      <c r="G48" s="310"/>
      <c r="H48" s="240"/>
      <c r="I48" s="229"/>
      <c r="J48" s="284"/>
      <c r="K48" s="233">
        <v>49.1</v>
      </c>
      <c r="L48" s="247"/>
      <c r="M48" s="247"/>
      <c r="N48" s="247"/>
      <c r="O48" s="277"/>
      <c r="P48" s="551">
        <v>47</v>
      </c>
      <c r="Q48" s="541"/>
      <c r="R48" s="703"/>
      <c r="S48" s="688"/>
      <c r="T48" s="489"/>
      <c r="U48" s="578"/>
      <c r="V48" s="411"/>
      <c r="W48" s="584"/>
      <c r="X48" s="716"/>
      <c r="Y48" s="412" t="str">
        <f t="shared" si="25"/>
        <v/>
      </c>
      <c r="Z48" s="534">
        <f t="shared" si="26"/>
        <v>0</v>
      </c>
      <c r="AA48" s="649" t="str">
        <f t="shared" si="27"/>
        <v/>
      </c>
    </row>
    <row r="49" spans="1:40" ht="12.75" customHeight="1">
      <c r="A49" s="587" t="s">
        <v>637</v>
      </c>
      <c r="B49" s="634">
        <v>10</v>
      </c>
      <c r="C49" s="588">
        <v>50</v>
      </c>
      <c r="D49" s="589">
        <v>57.997999999999998</v>
      </c>
      <c r="E49" s="634">
        <v>1</v>
      </c>
      <c r="F49" s="590">
        <v>48</v>
      </c>
      <c r="G49" s="591">
        <v>-0.11210000000000001</v>
      </c>
      <c r="H49" s="592">
        <v>30</v>
      </c>
      <c r="I49" s="593">
        <v>50</v>
      </c>
      <c r="J49" s="594">
        <v>30</v>
      </c>
      <c r="K49" s="595">
        <v>54.061999999999998</v>
      </c>
      <c r="L49" s="596">
        <v>1162998</v>
      </c>
      <c r="M49" s="596">
        <v>249</v>
      </c>
      <c r="N49" s="596">
        <v>36</v>
      </c>
      <c r="O49" s="597">
        <v>45385.694479166668</v>
      </c>
      <c r="P49" s="598">
        <v>48</v>
      </c>
      <c r="Q49" s="599"/>
      <c r="R49" s="696"/>
      <c r="S49" s="684"/>
      <c r="T49" s="600"/>
      <c r="U49" s="521"/>
      <c r="V49" s="368"/>
      <c r="W49" s="601"/>
      <c r="X49" s="714"/>
      <c r="Y49" s="602" t="str">
        <f t="shared" si="25"/>
        <v/>
      </c>
      <c r="Z49" s="603">
        <f t="shared" si="26"/>
        <v>0</v>
      </c>
      <c r="AA49" s="656" t="str">
        <f t="shared" si="27"/>
        <v/>
      </c>
    </row>
    <row r="50" spans="1:40" ht="12.75" customHeight="1">
      <c r="A50" s="479" t="s">
        <v>600</v>
      </c>
      <c r="B50" s="627">
        <v>18</v>
      </c>
      <c r="C50" s="250">
        <v>0.62</v>
      </c>
      <c r="D50" s="250">
        <v>0.83899999999999997</v>
      </c>
      <c r="E50" s="627">
        <v>43</v>
      </c>
      <c r="F50" s="585">
        <v>0.83899999999999997</v>
      </c>
      <c r="G50" s="307">
        <v>-0.23300000000000001</v>
      </c>
      <c r="H50" s="238">
        <v>0.05</v>
      </c>
      <c r="I50" s="230">
        <v>1.3</v>
      </c>
      <c r="J50" s="281">
        <v>0.05</v>
      </c>
      <c r="K50" s="234">
        <v>1.0940000000000001</v>
      </c>
      <c r="L50" s="251">
        <v>134472</v>
      </c>
      <c r="M50" s="251">
        <v>1524</v>
      </c>
      <c r="N50" s="251">
        <v>315</v>
      </c>
      <c r="O50" s="275">
        <v>45385.707986111112</v>
      </c>
      <c r="P50" s="551">
        <v>49</v>
      </c>
      <c r="Q50" s="586"/>
      <c r="R50" s="693"/>
      <c r="S50" s="681"/>
      <c r="T50" s="486"/>
      <c r="U50" s="578"/>
      <c r="V50" s="411"/>
      <c r="W50" s="415"/>
      <c r="X50" s="712"/>
      <c r="Y50" s="412" t="str">
        <f t="shared" si="25"/>
        <v/>
      </c>
      <c r="Z50" s="534">
        <f t="shared" si="26"/>
        <v>0</v>
      </c>
      <c r="AA50" s="649" t="str">
        <f t="shared" si="27"/>
        <v/>
      </c>
    </row>
    <row r="51" spans="1:40" ht="12.75" customHeight="1">
      <c r="A51" s="482" t="s">
        <v>601</v>
      </c>
      <c r="B51" s="632">
        <v>18</v>
      </c>
      <c r="C51" s="239">
        <v>1.0109999999999999</v>
      </c>
      <c r="D51" s="385">
        <v>1.45</v>
      </c>
      <c r="E51" s="632">
        <v>22</v>
      </c>
      <c r="F51" s="567">
        <v>1.0109999999999999</v>
      </c>
      <c r="G51" s="309">
        <v>-0.49920000000000003</v>
      </c>
      <c r="H51" s="237">
        <v>0.4</v>
      </c>
      <c r="I51" s="228">
        <v>1.8</v>
      </c>
      <c r="J51" s="279">
        <v>0.4</v>
      </c>
      <c r="K51" s="232">
        <v>2.0190000000000001</v>
      </c>
      <c r="L51" s="235">
        <v>377368</v>
      </c>
      <c r="M51" s="235">
        <v>2694</v>
      </c>
      <c r="N51" s="235">
        <v>444</v>
      </c>
      <c r="O51" s="276">
        <v>45385.707986111112</v>
      </c>
      <c r="P51" s="552">
        <v>50</v>
      </c>
      <c r="Q51" s="549"/>
      <c r="R51" s="692"/>
      <c r="S51" s="680"/>
      <c r="T51" s="488"/>
      <c r="U51" s="521"/>
      <c r="V51" s="368"/>
      <c r="W51" s="531"/>
      <c r="X51" s="711"/>
      <c r="Y51" s="422" t="str">
        <f t="shared" si="25"/>
        <v/>
      </c>
      <c r="Z51" s="533">
        <f t="shared" si="26"/>
        <v>0</v>
      </c>
      <c r="AA51" s="650" t="str">
        <f t="shared" si="27"/>
        <v/>
      </c>
    </row>
    <row r="52" spans="1:40" ht="12.75" customHeight="1">
      <c r="A52" s="481" t="s">
        <v>602</v>
      </c>
      <c r="B52" s="633">
        <v>15</v>
      </c>
      <c r="C52" s="421">
        <v>1.7</v>
      </c>
      <c r="D52" s="421">
        <v>2.1</v>
      </c>
      <c r="E52" s="633">
        <v>110</v>
      </c>
      <c r="F52" s="568">
        <v>2.069</v>
      </c>
      <c r="G52" s="310">
        <v>-0.48509999999999998</v>
      </c>
      <c r="H52" s="240">
        <v>1.601</v>
      </c>
      <c r="I52" s="229">
        <v>3.99</v>
      </c>
      <c r="J52" s="284">
        <v>1.5009999999999999</v>
      </c>
      <c r="K52" s="233">
        <v>4.0190000000000001</v>
      </c>
      <c r="L52" s="247">
        <v>1390263</v>
      </c>
      <c r="M52" s="247">
        <v>6323</v>
      </c>
      <c r="N52" s="247">
        <v>512</v>
      </c>
      <c r="O52" s="277">
        <v>45385.708090277774</v>
      </c>
      <c r="P52" s="551">
        <v>51</v>
      </c>
      <c r="Q52" s="541"/>
      <c r="R52" s="703"/>
      <c r="S52" s="688"/>
      <c r="T52" s="489"/>
      <c r="U52" s="578"/>
      <c r="V52" s="411"/>
      <c r="W52" s="584"/>
      <c r="X52" s="716"/>
      <c r="Y52" s="412" t="str">
        <f t="shared" si="25"/>
        <v/>
      </c>
      <c r="Z52" s="534">
        <f t="shared" si="26"/>
        <v>0</v>
      </c>
      <c r="AA52" s="649" t="str">
        <f t="shared" si="27"/>
        <v/>
      </c>
    </row>
    <row r="53" spans="1:40" ht="12.75" customHeight="1">
      <c r="A53" s="482" t="s">
        <v>603</v>
      </c>
      <c r="B53" s="632">
        <v>22</v>
      </c>
      <c r="C53" s="239">
        <v>2.7</v>
      </c>
      <c r="D53" s="385">
        <v>3.49</v>
      </c>
      <c r="E53" s="632">
        <v>50</v>
      </c>
      <c r="F53" s="567">
        <v>3.4990000000000001</v>
      </c>
      <c r="G53" s="309">
        <v>-0.44159999999999999</v>
      </c>
      <c r="H53" s="237">
        <v>4.5</v>
      </c>
      <c r="I53" s="228">
        <v>6.4</v>
      </c>
      <c r="J53" s="279">
        <v>2.5499999999999998</v>
      </c>
      <c r="K53" s="232">
        <v>6.2670000000000003</v>
      </c>
      <c r="L53" s="235">
        <v>1030064</v>
      </c>
      <c r="M53" s="235">
        <v>2730</v>
      </c>
      <c r="N53" s="235">
        <v>376</v>
      </c>
      <c r="O53" s="276">
        <v>45385.707384259258</v>
      </c>
      <c r="P53" s="552">
        <v>52</v>
      </c>
      <c r="Q53" s="549"/>
      <c r="R53" s="692"/>
      <c r="S53" s="680"/>
      <c r="T53" s="488"/>
      <c r="U53" s="521"/>
      <c r="V53" s="368"/>
      <c r="W53" s="531"/>
      <c r="X53" s="711"/>
      <c r="Y53" s="422" t="str">
        <f t="shared" si="25"/>
        <v/>
      </c>
      <c r="Z53" s="533">
        <f t="shared" si="26"/>
        <v>0</v>
      </c>
      <c r="AA53" s="650" t="str">
        <f t="shared" si="27"/>
        <v/>
      </c>
    </row>
    <row r="54" spans="1:40" ht="12.75" customHeight="1">
      <c r="A54" s="481" t="s">
        <v>604</v>
      </c>
      <c r="B54" s="633">
        <v>121</v>
      </c>
      <c r="C54" s="421">
        <v>3.6</v>
      </c>
      <c r="D54" s="421">
        <v>5.99</v>
      </c>
      <c r="E54" s="633">
        <v>10</v>
      </c>
      <c r="F54" s="568">
        <v>5.899</v>
      </c>
      <c r="G54" s="310">
        <v>-0.46700000000000003</v>
      </c>
      <c r="H54" s="240">
        <v>10</v>
      </c>
      <c r="I54" s="229">
        <v>11.5</v>
      </c>
      <c r="J54" s="284">
        <v>5</v>
      </c>
      <c r="K54" s="233">
        <v>11.068</v>
      </c>
      <c r="L54" s="247">
        <v>2175267</v>
      </c>
      <c r="M54" s="247">
        <v>3243</v>
      </c>
      <c r="N54" s="247">
        <v>394</v>
      </c>
      <c r="O54" s="277">
        <v>45385.707939814813</v>
      </c>
      <c r="P54" s="551">
        <v>53</v>
      </c>
      <c r="Q54" s="541"/>
      <c r="R54" s="703"/>
      <c r="S54" s="688"/>
      <c r="T54" s="489"/>
      <c r="U54" s="578"/>
      <c r="V54" s="411"/>
      <c r="W54" s="584"/>
      <c r="X54" s="716"/>
      <c r="Y54" s="412" t="str">
        <f t="shared" si="25"/>
        <v/>
      </c>
      <c r="Z54" s="534">
        <f t="shared" si="26"/>
        <v>0</v>
      </c>
      <c r="AA54" s="649" t="str">
        <f t="shared" si="27"/>
        <v/>
      </c>
    </row>
    <row r="55" spans="1:40" ht="12.75" customHeight="1">
      <c r="A55" s="482" t="s">
        <v>605</v>
      </c>
      <c r="B55" s="632">
        <v>2</v>
      </c>
      <c r="C55" s="239">
        <v>8.0020000000000007</v>
      </c>
      <c r="D55" s="385">
        <v>10.5</v>
      </c>
      <c r="E55" s="632">
        <v>23</v>
      </c>
      <c r="F55" s="567">
        <v>9</v>
      </c>
      <c r="G55" s="309">
        <v>-0.53380000000000005</v>
      </c>
      <c r="H55" s="237">
        <v>22</v>
      </c>
      <c r="I55" s="228">
        <v>24.899000000000001</v>
      </c>
      <c r="J55" s="279">
        <v>9</v>
      </c>
      <c r="K55" s="232">
        <v>19.306000000000001</v>
      </c>
      <c r="L55" s="235">
        <v>7177116</v>
      </c>
      <c r="M55" s="235">
        <v>5610</v>
      </c>
      <c r="N55" s="235">
        <v>465</v>
      </c>
      <c r="O55" s="276">
        <v>45385.706967592596</v>
      </c>
      <c r="P55" s="552">
        <v>54</v>
      </c>
      <c r="Q55" s="549"/>
      <c r="R55" s="692"/>
      <c r="S55" s="680"/>
      <c r="T55" s="488"/>
      <c r="U55" s="521"/>
      <c r="V55" s="368"/>
      <c r="W55" s="531"/>
      <c r="X55" s="711"/>
      <c r="Y55" s="422" t="str">
        <f t="shared" si="25"/>
        <v/>
      </c>
      <c r="Z55" s="533">
        <f t="shared" si="26"/>
        <v>0</v>
      </c>
      <c r="AA55" s="650" t="str">
        <f t="shared" si="27"/>
        <v/>
      </c>
    </row>
    <row r="56" spans="1:40" ht="12.75" customHeight="1">
      <c r="A56" s="481" t="s">
        <v>606</v>
      </c>
      <c r="B56" s="633">
        <v>2</v>
      </c>
      <c r="C56" s="421">
        <v>16.001000000000001</v>
      </c>
      <c r="D56" s="421">
        <v>18.2</v>
      </c>
      <c r="E56" s="633">
        <v>48</v>
      </c>
      <c r="F56" s="568">
        <v>18.2</v>
      </c>
      <c r="G56" s="310">
        <v>-0.45829999999999999</v>
      </c>
      <c r="H56" s="240">
        <v>36</v>
      </c>
      <c r="I56" s="229">
        <v>40</v>
      </c>
      <c r="J56" s="284">
        <v>18.2</v>
      </c>
      <c r="K56" s="233">
        <v>33.6</v>
      </c>
      <c r="L56" s="247">
        <v>7085700</v>
      </c>
      <c r="M56" s="247">
        <v>3231</v>
      </c>
      <c r="N56" s="247">
        <v>387</v>
      </c>
      <c r="O56" s="277">
        <v>45385.707453703704</v>
      </c>
      <c r="P56" s="551">
        <v>55</v>
      </c>
      <c r="Q56" s="541"/>
      <c r="R56" s="703"/>
      <c r="S56" s="688"/>
      <c r="T56" s="489"/>
      <c r="U56" s="578"/>
      <c r="V56" s="411"/>
      <c r="W56" s="584"/>
      <c r="X56" s="716"/>
      <c r="Y56" s="412" t="str">
        <f t="shared" si="25"/>
        <v/>
      </c>
      <c r="Z56" s="534">
        <f t="shared" si="26"/>
        <v>0</v>
      </c>
      <c r="AA56" s="649" t="str">
        <f t="shared" si="27"/>
        <v/>
      </c>
    </row>
    <row r="57" spans="1:40" ht="12.75" customHeight="1">
      <c r="A57" s="482" t="s">
        <v>607</v>
      </c>
      <c r="B57" s="632">
        <v>200</v>
      </c>
      <c r="C57" s="239">
        <v>32</v>
      </c>
      <c r="D57" s="239">
        <v>36</v>
      </c>
      <c r="E57" s="632">
        <v>48</v>
      </c>
      <c r="F57" s="567">
        <v>32</v>
      </c>
      <c r="G57" s="309">
        <v>-0.37740000000000001</v>
      </c>
      <c r="H57" s="237">
        <v>65</v>
      </c>
      <c r="I57" s="228">
        <v>65</v>
      </c>
      <c r="J57" s="279">
        <v>31</v>
      </c>
      <c r="K57" s="232">
        <v>51.4</v>
      </c>
      <c r="L57" s="235">
        <v>16453066</v>
      </c>
      <c r="M57" s="235">
        <v>4134</v>
      </c>
      <c r="N57" s="235">
        <v>398</v>
      </c>
      <c r="O57" s="276">
        <v>45385.708020833335</v>
      </c>
      <c r="P57" s="552">
        <v>56</v>
      </c>
      <c r="Q57" s="549"/>
      <c r="R57" s="692"/>
      <c r="S57" s="680"/>
      <c r="T57" s="488"/>
      <c r="U57" s="521"/>
      <c r="V57" s="411"/>
      <c r="W57" s="531"/>
      <c r="X57" s="711"/>
      <c r="Y57" s="422" t="str">
        <f t="shared" si="25"/>
        <v/>
      </c>
      <c r="Z57" s="533">
        <f t="shared" si="26"/>
        <v>0</v>
      </c>
      <c r="AA57" s="650" t="str">
        <f t="shared" si="27"/>
        <v/>
      </c>
    </row>
    <row r="58" spans="1:40" ht="12.75" customHeight="1">
      <c r="A58" s="481" t="s">
        <v>608</v>
      </c>
      <c r="B58" s="633">
        <v>13</v>
      </c>
      <c r="C58" s="421">
        <v>116</v>
      </c>
      <c r="D58" s="495">
        <v>128</v>
      </c>
      <c r="E58" s="633">
        <v>5</v>
      </c>
      <c r="F58" s="568">
        <v>120</v>
      </c>
      <c r="G58" s="310">
        <v>-3.9E-2</v>
      </c>
      <c r="H58" s="240">
        <v>200</v>
      </c>
      <c r="I58" s="229">
        <v>200</v>
      </c>
      <c r="J58" s="284">
        <v>120</v>
      </c>
      <c r="K58" s="233">
        <v>124.881</v>
      </c>
      <c r="L58" s="247">
        <v>1647611</v>
      </c>
      <c r="M58" s="247">
        <v>131</v>
      </c>
      <c r="N58" s="247">
        <v>33</v>
      </c>
      <c r="O58" s="277">
        <v>45385.707349537035</v>
      </c>
      <c r="P58" s="551">
        <v>57</v>
      </c>
      <c r="Q58" s="541"/>
      <c r="R58" s="703"/>
      <c r="S58" s="688"/>
      <c r="T58" s="489"/>
      <c r="U58" s="578"/>
      <c r="V58" s="368"/>
      <c r="W58" s="584"/>
      <c r="X58" s="716"/>
      <c r="Y58" s="412" t="str">
        <f t="shared" si="25"/>
        <v/>
      </c>
      <c r="Z58" s="534">
        <f t="shared" si="26"/>
        <v>0</v>
      </c>
      <c r="AA58" s="649" t="str">
        <f t="shared" si="27"/>
        <v/>
      </c>
    </row>
    <row r="59" spans="1:40" ht="12.75" customHeight="1">
      <c r="A59" s="483" t="s">
        <v>609</v>
      </c>
      <c r="B59" s="635">
        <v>3</v>
      </c>
      <c r="C59" s="354">
        <v>185.001</v>
      </c>
      <c r="D59" s="354">
        <v>200.001</v>
      </c>
      <c r="E59" s="635">
        <v>1</v>
      </c>
      <c r="F59" s="569">
        <v>200.001</v>
      </c>
      <c r="G59" s="365">
        <v>2.5000000000000001E-2</v>
      </c>
      <c r="H59" s="356">
        <v>236</v>
      </c>
      <c r="I59" s="357">
        <v>236</v>
      </c>
      <c r="J59" s="358">
        <v>195</v>
      </c>
      <c r="K59" s="359">
        <v>195.12</v>
      </c>
      <c r="L59" s="351">
        <v>890501</v>
      </c>
      <c r="M59" s="351">
        <v>42</v>
      </c>
      <c r="N59" s="351">
        <v>11</v>
      </c>
      <c r="O59" s="352">
        <v>45385.699733796297</v>
      </c>
      <c r="P59" s="552">
        <v>58</v>
      </c>
      <c r="Q59" s="542"/>
      <c r="R59" s="700"/>
      <c r="S59" s="686"/>
      <c r="T59" s="487"/>
      <c r="U59" s="521"/>
      <c r="V59" s="411"/>
      <c r="W59" s="414"/>
      <c r="X59" s="715"/>
      <c r="Y59" s="609" t="str">
        <f t="shared" si="25"/>
        <v/>
      </c>
      <c r="Z59" s="413">
        <f t="shared" si="26"/>
        <v>0</v>
      </c>
      <c r="AA59" s="651" t="str">
        <f t="shared" si="27"/>
        <v/>
      </c>
    </row>
    <row r="60" spans="1:40" ht="12.75" customHeight="1">
      <c r="A60" s="523" t="s">
        <v>335</v>
      </c>
      <c r="B60" s="248">
        <v>5</v>
      </c>
      <c r="C60" s="303">
        <v>2747</v>
      </c>
      <c r="D60" s="255">
        <v>2780</v>
      </c>
      <c r="E60" s="248">
        <v>131</v>
      </c>
      <c r="F60" s="562">
        <v>2780</v>
      </c>
      <c r="G60" s="307">
        <v>-2E-3</v>
      </c>
      <c r="H60" s="238">
        <v>2850.05</v>
      </c>
      <c r="I60" s="230">
        <v>2850.05</v>
      </c>
      <c r="J60" s="281">
        <v>2701</v>
      </c>
      <c r="K60" s="234">
        <v>2785.75</v>
      </c>
      <c r="L60" s="251">
        <v>217525656</v>
      </c>
      <c r="M60" s="234">
        <v>78517</v>
      </c>
      <c r="N60" s="251">
        <v>980</v>
      </c>
      <c r="O60" s="275">
        <v>45385.687094907407</v>
      </c>
      <c r="P60" s="286">
        <v>59</v>
      </c>
      <c r="Q60" s="264">
        <v>0</v>
      </c>
      <c r="R60" s="721">
        <v>0</v>
      </c>
      <c r="S60" s="717">
        <v>0</v>
      </c>
      <c r="T60" s="246">
        <v>0</v>
      </c>
      <c r="U60" s="500"/>
      <c r="V60" s="266"/>
      <c r="W60" s="415"/>
      <c r="X60" s="723"/>
      <c r="Y60" s="659">
        <f>IF(D60&lt;&gt;0,($C61*(1-$V$1))-$D60,0)</f>
        <v>24</v>
      </c>
      <c r="Z60" s="660"/>
      <c r="AA60" s="772" t="str">
        <f>MID($A60,1,5)</f>
        <v xml:space="preserve">GGAL </v>
      </c>
    </row>
    <row r="61" spans="1:40" ht="12.75" customHeight="1">
      <c r="A61" s="522" t="s">
        <v>336</v>
      </c>
      <c r="B61" s="389">
        <v>20</v>
      </c>
      <c r="C61" s="354">
        <v>2804</v>
      </c>
      <c r="D61" s="384">
        <v>2808</v>
      </c>
      <c r="E61" s="635">
        <v>75</v>
      </c>
      <c r="F61" s="569">
        <v>2808</v>
      </c>
      <c r="G61" s="365">
        <v>-7.6E-3</v>
      </c>
      <c r="H61" s="356">
        <v>2754.7</v>
      </c>
      <c r="I61" s="357">
        <v>2830</v>
      </c>
      <c r="J61" s="358">
        <v>2733</v>
      </c>
      <c r="K61" s="359">
        <v>2829.75</v>
      </c>
      <c r="L61" s="351">
        <v>4581135170</v>
      </c>
      <c r="M61" s="359">
        <v>1643406</v>
      </c>
      <c r="N61" s="351">
        <v>4626</v>
      </c>
      <c r="O61" s="352">
        <v>45385.708229166667</v>
      </c>
      <c r="P61" s="285">
        <v>60</v>
      </c>
      <c r="Q61" s="353">
        <v>0</v>
      </c>
      <c r="R61" s="700">
        <v>0</v>
      </c>
      <c r="S61" s="718">
        <v>0</v>
      </c>
      <c r="T61" s="361">
        <v>0</v>
      </c>
      <c r="U61" s="499"/>
      <c r="V61" s="265">
        <v>0</v>
      </c>
      <c r="W61" s="414">
        <v>0</v>
      </c>
      <c r="X61" s="724">
        <v>0</v>
      </c>
      <c r="Y61" s="722">
        <f>IFERROR(INT($Y$1/(F60)),"")</f>
        <v>35</v>
      </c>
      <c r="Z61" s="661"/>
      <c r="AA61" s="773"/>
    </row>
    <row r="62" spans="1:40" ht="12.75" hidden="1" customHeight="1">
      <c r="A62" s="267" t="s">
        <v>574</v>
      </c>
      <c r="B62" s="248">
        <v>100</v>
      </c>
      <c r="C62" s="396">
        <v>1880</v>
      </c>
      <c r="D62" s="397">
        <v>1890</v>
      </c>
      <c r="E62" s="248">
        <v>8</v>
      </c>
      <c r="F62" s="562">
        <v>1880</v>
      </c>
      <c r="G62" s="307">
        <v>5.0000000000000001E-3</v>
      </c>
      <c r="H62" s="238">
        <v>1896.05</v>
      </c>
      <c r="I62" s="230">
        <v>1900</v>
      </c>
      <c r="J62" s="281">
        <v>1775</v>
      </c>
      <c r="K62" s="234">
        <v>1870.5</v>
      </c>
      <c r="L62" s="251">
        <v>149978426</v>
      </c>
      <c r="M62" s="234">
        <v>80713</v>
      </c>
      <c r="N62" s="251">
        <v>1438</v>
      </c>
      <c r="O62" s="275">
        <v>45385.687488425923</v>
      </c>
      <c r="P62" s="286">
        <v>61</v>
      </c>
      <c r="Q62" s="264">
        <v>0</v>
      </c>
      <c r="R62" s="693">
        <v>0</v>
      </c>
      <c r="S62" s="717">
        <v>0</v>
      </c>
      <c r="T62" s="246">
        <v>0</v>
      </c>
      <c r="U62" s="500"/>
      <c r="V62" s="266">
        <v>0</v>
      </c>
      <c r="W62" s="391">
        <v>0</v>
      </c>
      <c r="X62" s="725">
        <v>0</v>
      </c>
      <c r="Y62" s="659">
        <f>IF(D62&lt;&gt;0,($C63*(1-$V$1))-$D62,0)</f>
        <v>-10.950000000000045</v>
      </c>
      <c r="Z62" s="660">
        <f>$F63*($AE$1*$AD$1)</f>
        <v>7.0564383561643833</v>
      </c>
      <c r="AA62" s="770" t="str">
        <f>MID($A62,1,5)</f>
        <v xml:space="preserve">PAMP </v>
      </c>
    </row>
    <row r="63" spans="1:40" ht="12.75" hidden="1" customHeight="1">
      <c r="A63" s="388" t="s">
        <v>575</v>
      </c>
      <c r="B63" s="389">
        <v>2</v>
      </c>
      <c r="C63" s="398">
        <v>1879.05</v>
      </c>
      <c r="D63" s="398">
        <v>1884.8</v>
      </c>
      <c r="E63" s="389">
        <v>113</v>
      </c>
      <c r="F63" s="570">
        <v>1880</v>
      </c>
      <c r="G63" s="365">
        <v>-3.8E-3</v>
      </c>
      <c r="H63" s="356">
        <v>1889.5</v>
      </c>
      <c r="I63" s="357">
        <v>1890.85</v>
      </c>
      <c r="J63" s="358">
        <v>1820</v>
      </c>
      <c r="K63" s="359">
        <v>1887.35</v>
      </c>
      <c r="L63" s="351">
        <v>3085667247</v>
      </c>
      <c r="M63" s="359">
        <v>1649428</v>
      </c>
      <c r="N63" s="351">
        <v>7788</v>
      </c>
      <c r="O63" s="390">
        <v>45385.708310185182</v>
      </c>
      <c r="P63" s="285">
        <v>62</v>
      </c>
      <c r="Q63" s="353">
        <v>0</v>
      </c>
      <c r="R63" s="700">
        <v>0</v>
      </c>
      <c r="S63" s="718">
        <v>0</v>
      </c>
      <c r="T63" s="361">
        <v>0</v>
      </c>
      <c r="U63" s="499"/>
      <c r="V63" s="363">
        <v>0</v>
      </c>
      <c r="W63" s="392">
        <v>0</v>
      </c>
      <c r="X63" s="726">
        <v>0</v>
      </c>
      <c r="Y63" s="662">
        <f>IFERROR(IF($Y$1&lt;&gt;"",INT($Y$1/(D62)),100),100)</f>
        <v>52</v>
      </c>
      <c r="Z63" s="663"/>
      <c r="AA63" s="771"/>
    </row>
    <row r="64" spans="1:40" ht="12.75" customHeight="1">
      <c r="A64" s="731" t="s">
        <v>13</v>
      </c>
      <c r="B64" s="628">
        <v>898</v>
      </c>
      <c r="C64" s="305">
        <v>55400</v>
      </c>
      <c r="D64" s="305">
        <v>55500</v>
      </c>
      <c r="E64" s="628">
        <v>38218</v>
      </c>
      <c r="F64" s="305">
        <v>55440</v>
      </c>
      <c r="G64" s="307">
        <v>3.4099999999999998E-2</v>
      </c>
      <c r="H64" s="238">
        <v>55200</v>
      </c>
      <c r="I64" s="230">
        <v>55490</v>
      </c>
      <c r="J64" s="281">
        <v>54020</v>
      </c>
      <c r="K64" s="234">
        <v>53610</v>
      </c>
      <c r="L64" s="251">
        <v>134360197565</v>
      </c>
      <c r="M64" s="234">
        <v>245096321</v>
      </c>
      <c r="N64" s="251">
        <v>123614</v>
      </c>
      <c r="O64" s="275">
        <v>45385.687592592592</v>
      </c>
      <c r="P64" s="286">
        <v>63</v>
      </c>
      <c r="Q64" s="264">
        <v>0</v>
      </c>
      <c r="R64" s="693">
        <v>0</v>
      </c>
      <c r="S64" s="717">
        <v>0</v>
      </c>
      <c r="T64" s="246">
        <v>0</v>
      </c>
      <c r="U64" s="500"/>
      <c r="V64" s="371"/>
      <c r="W64" s="515">
        <f t="shared" ref="W64:W68" si="28">(V64*X64)</f>
        <v>0</v>
      </c>
      <c r="X64" s="716"/>
      <c r="Y64" s="659">
        <f>IF(D64&lt;&gt;0,($C65*(1-$V$1))-$D64,0)</f>
        <v>0</v>
      </c>
      <c r="Z64" s="664"/>
      <c r="AA64" s="665"/>
      <c r="AB64" s="38"/>
      <c r="AC64" s="373">
        <v>325</v>
      </c>
      <c r="AE64" s="47">
        <v>0.47860000000000003</v>
      </c>
      <c r="AF64" s="47">
        <f>AC64*AE64</f>
        <v>155.54500000000002</v>
      </c>
      <c r="AN64" s="386"/>
    </row>
    <row r="65" spans="1:40" ht="12.75" customHeight="1">
      <c r="A65" s="583" t="s">
        <v>2</v>
      </c>
      <c r="B65" s="629">
        <v>166538</v>
      </c>
      <c r="C65" s="306">
        <v>55500</v>
      </c>
      <c r="D65" s="560">
        <v>55520</v>
      </c>
      <c r="E65" s="629">
        <v>7930</v>
      </c>
      <c r="F65" s="560">
        <v>55510</v>
      </c>
      <c r="G65" s="309">
        <v>1.01E-2</v>
      </c>
      <c r="H65" s="237">
        <v>54590</v>
      </c>
      <c r="I65" s="228">
        <v>55580</v>
      </c>
      <c r="J65" s="279">
        <v>54200</v>
      </c>
      <c r="K65" s="232">
        <v>54950</v>
      </c>
      <c r="L65" s="235">
        <v>69775849650</v>
      </c>
      <c r="M65" s="232">
        <v>126648750</v>
      </c>
      <c r="N65" s="235">
        <v>47126</v>
      </c>
      <c r="O65" s="276">
        <v>45385.708449074074</v>
      </c>
      <c r="P65" s="285">
        <v>64</v>
      </c>
      <c r="Q65" s="262">
        <v>0</v>
      </c>
      <c r="R65" s="692">
        <v>0</v>
      </c>
      <c r="S65" s="719">
        <v>0</v>
      </c>
      <c r="T65" s="245">
        <v>0</v>
      </c>
      <c r="U65" s="499"/>
      <c r="V65" s="370"/>
      <c r="W65" s="514">
        <f>V64*(C64/100)</f>
        <v>0</v>
      </c>
      <c r="X65" s="711"/>
      <c r="Y65" s="507">
        <f>IFERROR(INT($Y$1/(F64/100)),"")</f>
        <v>178</v>
      </c>
      <c r="Z65" s="666"/>
      <c r="AA65" s="667"/>
      <c r="AB65" s="38"/>
      <c r="AC65" s="373">
        <v>179</v>
      </c>
      <c r="AE65" s="47">
        <v>0.47910000000000003</v>
      </c>
      <c r="AF65" s="47">
        <f t="shared" ref="AF65:AF67" si="29">AC65*AE65</f>
        <v>85.758900000000011</v>
      </c>
      <c r="AN65" s="386"/>
    </row>
    <row r="66" spans="1:40" ht="12.75" customHeight="1">
      <c r="A66" s="582" t="s">
        <v>15</v>
      </c>
      <c r="B66" s="636">
        <v>30000</v>
      </c>
      <c r="C66" s="303">
        <v>51.8</v>
      </c>
      <c r="D66" s="255">
        <v>52.1</v>
      </c>
      <c r="E66" s="636">
        <v>227386</v>
      </c>
      <c r="F66" s="571">
        <v>52.1</v>
      </c>
      <c r="G66" s="310">
        <v>2.1499999999999998E-2</v>
      </c>
      <c r="H66" s="240">
        <v>50.75</v>
      </c>
      <c r="I66" s="229">
        <v>52.4</v>
      </c>
      <c r="J66" s="284">
        <v>50.35</v>
      </c>
      <c r="K66" s="233">
        <v>51</v>
      </c>
      <c r="L66" s="247">
        <v>29640995</v>
      </c>
      <c r="M66" s="233">
        <v>57744787</v>
      </c>
      <c r="N66" s="247">
        <v>9294</v>
      </c>
      <c r="O66" s="277">
        <v>45385.687835648147</v>
      </c>
      <c r="P66" s="286">
        <v>65</v>
      </c>
      <c r="Q66" s="263">
        <v>0</v>
      </c>
      <c r="R66" s="703">
        <v>0</v>
      </c>
      <c r="S66" s="720">
        <v>0</v>
      </c>
      <c r="T66" s="244">
        <v>0</v>
      </c>
      <c r="U66" s="500"/>
      <c r="V66" s="300"/>
      <c r="W66" s="516">
        <f t="shared" si="28"/>
        <v>0</v>
      </c>
      <c r="X66" s="716"/>
      <c r="Y66" s="668">
        <f>IF(D66&lt;&gt;0,($C67*(1-$V$1))-$D66,0)</f>
        <v>-0.10000000000000142</v>
      </c>
      <c r="Z66" s="669">
        <f>IFERROR(IF(C66&lt;&gt;"",$Y$1/(D64/100)*(C66/100),""),"")</f>
        <v>92.335115864527623</v>
      </c>
      <c r="AA66" s="670">
        <f>IFERROR($AA$1/(D66/100)*(C64/100),"")</f>
        <v>106333.97312859885</v>
      </c>
      <c r="AB66" s="38"/>
      <c r="AC66" s="374"/>
      <c r="AF66" s="47">
        <f t="shared" si="29"/>
        <v>0</v>
      </c>
      <c r="AN66" s="386"/>
    </row>
    <row r="67" spans="1:40" ht="12.75" customHeight="1">
      <c r="A67" s="583" t="s">
        <v>3</v>
      </c>
      <c r="B67" s="637">
        <v>20000</v>
      </c>
      <c r="C67" s="239">
        <v>52</v>
      </c>
      <c r="D67" s="385">
        <v>52.25</v>
      </c>
      <c r="E67" s="639">
        <v>46659</v>
      </c>
      <c r="F67" s="563">
        <v>51.83</v>
      </c>
      <c r="G67" s="309">
        <v>2.3199999999999998E-2</v>
      </c>
      <c r="H67" s="237">
        <v>50.74</v>
      </c>
      <c r="I67" s="228">
        <v>52.5</v>
      </c>
      <c r="J67" s="279">
        <v>50.4</v>
      </c>
      <c r="K67" s="232">
        <v>50.65</v>
      </c>
      <c r="L67" s="235">
        <v>3760394</v>
      </c>
      <c r="M67" s="232">
        <v>7292348</v>
      </c>
      <c r="N67" s="235">
        <v>1315</v>
      </c>
      <c r="O67" s="276">
        <v>45385.703425925924</v>
      </c>
      <c r="P67" s="285">
        <v>66</v>
      </c>
      <c r="Q67" s="262">
        <v>0</v>
      </c>
      <c r="R67" s="692">
        <v>0</v>
      </c>
      <c r="S67" s="719">
        <v>0</v>
      </c>
      <c r="T67" s="245">
        <v>0</v>
      </c>
      <c r="U67" s="499"/>
      <c r="V67" s="299"/>
      <c r="W67" s="517">
        <f>V66*(F66/100)</f>
        <v>0</v>
      </c>
      <c r="X67" s="711"/>
      <c r="Y67" s="508">
        <f>IFERROR(INT($AA$1/(F66/100)),"")</f>
        <v>191</v>
      </c>
      <c r="Z67" s="671">
        <f>IFERROR(IF(C67&lt;&gt;"",$Y$1/(D65/100)*(C67/100),""),"")</f>
        <v>92.658231749603146</v>
      </c>
      <c r="AA67" s="672">
        <f>IFERROR($AA$1/(D67/100)*(C65/100),"")</f>
        <v>106220.09569377991</v>
      </c>
      <c r="AB67" s="38"/>
      <c r="AC67" s="375"/>
      <c r="AD67" s="372"/>
      <c r="AE67" s="372"/>
      <c r="AF67" s="372">
        <f t="shared" si="29"/>
        <v>0</v>
      </c>
      <c r="AN67" s="386"/>
    </row>
    <row r="68" spans="1:40" ht="12.75" customHeight="1">
      <c r="A68" s="582" t="s">
        <v>14</v>
      </c>
      <c r="B68" s="636">
        <v>220659</v>
      </c>
      <c r="C68" s="303">
        <v>55.66</v>
      </c>
      <c r="D68" s="255">
        <v>55.79</v>
      </c>
      <c r="E68" s="636">
        <v>10000</v>
      </c>
      <c r="F68" s="571">
        <v>55.66</v>
      </c>
      <c r="G68" s="310">
        <v>2.8799999999999999E-2</v>
      </c>
      <c r="H68" s="240">
        <v>53</v>
      </c>
      <c r="I68" s="229">
        <v>55.99</v>
      </c>
      <c r="J68" s="284">
        <v>52.47</v>
      </c>
      <c r="K68" s="233">
        <v>54.1</v>
      </c>
      <c r="L68" s="247">
        <v>87338198</v>
      </c>
      <c r="M68" s="233">
        <v>160168721</v>
      </c>
      <c r="N68" s="247">
        <v>70499</v>
      </c>
      <c r="O68" s="277">
        <v>45385.687777777777</v>
      </c>
      <c r="P68" s="286">
        <v>67</v>
      </c>
      <c r="Q68" s="263">
        <v>0</v>
      </c>
      <c r="R68" s="703">
        <v>0</v>
      </c>
      <c r="S68" s="720">
        <v>0</v>
      </c>
      <c r="T68" s="244">
        <v>0</v>
      </c>
      <c r="U68" s="500"/>
      <c r="V68" s="368"/>
      <c r="W68" s="518">
        <f t="shared" si="28"/>
        <v>0</v>
      </c>
      <c r="X68" s="713"/>
      <c r="Y68" s="673">
        <f>IF(D68&lt;&gt;0,($C69*(1-$V$1))-$D68,0)</f>
        <v>0.21000000000000085</v>
      </c>
      <c r="Z68" s="674">
        <f>IFERROR(IF(C68&lt;&gt;"",$Y$1/(D64/100)*(C68/100),""),"")</f>
        <v>99.215686274509778</v>
      </c>
      <c r="AA68" s="675">
        <f>IFERROR($Z$1/(D68/100)*(C64/100),"")</f>
        <v>99300.949991037822</v>
      </c>
      <c r="AB68" s="38"/>
      <c r="AC68" s="376">
        <f>SUM(AC64:AC67)</f>
        <v>504</v>
      </c>
      <c r="AD68" s="377"/>
      <c r="AE68" s="377"/>
      <c r="AF68" s="377">
        <f>SUM(AF64:AF67)</f>
        <v>241.30390000000003</v>
      </c>
    </row>
    <row r="69" spans="1:40" ht="12.75" customHeight="1">
      <c r="A69" s="730" t="s">
        <v>4</v>
      </c>
      <c r="B69" s="638">
        <v>50894</v>
      </c>
      <c r="C69" s="354">
        <v>56</v>
      </c>
      <c r="D69" s="384">
        <v>56.1</v>
      </c>
      <c r="E69" s="510">
        <v>1246</v>
      </c>
      <c r="F69" s="570">
        <v>56</v>
      </c>
      <c r="G69" s="365">
        <v>3.5499999999999997E-2</v>
      </c>
      <c r="H69" s="356">
        <v>53.78</v>
      </c>
      <c r="I69" s="357">
        <v>56</v>
      </c>
      <c r="J69" s="358">
        <v>52.46</v>
      </c>
      <c r="K69" s="359">
        <v>54.08</v>
      </c>
      <c r="L69" s="351">
        <v>19483736</v>
      </c>
      <c r="M69" s="359">
        <v>35628472</v>
      </c>
      <c r="N69" s="351">
        <v>15202</v>
      </c>
      <c r="O69" s="352">
        <v>45385.708587962959</v>
      </c>
      <c r="P69" s="285">
        <v>68</v>
      </c>
      <c r="Q69" s="353">
        <v>0</v>
      </c>
      <c r="R69" s="700">
        <v>0</v>
      </c>
      <c r="S69" s="718">
        <v>0</v>
      </c>
      <c r="T69" s="361">
        <v>0</v>
      </c>
      <c r="U69" s="499"/>
      <c r="V69" s="399"/>
      <c r="W69" s="519">
        <f>V68*(C68/100)</f>
        <v>0</v>
      </c>
      <c r="X69" s="715"/>
      <c r="Y69" s="509">
        <f>IFERROR(INT($Z$1/(F68/100)),"")</f>
        <v>179</v>
      </c>
      <c r="Z69" s="676">
        <f>IFERROR(IF(C69&lt;&gt;"",$Y$1/(D65/100)*(C69/100),""),"")</f>
        <v>99.78578803803417</v>
      </c>
      <c r="AA69" s="677">
        <f>IFERROR($Z$1/(D69/100)*(C65/100),"")</f>
        <v>98930.481283422443</v>
      </c>
      <c r="AB69" s="38"/>
      <c r="AC69" s="768">
        <f>AF68/AC68</f>
        <v>0.47877757936507942</v>
      </c>
      <c r="AD69" s="768"/>
      <c r="AE69" s="768"/>
      <c r="AF69" s="768"/>
    </row>
    <row r="70" spans="1:40" ht="12.75" customHeight="1">
      <c r="A70" s="731" t="s">
        <v>16</v>
      </c>
      <c r="B70" s="636">
        <v>2960</v>
      </c>
      <c r="C70" s="303">
        <v>56660</v>
      </c>
      <c r="D70" s="255">
        <v>56700</v>
      </c>
      <c r="E70" s="636">
        <v>13</v>
      </c>
      <c r="F70" s="562">
        <v>56660</v>
      </c>
      <c r="G70" s="307">
        <v>2.8000000000000004E-3</v>
      </c>
      <c r="H70" s="238">
        <v>56010</v>
      </c>
      <c r="I70" s="230">
        <v>56720</v>
      </c>
      <c r="J70" s="281">
        <v>55500</v>
      </c>
      <c r="K70" s="234">
        <v>56500</v>
      </c>
      <c r="L70" s="251">
        <v>7148928039</v>
      </c>
      <c r="M70" s="234">
        <v>12745111</v>
      </c>
      <c r="N70" s="251">
        <v>4922</v>
      </c>
      <c r="O70" s="275">
        <v>45385.687708333331</v>
      </c>
      <c r="P70" s="286">
        <v>69</v>
      </c>
      <c r="Q70" s="264"/>
      <c r="R70" s="693">
        <v>0</v>
      </c>
      <c r="S70" s="717">
        <v>0</v>
      </c>
      <c r="T70" s="246">
        <v>0</v>
      </c>
      <c r="U70" s="500"/>
      <c r="V70" s="297">
        <v>0</v>
      </c>
      <c r="W70" s="515">
        <f t="shared" ref="W70:W82" si="30">(V70*X70)</f>
        <v>0</v>
      </c>
      <c r="X70" s="716"/>
      <c r="Y70" s="659">
        <f>IF(D70&lt;&gt;0,($C71*(1-$V$1))-$D70,0)</f>
        <v>350</v>
      </c>
      <c r="Z70" s="678"/>
      <c r="AA70" s="665"/>
      <c r="AB70" s="38"/>
      <c r="AC70" s="367">
        <v>506</v>
      </c>
      <c r="AE70" s="47">
        <v>0.48499999999999999</v>
      </c>
      <c r="AF70" s="47">
        <f>AC70*AE70</f>
        <v>245.41</v>
      </c>
    </row>
    <row r="71" spans="1:40" ht="12.75" customHeight="1">
      <c r="A71" s="583" t="s">
        <v>5</v>
      </c>
      <c r="B71" s="637">
        <v>50</v>
      </c>
      <c r="C71" s="239">
        <v>57050</v>
      </c>
      <c r="D71" s="385">
        <v>57080</v>
      </c>
      <c r="E71" s="639">
        <v>97234</v>
      </c>
      <c r="F71" s="563">
        <v>57080</v>
      </c>
      <c r="G71" s="309">
        <v>1.7000000000000001E-3</v>
      </c>
      <c r="H71" s="237">
        <v>56870</v>
      </c>
      <c r="I71" s="228">
        <v>57140</v>
      </c>
      <c r="J71" s="279">
        <v>55800</v>
      </c>
      <c r="K71" s="232">
        <v>56980</v>
      </c>
      <c r="L71" s="235">
        <v>28807441571</v>
      </c>
      <c r="M71" s="232">
        <v>51091854</v>
      </c>
      <c r="N71" s="235">
        <v>6262</v>
      </c>
      <c r="O71" s="276">
        <v>45385.708634259259</v>
      </c>
      <c r="P71" s="285">
        <v>70</v>
      </c>
      <c r="Q71" s="262">
        <v>0</v>
      </c>
      <c r="R71" s="692">
        <v>0</v>
      </c>
      <c r="S71" s="719">
        <v>0</v>
      </c>
      <c r="T71" s="245">
        <v>0</v>
      </c>
      <c r="U71" s="499"/>
      <c r="V71" s="370">
        <v>0</v>
      </c>
      <c r="W71" s="513">
        <f>V70*(F71/100)</f>
        <v>0</v>
      </c>
      <c r="X71" s="711"/>
      <c r="Y71" s="507">
        <f>IFERROR(INT($Y$1/(F70/100)),"")</f>
        <v>174</v>
      </c>
      <c r="Z71" s="666"/>
      <c r="AA71" s="667"/>
      <c r="AB71" s="38"/>
      <c r="AC71" s="367">
        <v>350</v>
      </c>
      <c r="AE71" s="47">
        <v>0.47600999999999999</v>
      </c>
      <c r="AF71" s="47">
        <f t="shared" ref="AF71:AF73" si="31">AC71*AE71</f>
        <v>166.6035</v>
      </c>
    </row>
    <row r="72" spans="1:40" ht="12.75" customHeight="1">
      <c r="A72" s="582" t="s">
        <v>17</v>
      </c>
      <c r="B72" s="636">
        <v>5000</v>
      </c>
      <c r="C72" s="303">
        <v>52.85</v>
      </c>
      <c r="D72" s="255">
        <v>54.9</v>
      </c>
      <c r="E72" s="636">
        <v>500000</v>
      </c>
      <c r="F72" s="571">
        <v>53.36</v>
      </c>
      <c r="G72" s="310">
        <v>9.7999999999999997E-3</v>
      </c>
      <c r="H72" s="240">
        <v>52.35</v>
      </c>
      <c r="I72" s="229">
        <v>53.45</v>
      </c>
      <c r="J72" s="284">
        <v>51.61</v>
      </c>
      <c r="K72" s="233">
        <v>52.84</v>
      </c>
      <c r="L72" s="247">
        <v>844788</v>
      </c>
      <c r="M72" s="233">
        <v>1611191</v>
      </c>
      <c r="N72" s="247">
        <v>746</v>
      </c>
      <c r="O72" s="277">
        <v>45385.681828703702</v>
      </c>
      <c r="P72" s="286">
        <v>71</v>
      </c>
      <c r="Q72" s="263">
        <v>0</v>
      </c>
      <c r="R72" s="703">
        <v>0</v>
      </c>
      <c r="S72" s="720">
        <v>0</v>
      </c>
      <c r="T72" s="244">
        <v>0</v>
      </c>
      <c r="U72" s="500"/>
      <c r="V72" s="300">
        <v>0</v>
      </c>
      <c r="W72" s="516">
        <f t="shared" ref="W72" si="32">(V72*X72)</f>
        <v>0</v>
      </c>
      <c r="X72" s="716"/>
      <c r="Y72" s="668">
        <f>IF(D72&lt;&gt;0,($C73*(1-$V$1))-$D72,0)</f>
        <v>-2.2999999999999972</v>
      </c>
      <c r="Z72" s="669">
        <f>IFERROR(IF(C72&lt;&gt;"",$Y$1/(D70/100)*(C72/100),""),"")</f>
        <v>92.212979467881411</v>
      </c>
      <c r="AA72" s="670">
        <f>IFERROR($AA$1/(D72/100)*(C70/100),"")</f>
        <v>103205.82877959929</v>
      </c>
      <c r="AB72" s="38"/>
      <c r="AC72" s="367"/>
      <c r="AF72" s="47">
        <f t="shared" si="31"/>
        <v>0</v>
      </c>
    </row>
    <row r="73" spans="1:40" ht="12.75" customHeight="1">
      <c r="A73" s="583" t="s">
        <v>6</v>
      </c>
      <c r="B73" s="637">
        <v>200000</v>
      </c>
      <c r="C73" s="239">
        <v>52.6</v>
      </c>
      <c r="D73" s="385">
        <v>54</v>
      </c>
      <c r="E73" s="639">
        <v>25000</v>
      </c>
      <c r="F73" s="563">
        <v>54</v>
      </c>
      <c r="G73" s="309">
        <v>2.6600000000000002E-2</v>
      </c>
      <c r="H73" s="237">
        <v>52.35</v>
      </c>
      <c r="I73" s="228">
        <v>54</v>
      </c>
      <c r="J73" s="279">
        <v>51.69</v>
      </c>
      <c r="K73" s="232">
        <v>52.6</v>
      </c>
      <c r="L73" s="235">
        <v>121733</v>
      </c>
      <c r="M73" s="232">
        <v>231459</v>
      </c>
      <c r="N73" s="235">
        <v>124</v>
      </c>
      <c r="O73" s="276">
        <v>45385.697199074071</v>
      </c>
      <c r="P73" s="285">
        <v>72</v>
      </c>
      <c r="Q73" s="262">
        <v>0</v>
      </c>
      <c r="R73" s="692">
        <v>0</v>
      </c>
      <c r="S73" s="719">
        <v>0</v>
      </c>
      <c r="T73" s="245">
        <v>0</v>
      </c>
      <c r="U73" s="499"/>
      <c r="V73" s="299">
        <v>0</v>
      </c>
      <c r="W73" s="517">
        <f>V72*(F72/100)</f>
        <v>0</v>
      </c>
      <c r="X73" s="711"/>
      <c r="Y73" s="508">
        <f>IFERROR(INT($AA$1/(F72/100)),"")</f>
        <v>187</v>
      </c>
      <c r="Z73" s="671">
        <f>IFERROR(IF(C73&lt;&gt;"",$Y$1/(D71/100)*(C73/100),""),"")</f>
        <v>91.165790390820277</v>
      </c>
      <c r="AA73" s="672">
        <f>IFERROR($AA$1/(D73/100)*(C71/100),"")</f>
        <v>105648.14814814813</v>
      </c>
      <c r="AB73" s="38"/>
      <c r="AC73" s="372"/>
      <c r="AD73" s="372"/>
      <c r="AE73" s="372"/>
      <c r="AF73" s="372">
        <f t="shared" si="31"/>
        <v>0</v>
      </c>
    </row>
    <row r="74" spans="1:40" ht="12.75" customHeight="1">
      <c r="A74" s="582" t="s">
        <v>18</v>
      </c>
      <c r="B74" s="636">
        <v>400</v>
      </c>
      <c r="C74" s="303">
        <v>56.63</v>
      </c>
      <c r="D74" s="255">
        <v>57</v>
      </c>
      <c r="E74" s="636">
        <v>43880</v>
      </c>
      <c r="F74" s="571">
        <v>56.64</v>
      </c>
      <c r="G74" s="310">
        <v>1.41E-2</v>
      </c>
      <c r="H74" s="240">
        <v>55.94</v>
      </c>
      <c r="I74" s="229">
        <v>57</v>
      </c>
      <c r="J74" s="284">
        <v>55.05</v>
      </c>
      <c r="K74" s="233">
        <v>55.85</v>
      </c>
      <c r="L74" s="247">
        <v>3974013</v>
      </c>
      <c r="M74" s="233">
        <v>7104294</v>
      </c>
      <c r="N74" s="247">
        <v>3175</v>
      </c>
      <c r="O74" s="277">
        <v>45385.687777777777</v>
      </c>
      <c r="P74" s="286">
        <v>73</v>
      </c>
      <c r="Q74" s="263">
        <v>0</v>
      </c>
      <c r="R74" s="703">
        <v>0</v>
      </c>
      <c r="S74" s="720">
        <v>0</v>
      </c>
      <c r="T74" s="244">
        <v>0</v>
      </c>
      <c r="U74" s="500"/>
      <c r="V74" s="368">
        <v>0</v>
      </c>
      <c r="W74" s="518">
        <f t="shared" si="30"/>
        <v>0</v>
      </c>
      <c r="X74" s="713"/>
      <c r="Y74" s="673">
        <f>IF(D74&lt;&gt;0,($C75*(1-$V$1))-$D74,0)</f>
        <v>0</v>
      </c>
      <c r="Z74" s="674">
        <f>IFERROR(IF(C74&lt;&gt;"",$Y$1/(D70/100)*(C74/100),""),"")</f>
        <v>98.80834488677624</v>
      </c>
      <c r="AA74" s="675">
        <f>IFERROR($Z$1/(D74/100)*(C70/100),"")</f>
        <v>99403.508771929832</v>
      </c>
      <c r="AB74" s="38"/>
      <c r="AC74" s="376">
        <f>SUM(AC70:AC73)</f>
        <v>856</v>
      </c>
      <c r="AD74" s="377"/>
      <c r="AE74" s="377" t="s">
        <v>588</v>
      </c>
      <c r="AF74" s="377">
        <f>SUM(AF70:AF73)</f>
        <v>412.01350000000002</v>
      </c>
    </row>
    <row r="75" spans="1:40" ht="12.75" customHeight="1">
      <c r="A75" s="730" t="s">
        <v>7</v>
      </c>
      <c r="B75" s="638">
        <v>35114</v>
      </c>
      <c r="C75" s="354">
        <v>57</v>
      </c>
      <c r="D75" s="384">
        <v>57.23</v>
      </c>
      <c r="E75" s="510">
        <v>100</v>
      </c>
      <c r="F75" s="570">
        <v>56.98</v>
      </c>
      <c r="G75" s="365">
        <v>1.7399999999999999E-2</v>
      </c>
      <c r="H75" s="356">
        <v>55.95</v>
      </c>
      <c r="I75" s="357">
        <v>57.49</v>
      </c>
      <c r="J75" s="358">
        <v>54.46</v>
      </c>
      <c r="K75" s="359">
        <v>56</v>
      </c>
      <c r="L75" s="362">
        <v>1681055</v>
      </c>
      <c r="M75" s="359">
        <v>3011240</v>
      </c>
      <c r="N75" s="351">
        <v>1291</v>
      </c>
      <c r="O75" s="352">
        <v>45385.705243055556</v>
      </c>
      <c r="P75" s="285">
        <v>74</v>
      </c>
      <c r="Q75" s="353">
        <v>0</v>
      </c>
      <c r="R75" s="700">
        <v>0</v>
      </c>
      <c r="S75" s="718">
        <v>0</v>
      </c>
      <c r="T75" s="361">
        <v>0</v>
      </c>
      <c r="U75" s="499"/>
      <c r="V75" s="369">
        <v>0</v>
      </c>
      <c r="W75" s="519">
        <f>V74*(F74/100)</f>
        <v>0</v>
      </c>
      <c r="X75" s="715"/>
      <c r="Y75" s="509">
        <f>IFERROR(INT($Z$1/(F74/100)),"")</f>
        <v>176</v>
      </c>
      <c r="Z75" s="676">
        <f>IFERROR(IF(C75&lt;&gt;"",$Y$1/(D71/100)*(C75/100),""),"")</f>
        <v>98.791826088911691</v>
      </c>
      <c r="AA75" s="677">
        <f>IFERROR($Z$1/(D75/100)*(C71/100),"")</f>
        <v>99685.4796435436</v>
      </c>
      <c r="AB75" s="38"/>
      <c r="AC75" s="768">
        <f>AF74/AC74</f>
        <v>0.48132418224299067</v>
      </c>
      <c r="AD75" s="768"/>
      <c r="AE75" s="768"/>
      <c r="AF75" s="768"/>
    </row>
    <row r="76" spans="1:40" ht="12.75" customHeight="1">
      <c r="A76" s="732" t="s">
        <v>582</v>
      </c>
      <c r="B76" s="248">
        <v>560563</v>
      </c>
      <c r="C76" s="303">
        <v>177.5</v>
      </c>
      <c r="D76" s="255">
        <v>178.35</v>
      </c>
      <c r="E76" s="248">
        <v>5000000</v>
      </c>
      <c r="F76" s="562">
        <v>177.5</v>
      </c>
      <c r="G76" s="307">
        <v>1.0200000000000001E-2</v>
      </c>
      <c r="H76" s="238">
        <v>179</v>
      </c>
      <c r="I76" s="230">
        <v>179</v>
      </c>
      <c r="J76" s="281">
        <v>176.465</v>
      </c>
      <c r="K76" s="234">
        <v>175.7</v>
      </c>
      <c r="L76" s="251">
        <v>7261200684</v>
      </c>
      <c r="M76" s="234">
        <v>4091691270</v>
      </c>
      <c r="N76" s="251">
        <v>3054</v>
      </c>
      <c r="O76" s="275">
        <v>45385.685381944444</v>
      </c>
      <c r="P76" s="286">
        <v>75</v>
      </c>
      <c r="Q76" s="264">
        <v>0</v>
      </c>
      <c r="R76" s="693">
        <v>0</v>
      </c>
      <c r="S76" s="717">
        <v>0</v>
      </c>
      <c r="T76" s="246">
        <v>0</v>
      </c>
      <c r="U76" s="500"/>
      <c r="V76" s="381"/>
      <c r="W76" s="408">
        <f>V76*X76</f>
        <v>0</v>
      </c>
      <c r="X76" s="716"/>
      <c r="Y76" s="659">
        <f>IF(D76&lt;&gt;0,($C77*(1-$V$1))-$D76,0)</f>
        <v>-3.9999999999992042E-2</v>
      </c>
      <c r="Z76" s="678"/>
      <c r="AA76" s="665"/>
      <c r="AB76" s="38"/>
    </row>
    <row r="77" spans="1:40" ht="12.75" customHeight="1">
      <c r="A77" s="583" t="s">
        <v>583</v>
      </c>
      <c r="B77" s="632">
        <v>1183388</v>
      </c>
      <c r="C77" s="239">
        <v>178.31</v>
      </c>
      <c r="D77" s="385">
        <v>178.45</v>
      </c>
      <c r="E77" s="640">
        <v>1304729</v>
      </c>
      <c r="F77" s="563">
        <v>178.45</v>
      </c>
      <c r="G77" s="309">
        <v>3.0000000000000001E-3</v>
      </c>
      <c r="H77" s="237">
        <v>180</v>
      </c>
      <c r="I77" s="228">
        <v>180</v>
      </c>
      <c r="J77" s="279">
        <v>177.001</v>
      </c>
      <c r="K77" s="232">
        <v>177.9</v>
      </c>
      <c r="L77" s="235">
        <v>2328046419</v>
      </c>
      <c r="M77" s="232">
        <v>1307615103</v>
      </c>
      <c r="N77" s="235">
        <v>2010</v>
      </c>
      <c r="O77" s="276">
        <v>45385.708645833336</v>
      </c>
      <c r="P77" s="285">
        <v>76</v>
      </c>
      <c r="Q77" s="262">
        <v>0</v>
      </c>
      <c r="R77" s="692">
        <v>0</v>
      </c>
      <c r="S77" s="719">
        <v>0</v>
      </c>
      <c r="T77" s="245">
        <v>0</v>
      </c>
      <c r="U77" s="499"/>
      <c r="V77" s="378">
        <v>0</v>
      </c>
      <c r="W77" s="403">
        <f>V76*(F76/100)</f>
        <v>0</v>
      </c>
      <c r="X77" s="711"/>
      <c r="Y77" s="507">
        <f>IFERROR(INT($Y$1/(F76/100)),"")</f>
        <v>55735</v>
      </c>
      <c r="Z77" s="666"/>
      <c r="AA77" s="667"/>
      <c r="AB77" s="38"/>
    </row>
    <row r="78" spans="1:40" ht="12.75" hidden="1" customHeight="1">
      <c r="A78" s="582" t="s">
        <v>584</v>
      </c>
      <c r="B78" s="248">
        <v>81698304</v>
      </c>
      <c r="C78" s="303">
        <v>0.16700000000000001</v>
      </c>
      <c r="D78" s="255">
        <v>0.16800000000000001</v>
      </c>
      <c r="E78" s="248">
        <v>466351222</v>
      </c>
      <c r="F78" s="571">
        <v>0.16800000000000001</v>
      </c>
      <c r="G78" s="310">
        <v>1.2E-2</v>
      </c>
      <c r="H78" s="240">
        <v>0.161</v>
      </c>
      <c r="I78" s="229">
        <v>0.17199999999999999</v>
      </c>
      <c r="J78" s="284">
        <v>0.161</v>
      </c>
      <c r="K78" s="233">
        <v>0.16600000000000001</v>
      </c>
      <c r="L78" s="247">
        <v>5105241</v>
      </c>
      <c r="M78" s="233">
        <v>3071044438</v>
      </c>
      <c r="N78" s="247">
        <v>994</v>
      </c>
      <c r="O78" s="277">
        <v>45385.684861111113</v>
      </c>
      <c r="P78" s="286">
        <v>77</v>
      </c>
      <c r="Q78" s="263">
        <v>0</v>
      </c>
      <c r="R78" s="703">
        <v>0</v>
      </c>
      <c r="S78" s="720">
        <v>0</v>
      </c>
      <c r="T78" s="244">
        <v>0</v>
      </c>
      <c r="U78" s="500"/>
      <c r="V78" s="382">
        <v>0</v>
      </c>
      <c r="W78" s="404">
        <f t="shared" ref="W78" si="33">(V78*X78)</f>
        <v>0</v>
      </c>
      <c r="X78" s="716"/>
      <c r="Y78" s="668">
        <f>IF(D78&lt;&gt;0,($C79*(1-$V$1))-$D78,0)</f>
        <v>-6.8000000000000005E-2</v>
      </c>
      <c r="Z78" s="669">
        <f>IFERROR(IF(C78&lt;&gt;"",$Y$1/(D76/100)*(C78/100),""),"")</f>
        <v>92.63465306605859</v>
      </c>
      <c r="AA78" s="670">
        <f>IFERROR($AA$1/(D78/100)*(C76/100),"")</f>
        <v>105654.76190476189</v>
      </c>
      <c r="AB78" s="38"/>
    </row>
    <row r="79" spans="1:40" ht="12.75" hidden="1" customHeight="1">
      <c r="A79" s="583" t="s">
        <v>585</v>
      </c>
      <c r="B79" s="632">
        <v>100</v>
      </c>
      <c r="C79" s="239">
        <v>0.1</v>
      </c>
      <c r="D79" s="385"/>
      <c r="E79" s="640"/>
      <c r="F79" s="563"/>
      <c r="G79" s="309"/>
      <c r="H79" s="237"/>
      <c r="I79" s="228"/>
      <c r="J79" s="279"/>
      <c r="K79" s="232">
        <v>0.16300000000000001</v>
      </c>
      <c r="L79" s="235"/>
      <c r="M79" s="232"/>
      <c r="N79" s="235"/>
      <c r="O79" s="276"/>
      <c r="P79" s="285">
        <v>78</v>
      </c>
      <c r="Q79" s="262">
        <v>0</v>
      </c>
      <c r="R79" s="692">
        <v>0</v>
      </c>
      <c r="S79" s="719">
        <v>0</v>
      </c>
      <c r="T79" s="245">
        <v>0</v>
      </c>
      <c r="U79" s="499"/>
      <c r="V79" s="379">
        <v>0</v>
      </c>
      <c r="W79" s="405">
        <f>V78*(F78/100)</f>
        <v>0</v>
      </c>
      <c r="X79" s="711"/>
      <c r="Y79" s="508">
        <f>IFERROR(INT($AA$1/(F78/100)),"")</f>
        <v>59523</v>
      </c>
      <c r="Z79" s="671">
        <f>IFERROR(IF(C79&lt;&gt;"",$Y$1/(D77/100)*(C79/100),""),"")</f>
        <v>55.438767880875567</v>
      </c>
      <c r="AA79" s="672" t="str">
        <f>IFERROR($AA$1/(D79/100)*(C77/100),"")</f>
        <v/>
      </c>
      <c r="AB79" s="38"/>
    </row>
    <row r="80" spans="1:40" ht="12.75" customHeight="1">
      <c r="A80" s="582" t="s">
        <v>586</v>
      </c>
      <c r="B80" s="248">
        <v>49820596</v>
      </c>
      <c r="C80" s="396">
        <v>0.17799999999999999</v>
      </c>
      <c r="D80" s="397">
        <v>0.18099999999999999</v>
      </c>
      <c r="E80" s="248">
        <v>17823013</v>
      </c>
      <c r="F80" s="571">
        <v>0.17799999999999999</v>
      </c>
      <c r="G80" s="310">
        <v>2.29E-2</v>
      </c>
      <c r="H80" s="240">
        <v>0.17299999999999999</v>
      </c>
      <c r="I80" s="229">
        <v>0.183</v>
      </c>
      <c r="J80" s="284">
        <v>0.17299999999999999</v>
      </c>
      <c r="K80" s="233">
        <v>0.17399999999999999</v>
      </c>
      <c r="L80" s="247">
        <v>5391488</v>
      </c>
      <c r="M80" s="233">
        <v>3061969609</v>
      </c>
      <c r="N80" s="247">
        <v>685</v>
      </c>
      <c r="O80" s="277">
        <v>45385.687592592592</v>
      </c>
      <c r="P80" s="286">
        <v>79</v>
      </c>
      <c r="Q80" s="263">
        <v>0</v>
      </c>
      <c r="R80" s="703">
        <v>0</v>
      </c>
      <c r="S80" s="720">
        <v>0</v>
      </c>
      <c r="T80" s="244">
        <v>0</v>
      </c>
      <c r="U80" s="500"/>
      <c r="V80" s="383">
        <v>0</v>
      </c>
      <c r="W80" s="406">
        <f t="shared" si="30"/>
        <v>0</v>
      </c>
      <c r="X80" s="713"/>
      <c r="Y80" s="673">
        <f>IF(D80&lt;&gt;0,($C81*(1-$V$1))-$D80,0)</f>
        <v>-7.0000000000000062E-3</v>
      </c>
      <c r="Z80" s="674">
        <f>IFERROR(IF(C80&lt;&gt;"",$Y$1/(D76/100)*(C80/100),""),"")</f>
        <v>98.736336800948663</v>
      </c>
      <c r="AA80" s="675">
        <f>IFERROR($Z$1/(D80/100)*(C76/100),"")</f>
        <v>98066.298342541428</v>
      </c>
      <c r="AB80" s="38"/>
      <c r="AC80"/>
    </row>
    <row r="81" spans="1:29" ht="12.75" customHeight="1">
      <c r="A81" s="730" t="s">
        <v>587</v>
      </c>
      <c r="B81" s="389">
        <v>580000</v>
      </c>
      <c r="C81" s="354">
        <v>0.17399999999999999</v>
      </c>
      <c r="D81" s="384">
        <v>0.17899999999999999</v>
      </c>
      <c r="E81" s="635">
        <v>2459418</v>
      </c>
      <c r="F81" s="570">
        <v>0.17899999999999999</v>
      </c>
      <c r="G81" s="365">
        <v>1.7000000000000001E-2</v>
      </c>
      <c r="H81" s="356">
        <v>0.17299999999999999</v>
      </c>
      <c r="I81" s="357">
        <v>0.17899999999999999</v>
      </c>
      <c r="J81" s="358">
        <v>0.17299999999999999</v>
      </c>
      <c r="K81" s="359">
        <v>0.17599999999999999</v>
      </c>
      <c r="L81" s="351">
        <v>8639</v>
      </c>
      <c r="M81" s="359">
        <v>4879160</v>
      </c>
      <c r="N81" s="351">
        <v>23</v>
      </c>
      <c r="O81" s="352">
        <v>45385.696828703702</v>
      </c>
      <c r="P81" s="285">
        <v>80</v>
      </c>
      <c r="Q81" s="353">
        <v>0</v>
      </c>
      <c r="R81" s="700">
        <v>0</v>
      </c>
      <c r="S81" s="718">
        <v>0</v>
      </c>
      <c r="T81" s="361">
        <v>0</v>
      </c>
      <c r="U81" s="499"/>
      <c r="V81" s="380">
        <v>0</v>
      </c>
      <c r="W81" s="407">
        <f>V80*(F80/100)</f>
        <v>0</v>
      </c>
      <c r="X81" s="715"/>
      <c r="Y81" s="509">
        <f>IFERROR(INT($Z$1/(F80/100)),"")</f>
        <v>56179</v>
      </c>
      <c r="Z81" s="676">
        <f>IFERROR(IF(C81&lt;&gt;"",$Y$1/(D77/100)*(C81/100),""),"")</f>
        <v>96.463456112723478</v>
      </c>
      <c r="AA81" s="677">
        <f>IFERROR($Z$1/(D81/100)*(C77/100),"")</f>
        <v>99614.525139664809</v>
      </c>
      <c r="AB81" s="38"/>
      <c r="AC81"/>
    </row>
    <row r="82" spans="1:29" ht="12.75" customHeight="1">
      <c r="A82" s="732" t="s">
        <v>618</v>
      </c>
      <c r="B82" s="248">
        <v>5800037</v>
      </c>
      <c r="C82" s="303">
        <v>103</v>
      </c>
      <c r="D82" s="255"/>
      <c r="E82" s="248"/>
      <c r="F82" s="562">
        <v>103.869</v>
      </c>
      <c r="G82" s="307">
        <v>1.8500000000000003E-2</v>
      </c>
      <c r="H82" s="238">
        <v>103.5</v>
      </c>
      <c r="I82" s="230">
        <v>109</v>
      </c>
      <c r="J82" s="281">
        <v>102.42100000000001</v>
      </c>
      <c r="K82" s="234">
        <v>101.979</v>
      </c>
      <c r="L82" s="251">
        <v>264842792</v>
      </c>
      <c r="M82" s="234">
        <v>255736900</v>
      </c>
      <c r="N82" s="251">
        <v>554</v>
      </c>
      <c r="O82" s="275">
        <v>45385.681886574072</v>
      </c>
      <c r="P82" s="286">
        <v>81</v>
      </c>
      <c r="Q82" s="264">
        <v>0</v>
      </c>
      <c r="R82" s="693">
        <v>0</v>
      </c>
      <c r="S82" s="717">
        <v>0</v>
      </c>
      <c r="T82" s="246">
        <v>0</v>
      </c>
      <c r="U82" s="500"/>
      <c r="V82" s="371"/>
      <c r="W82" s="408">
        <f t="shared" si="30"/>
        <v>0</v>
      </c>
      <c r="X82" s="716"/>
      <c r="Y82" s="659">
        <f>IF(D82&lt;&gt;0,($C83*(1-$V$1))-$D82,0)</f>
        <v>0</v>
      </c>
      <c r="Z82" s="678"/>
      <c r="AA82" s="665"/>
      <c r="AB82" s="38"/>
      <c r="AC82"/>
    </row>
    <row r="83" spans="1:29" ht="12.75" customHeight="1">
      <c r="A83" s="583" t="s">
        <v>619</v>
      </c>
      <c r="B83" s="632">
        <v>41836</v>
      </c>
      <c r="C83" s="239">
        <v>103.8</v>
      </c>
      <c r="D83" s="385">
        <v>103.845</v>
      </c>
      <c r="E83" s="640">
        <v>2528284</v>
      </c>
      <c r="F83" s="563">
        <v>103.8</v>
      </c>
      <c r="G83" s="309">
        <v>1.5600000000000001E-2</v>
      </c>
      <c r="H83" s="237">
        <v>102.2</v>
      </c>
      <c r="I83" s="228">
        <v>108</v>
      </c>
      <c r="J83" s="279">
        <v>102.2</v>
      </c>
      <c r="K83" s="232">
        <v>102.2</v>
      </c>
      <c r="L83" s="235">
        <v>6413682116</v>
      </c>
      <c r="M83" s="232">
        <v>6180315257</v>
      </c>
      <c r="N83" s="235">
        <v>2875</v>
      </c>
      <c r="O83" s="276">
        <v>45385.708587962959</v>
      </c>
      <c r="P83" s="285">
        <v>82</v>
      </c>
      <c r="Q83" s="262">
        <v>0</v>
      </c>
      <c r="R83" s="692">
        <v>0</v>
      </c>
      <c r="S83" s="719">
        <v>0</v>
      </c>
      <c r="T83" s="245">
        <v>0</v>
      </c>
      <c r="U83" s="499"/>
      <c r="V83" s="370"/>
      <c r="W83" s="403">
        <f>V82*(D83/100)</f>
        <v>0</v>
      </c>
      <c r="X83" s="711"/>
      <c r="Y83" s="507">
        <f>IFERROR(INT($Y$1/(F82/100)),"")</f>
        <v>95245</v>
      </c>
      <c r="Z83" s="666"/>
      <c r="AA83" s="667"/>
      <c r="AB83" s="38"/>
      <c r="AC83"/>
    </row>
    <row r="84" spans="1:29" ht="12.75" hidden="1" customHeight="1">
      <c r="A84" s="582" t="s">
        <v>620</v>
      </c>
      <c r="B84" s="248"/>
      <c r="C84" s="303"/>
      <c r="D84" s="255"/>
      <c r="E84" s="248"/>
      <c r="F84" s="571"/>
      <c r="G84" s="310"/>
      <c r="H84" s="240"/>
      <c r="I84" s="229"/>
      <c r="J84" s="284"/>
      <c r="K84" s="233"/>
      <c r="L84" s="247"/>
      <c r="M84" s="233"/>
      <c r="N84" s="247"/>
      <c r="O84" s="277"/>
      <c r="P84" s="286">
        <v>83</v>
      </c>
      <c r="Q84" s="263">
        <v>0</v>
      </c>
      <c r="R84" s="703">
        <v>0</v>
      </c>
      <c r="S84" s="720">
        <v>0</v>
      </c>
      <c r="T84" s="244">
        <v>0</v>
      </c>
      <c r="U84" s="500"/>
      <c r="V84" s="300"/>
      <c r="W84" s="404">
        <f t="shared" ref="W84" si="34">(V84*X84)</f>
        <v>0</v>
      </c>
      <c r="X84" s="716"/>
      <c r="Y84" s="668">
        <f>IF(D84&lt;&gt;0,($C85*(1-$V$1))-$D84,0)</f>
        <v>0</v>
      </c>
      <c r="Z84" s="669" t="str">
        <f>IFERROR(IF(C84&lt;&gt;"",$Y$1/(D82/100)*(C84/100),""),"")</f>
        <v/>
      </c>
      <c r="AA84" s="670" t="str">
        <f>IFERROR($AA$1/(D84/100)*(C82/100),"")</f>
        <v/>
      </c>
      <c r="AB84" s="38"/>
      <c r="AC84"/>
    </row>
    <row r="85" spans="1:29" ht="12.75" hidden="1" customHeight="1">
      <c r="A85" s="583" t="s">
        <v>621</v>
      </c>
      <c r="B85" s="632"/>
      <c r="C85" s="239"/>
      <c r="D85" s="385"/>
      <c r="E85" s="640"/>
      <c r="F85" s="563"/>
      <c r="G85" s="309"/>
      <c r="H85" s="237"/>
      <c r="I85" s="228"/>
      <c r="J85" s="279"/>
      <c r="K85" s="232"/>
      <c r="L85" s="235"/>
      <c r="M85" s="232"/>
      <c r="N85" s="235"/>
      <c r="O85" s="276"/>
      <c r="P85" s="285">
        <v>84</v>
      </c>
      <c r="Q85" s="262">
        <v>0</v>
      </c>
      <c r="R85" s="692">
        <v>0</v>
      </c>
      <c r="S85" s="719">
        <v>0</v>
      </c>
      <c r="T85" s="245">
        <v>0</v>
      </c>
      <c r="U85" s="499"/>
      <c r="V85" s="299">
        <v>0</v>
      </c>
      <c r="W85" s="405">
        <f>V84*(F84/100)</f>
        <v>0</v>
      </c>
      <c r="X85" s="711"/>
      <c r="Y85" s="508" t="str">
        <f>IFERROR(INT($AA$1/(F84/100)),"")</f>
        <v/>
      </c>
      <c r="Z85" s="671" t="str">
        <f>IFERROR(IF(C85&lt;&gt;"",$Y$1/(D83/100)*(C85/100),""),"")</f>
        <v/>
      </c>
      <c r="AA85" s="672" t="str">
        <f>IFERROR($AA$1/(D85/100)*(C83/100),"")</f>
        <v/>
      </c>
      <c r="AB85" s="38"/>
      <c r="AC85"/>
    </row>
    <row r="86" spans="1:29" ht="12.75" customHeight="1">
      <c r="A86" s="582" t="s">
        <v>622</v>
      </c>
      <c r="B86" s="248">
        <v>5800037</v>
      </c>
      <c r="C86" s="303">
        <v>0.10299999999999999</v>
      </c>
      <c r="D86" s="255"/>
      <c r="E86" s="248"/>
      <c r="F86" s="571">
        <v>0.10100000000000001</v>
      </c>
      <c r="G86" s="310"/>
      <c r="H86" s="240">
        <v>0.10100000000000001</v>
      </c>
      <c r="I86" s="229">
        <v>0.10100000000000001</v>
      </c>
      <c r="J86" s="284">
        <v>0.10100000000000001</v>
      </c>
      <c r="K86" s="233"/>
      <c r="L86" s="247">
        <v>14656</v>
      </c>
      <c r="M86" s="233">
        <v>14511324</v>
      </c>
      <c r="N86" s="247">
        <v>11</v>
      </c>
      <c r="O86" s="277">
        <v>45385.486921296295</v>
      </c>
      <c r="P86" s="286">
        <v>85</v>
      </c>
      <c r="Q86" s="263">
        <v>0</v>
      </c>
      <c r="R86" s="703">
        <v>0</v>
      </c>
      <c r="S86" s="720">
        <v>0</v>
      </c>
      <c r="T86" s="244">
        <v>0</v>
      </c>
      <c r="U86" s="500"/>
      <c r="V86" s="368">
        <v>0</v>
      </c>
      <c r="W86" s="406">
        <f t="shared" ref="W86" si="35">(V86*X86)</f>
        <v>0</v>
      </c>
      <c r="X86" s="713"/>
      <c r="Y86" s="673">
        <f>IF(D86&lt;&gt;0,($C87*(1-$V$1))-$D86,0)</f>
        <v>0</v>
      </c>
      <c r="Z86" s="674" t="str">
        <f>IFERROR(IF(C86&lt;&gt;"",$Y$1/(D82/100)*(C86/100),""),"")</f>
        <v/>
      </c>
      <c r="AA86" s="675" t="str">
        <f>IFERROR($Z$1/(D86/100)*(C82/100),"")</f>
        <v/>
      </c>
      <c r="AB86" s="38"/>
      <c r="AC86"/>
    </row>
    <row r="87" spans="1:29" ht="12.75" customHeight="1">
      <c r="A87" s="763" t="s">
        <v>623</v>
      </c>
      <c r="B87" s="389"/>
      <c r="C87" s="354"/>
      <c r="D87" s="384"/>
      <c r="E87" s="635"/>
      <c r="F87" s="570"/>
      <c r="G87" s="365"/>
      <c r="H87" s="356"/>
      <c r="I87" s="357"/>
      <c r="J87" s="358"/>
      <c r="K87" s="359"/>
      <c r="L87" s="351"/>
      <c r="M87" s="359"/>
      <c r="N87" s="351"/>
      <c r="O87" s="352"/>
      <c r="P87" s="285">
        <v>86</v>
      </c>
      <c r="Q87" s="353">
        <v>0</v>
      </c>
      <c r="R87" s="700">
        <v>0</v>
      </c>
      <c r="S87" s="718">
        <v>0</v>
      </c>
      <c r="T87" s="361">
        <v>0</v>
      </c>
      <c r="U87" s="499"/>
      <c r="V87" s="369">
        <v>0</v>
      </c>
      <c r="W87" s="409">
        <f>V86*(F86/100)</f>
        <v>0</v>
      </c>
      <c r="X87" s="715"/>
      <c r="Y87" s="509">
        <f>IFERROR(INT($Z$1/(F86/100)),"")</f>
        <v>99009</v>
      </c>
      <c r="Z87" s="676" t="str">
        <f>IFERROR(IF(C87&lt;&gt;"",$Y$1/(D83/100)*(C87/100),""),"")</f>
        <v/>
      </c>
      <c r="AA87" s="677" t="str">
        <f>IFERROR($Z$1/(D87/100)*(C83/100),"")</f>
        <v/>
      </c>
      <c r="AB87" s="38"/>
      <c r="AC87"/>
    </row>
    <row r="88" spans="1:29" ht="12.75" customHeight="1">
      <c r="A88" s="732" t="s">
        <v>568</v>
      </c>
      <c r="B88" s="248">
        <v>101</v>
      </c>
      <c r="C88" s="303">
        <v>85200</v>
      </c>
      <c r="D88" s="255">
        <v>86000</v>
      </c>
      <c r="E88" s="248">
        <v>500</v>
      </c>
      <c r="F88" s="562">
        <v>85780</v>
      </c>
      <c r="G88" s="307">
        <v>-2.7000000000000001E-3</v>
      </c>
      <c r="H88" s="238">
        <v>85000</v>
      </c>
      <c r="I88" s="230">
        <v>88000</v>
      </c>
      <c r="J88" s="281">
        <v>84870</v>
      </c>
      <c r="K88" s="234">
        <v>86020</v>
      </c>
      <c r="L88" s="251">
        <v>78840677</v>
      </c>
      <c r="M88" s="234">
        <v>92129</v>
      </c>
      <c r="N88" s="251">
        <v>320</v>
      </c>
      <c r="O88" s="275">
        <v>45385.687743055554</v>
      </c>
      <c r="P88" s="286">
        <v>87</v>
      </c>
      <c r="Q88" s="264">
        <v>0</v>
      </c>
      <c r="R88" s="693">
        <v>0</v>
      </c>
      <c r="S88" s="717">
        <v>0</v>
      </c>
      <c r="T88" s="246">
        <v>0</v>
      </c>
      <c r="U88" s="500"/>
      <c r="V88" s="371"/>
      <c r="W88" s="408">
        <f t="shared" ref="W88" si="36">(V88*X88)</f>
        <v>0</v>
      </c>
      <c r="X88" s="716"/>
      <c r="Y88" s="659">
        <f>IF(D88&lt;&gt;0,($C89*(1-$V$1))-$D88,0)</f>
        <v>-380</v>
      </c>
      <c r="Z88" s="678"/>
      <c r="AA88" s="665"/>
      <c r="AB88" s="38"/>
      <c r="AC88"/>
    </row>
    <row r="89" spans="1:29" ht="12.75" customHeight="1">
      <c r="A89" s="583" t="s">
        <v>569</v>
      </c>
      <c r="B89" s="632">
        <v>473</v>
      </c>
      <c r="C89" s="239">
        <v>85620</v>
      </c>
      <c r="D89" s="385">
        <v>85650</v>
      </c>
      <c r="E89" s="640">
        <v>290</v>
      </c>
      <c r="F89" s="563">
        <v>85650</v>
      </c>
      <c r="G89" s="309">
        <v>-1.7299999999999999E-2</v>
      </c>
      <c r="H89" s="237">
        <v>87250</v>
      </c>
      <c r="I89" s="228">
        <v>88300</v>
      </c>
      <c r="J89" s="279">
        <v>84000</v>
      </c>
      <c r="K89" s="232">
        <v>87160</v>
      </c>
      <c r="L89" s="235">
        <v>434408652</v>
      </c>
      <c r="M89" s="232">
        <v>505547</v>
      </c>
      <c r="N89" s="235">
        <v>1423</v>
      </c>
      <c r="O89" s="276">
        <v>45385.708344907405</v>
      </c>
      <c r="P89" s="285">
        <v>88</v>
      </c>
      <c r="Q89" s="262">
        <v>0</v>
      </c>
      <c r="R89" s="692">
        <v>0</v>
      </c>
      <c r="S89" s="719">
        <v>0</v>
      </c>
      <c r="T89" s="245">
        <v>0</v>
      </c>
      <c r="U89" s="499"/>
      <c r="V89" s="370">
        <v>0</v>
      </c>
      <c r="W89" s="403">
        <f>V88*(F88/100)</f>
        <v>0</v>
      </c>
      <c r="X89" s="711"/>
      <c r="Y89" s="507">
        <f>IFERROR(INT($Y$1/(F88/100)),"")</f>
        <v>115</v>
      </c>
      <c r="Z89" s="666"/>
      <c r="AA89" s="667"/>
      <c r="AB89" s="38"/>
      <c r="AC89"/>
    </row>
    <row r="90" spans="1:29" ht="12.75" hidden="1" customHeight="1">
      <c r="A90" s="582" t="s">
        <v>570</v>
      </c>
      <c r="B90" s="248"/>
      <c r="C90" s="303"/>
      <c r="D90" s="255">
        <v>105</v>
      </c>
      <c r="E90" s="248">
        <v>100</v>
      </c>
      <c r="F90" s="571"/>
      <c r="G90" s="310"/>
      <c r="H90" s="240"/>
      <c r="I90" s="229"/>
      <c r="J90" s="229"/>
      <c r="K90" s="260">
        <v>80.599999999999994</v>
      </c>
      <c r="L90" s="247"/>
      <c r="M90" s="233"/>
      <c r="N90" s="247"/>
      <c r="O90" s="277"/>
      <c r="P90" s="286">
        <v>89</v>
      </c>
      <c r="Q90" s="263">
        <v>0</v>
      </c>
      <c r="R90" s="703">
        <v>0</v>
      </c>
      <c r="S90" s="720">
        <v>0</v>
      </c>
      <c r="T90" s="244">
        <v>0</v>
      </c>
      <c r="U90" s="500"/>
      <c r="V90" s="300"/>
      <c r="W90" s="404">
        <f t="shared" ref="W90" si="37">(V90*X90)</f>
        <v>0</v>
      </c>
      <c r="X90" s="716"/>
      <c r="Y90" s="668">
        <f>IF(D90&lt;&gt;0,($C91*(1-$V$1))-$D90,0)</f>
        <v>-105</v>
      </c>
      <c r="Z90" s="669" t="str">
        <f>IFERROR(IF(C90&lt;&gt;"",$Y$1/(D88/100)*(C90/100),""),"")</f>
        <v/>
      </c>
      <c r="AA90" s="670">
        <f>IFERROR($AA$1/(D90/100)*(C88/100),"")</f>
        <v>81142.857142857145</v>
      </c>
      <c r="AB90" s="38"/>
      <c r="AC90"/>
    </row>
    <row r="91" spans="1:29" ht="12.75" hidden="1" customHeight="1">
      <c r="A91" s="583" t="s">
        <v>571</v>
      </c>
      <c r="B91" s="632"/>
      <c r="C91" s="239"/>
      <c r="D91" s="385"/>
      <c r="E91" s="640"/>
      <c r="F91" s="563"/>
      <c r="G91" s="309"/>
      <c r="H91" s="237"/>
      <c r="I91" s="228"/>
      <c r="J91" s="228"/>
      <c r="K91" s="257"/>
      <c r="L91" s="235"/>
      <c r="M91" s="232"/>
      <c r="N91" s="235"/>
      <c r="O91" s="276"/>
      <c r="P91" s="285">
        <v>90</v>
      </c>
      <c r="Q91" s="262">
        <v>0</v>
      </c>
      <c r="R91" s="692">
        <v>0</v>
      </c>
      <c r="S91" s="719">
        <v>0</v>
      </c>
      <c r="T91" s="245">
        <v>0</v>
      </c>
      <c r="U91" s="499"/>
      <c r="V91" s="299">
        <v>0</v>
      </c>
      <c r="W91" s="405">
        <f>V90*(F90/100)</f>
        <v>0</v>
      </c>
      <c r="X91" s="711"/>
      <c r="Y91" s="508" t="str">
        <f>IFERROR(INT($AA$1/(F90/100)),"")</f>
        <v/>
      </c>
      <c r="Z91" s="671" t="str">
        <f>IFERROR(IF(C91&lt;&gt;"",$Y$1/(D89/100)*(C91/100),""),"")</f>
        <v/>
      </c>
      <c r="AA91" s="672" t="str">
        <f>IFERROR($AA$1/(D91/100)*(C89/100),"")</f>
        <v/>
      </c>
      <c r="AB91" s="38"/>
      <c r="AC91"/>
    </row>
    <row r="92" spans="1:29" ht="12.75" customHeight="1">
      <c r="A92" s="582" t="s">
        <v>572</v>
      </c>
      <c r="B92" s="248">
        <v>1837</v>
      </c>
      <c r="C92" s="303">
        <v>86</v>
      </c>
      <c r="D92" s="255">
        <v>86.5</v>
      </c>
      <c r="E92" s="248">
        <v>1000</v>
      </c>
      <c r="F92" s="571">
        <v>86</v>
      </c>
      <c r="G92" s="310">
        <v>-2.8000000000000004E-3</v>
      </c>
      <c r="H92" s="240">
        <v>86</v>
      </c>
      <c r="I92" s="229">
        <v>86.94</v>
      </c>
      <c r="J92" s="229">
        <v>84.26</v>
      </c>
      <c r="K92" s="260">
        <v>86.25</v>
      </c>
      <c r="L92" s="247">
        <v>24181</v>
      </c>
      <c r="M92" s="233">
        <v>28168</v>
      </c>
      <c r="N92" s="247">
        <v>61</v>
      </c>
      <c r="O92" s="277">
        <v>45385.681006944447</v>
      </c>
      <c r="P92" s="286">
        <v>91</v>
      </c>
      <c r="Q92" s="263">
        <v>0</v>
      </c>
      <c r="R92" s="703">
        <v>0</v>
      </c>
      <c r="S92" s="720">
        <v>0</v>
      </c>
      <c r="T92" s="244">
        <v>0</v>
      </c>
      <c r="U92" s="500"/>
      <c r="V92" s="368">
        <v>0</v>
      </c>
      <c r="W92" s="406">
        <f t="shared" ref="W92" si="38">(V92*X92)</f>
        <v>0</v>
      </c>
      <c r="X92" s="713"/>
      <c r="Y92" s="673">
        <f>IF(D92&lt;&gt;0,($C93*(1-$V$1))-$D92,0)</f>
        <v>-0.5</v>
      </c>
      <c r="Z92" s="674">
        <f>IFERROR(IF(C92&lt;&gt;"",$Y$1/(D88/100)*(C92/100),""),"")</f>
        <v>98.930481283422452</v>
      </c>
      <c r="AA92" s="675">
        <f>IFERROR($Z$1/(D92/100)*(C88/100),"")</f>
        <v>98497.1098265896</v>
      </c>
      <c r="AB92" s="38"/>
      <c r="AC92"/>
    </row>
    <row r="93" spans="1:29" ht="12.75" customHeight="1">
      <c r="A93" s="730" t="s">
        <v>573</v>
      </c>
      <c r="B93" s="389">
        <v>425</v>
      </c>
      <c r="C93" s="354">
        <v>86</v>
      </c>
      <c r="D93" s="384">
        <v>86.3</v>
      </c>
      <c r="E93" s="635">
        <v>809</v>
      </c>
      <c r="F93" s="570">
        <v>86.3</v>
      </c>
      <c r="G93" s="365">
        <v>-2.3E-3</v>
      </c>
      <c r="H93" s="356">
        <v>86.5</v>
      </c>
      <c r="I93" s="357">
        <v>87.5</v>
      </c>
      <c r="J93" s="357">
        <v>85.01</v>
      </c>
      <c r="K93" s="366">
        <v>86.5</v>
      </c>
      <c r="L93" s="351">
        <v>196200</v>
      </c>
      <c r="M93" s="359">
        <v>228577</v>
      </c>
      <c r="N93" s="351">
        <v>422</v>
      </c>
      <c r="O93" s="352">
        <v>45385.708564814813</v>
      </c>
      <c r="P93" s="285">
        <v>92</v>
      </c>
      <c r="Q93" s="353">
        <v>0</v>
      </c>
      <c r="R93" s="700">
        <v>0</v>
      </c>
      <c r="S93" s="718">
        <v>0</v>
      </c>
      <c r="T93" s="361">
        <v>0</v>
      </c>
      <c r="U93" s="499"/>
      <c r="V93" s="369">
        <v>0</v>
      </c>
      <c r="W93" s="409">
        <f>V92*(F92/100)</f>
        <v>0</v>
      </c>
      <c r="X93" s="715"/>
      <c r="Y93" s="509">
        <f>IFERROR(INT($Z$1/(F92/100)),"")</f>
        <v>116</v>
      </c>
      <c r="Z93" s="676">
        <f>IFERROR(IF(C93&lt;&gt;"",$Y$1/(D89/100)*(C93/100),""),"")</f>
        <v>99.334750617330172</v>
      </c>
      <c r="AA93" s="677">
        <f>IFERROR($Z$1/(D93/100)*(C89/100),"")</f>
        <v>99212.050984936272</v>
      </c>
      <c r="AB93" s="38"/>
      <c r="AC93"/>
    </row>
    <row r="94" spans="1:29" ht="12.75" customHeight="1">
      <c r="A94" s="732" t="s">
        <v>535</v>
      </c>
      <c r="B94" s="248">
        <v>1140</v>
      </c>
      <c r="C94" s="303">
        <v>43320</v>
      </c>
      <c r="D94" s="255">
        <v>44800</v>
      </c>
      <c r="E94" s="248">
        <v>3589</v>
      </c>
      <c r="F94" s="562">
        <v>43720</v>
      </c>
      <c r="G94" s="307">
        <v>1.0700000000000001E-2</v>
      </c>
      <c r="H94" s="238">
        <v>44000</v>
      </c>
      <c r="I94" s="230">
        <v>45300</v>
      </c>
      <c r="J94" s="230">
        <v>43305</v>
      </c>
      <c r="K94" s="259">
        <v>43255</v>
      </c>
      <c r="L94" s="251">
        <v>29158481</v>
      </c>
      <c r="M94" s="234">
        <v>66107</v>
      </c>
      <c r="N94" s="251">
        <v>152</v>
      </c>
      <c r="O94" s="275">
        <v>45385.685162037036</v>
      </c>
      <c r="P94" s="286">
        <v>93</v>
      </c>
      <c r="Q94" s="264">
        <v>0</v>
      </c>
      <c r="R94" s="693">
        <v>0</v>
      </c>
      <c r="S94" s="717">
        <v>0</v>
      </c>
      <c r="T94" s="246">
        <v>0</v>
      </c>
      <c r="U94" s="500"/>
      <c r="V94" s="371">
        <v>0</v>
      </c>
      <c r="W94" s="408">
        <f t="shared" ref="W94" si="39">(V94*X94)</f>
        <v>0</v>
      </c>
      <c r="X94" s="716"/>
      <c r="Y94" s="659">
        <f>IF(D94&lt;&gt;0,($C95*(1-$V$1))-$D94,0)</f>
        <v>-1065</v>
      </c>
      <c r="Z94" s="678"/>
      <c r="AA94" s="665"/>
      <c r="AB94" s="38"/>
      <c r="AC94"/>
    </row>
    <row r="95" spans="1:29" ht="12.75" customHeight="1">
      <c r="A95" s="583" t="s">
        <v>536</v>
      </c>
      <c r="B95" s="632">
        <v>100</v>
      </c>
      <c r="C95" s="239">
        <v>43735</v>
      </c>
      <c r="D95" s="385">
        <v>43765</v>
      </c>
      <c r="E95" s="640">
        <v>980</v>
      </c>
      <c r="F95" s="563">
        <v>43765</v>
      </c>
      <c r="G95" s="309">
        <v>-9.7999999999999997E-3</v>
      </c>
      <c r="H95" s="237">
        <v>44930</v>
      </c>
      <c r="I95" s="228">
        <v>45200</v>
      </c>
      <c r="J95" s="228">
        <v>43385</v>
      </c>
      <c r="K95" s="257">
        <v>44200</v>
      </c>
      <c r="L95" s="235">
        <v>589430909</v>
      </c>
      <c r="M95" s="232">
        <v>1342181</v>
      </c>
      <c r="N95" s="235">
        <v>601</v>
      </c>
      <c r="O95" s="276">
        <v>45385.708611111113</v>
      </c>
      <c r="P95" s="285">
        <v>94</v>
      </c>
      <c r="Q95" s="262">
        <v>0</v>
      </c>
      <c r="R95" s="692">
        <v>0</v>
      </c>
      <c r="S95" s="719">
        <v>0</v>
      </c>
      <c r="T95" s="245">
        <v>0</v>
      </c>
      <c r="U95" s="499"/>
      <c r="V95" s="370">
        <v>0</v>
      </c>
      <c r="W95" s="403">
        <f>V94*(F94/100)</f>
        <v>0</v>
      </c>
      <c r="X95" s="711"/>
      <c r="Y95" s="507">
        <f>IFERROR(INT($Y$1/(F94/100)),"")</f>
        <v>226</v>
      </c>
      <c r="Z95" s="666"/>
      <c r="AA95" s="667"/>
      <c r="AB95" s="38"/>
      <c r="AC95"/>
    </row>
    <row r="96" spans="1:29" ht="12.75" hidden="1" customHeight="1">
      <c r="A96" s="582" t="s">
        <v>537</v>
      </c>
      <c r="B96" s="248"/>
      <c r="C96" s="303"/>
      <c r="D96" s="255"/>
      <c r="E96" s="248"/>
      <c r="F96" s="571"/>
      <c r="G96" s="310"/>
      <c r="H96" s="240"/>
      <c r="I96" s="229"/>
      <c r="J96" s="229"/>
      <c r="K96" s="260">
        <v>38.42</v>
      </c>
      <c r="L96" s="247"/>
      <c r="M96" s="233"/>
      <c r="N96" s="247"/>
      <c r="O96" s="277"/>
      <c r="P96" s="286">
        <v>95</v>
      </c>
      <c r="Q96" s="263">
        <v>0</v>
      </c>
      <c r="R96" s="703">
        <v>0</v>
      </c>
      <c r="S96" s="720">
        <v>0</v>
      </c>
      <c r="T96" s="244">
        <v>0</v>
      </c>
      <c r="U96" s="500"/>
      <c r="V96" s="300"/>
      <c r="W96" s="404">
        <f t="shared" ref="W96" si="40">(V96*X96)</f>
        <v>0</v>
      </c>
      <c r="X96" s="716"/>
      <c r="Y96" s="668">
        <f>IF(D96&lt;&gt;0,($C97*(1-$V$1))-$D96,0)</f>
        <v>0</v>
      </c>
      <c r="Z96" s="669" t="str">
        <f>IFERROR(IF(C96&lt;&gt;"",$Y$1/(D94/100)*(C96/100),""),"")</f>
        <v/>
      </c>
      <c r="AA96" s="670" t="str">
        <f>IFERROR($AA$1/(D96/100)*(C94/100),"")</f>
        <v/>
      </c>
      <c r="AB96" s="38"/>
      <c r="AC96"/>
    </row>
    <row r="97" spans="1:29" ht="12.75" hidden="1" customHeight="1">
      <c r="A97" s="583" t="s">
        <v>538</v>
      </c>
      <c r="B97" s="632"/>
      <c r="C97" s="239"/>
      <c r="D97" s="385"/>
      <c r="E97" s="640"/>
      <c r="F97" s="563"/>
      <c r="G97" s="309"/>
      <c r="H97" s="237"/>
      <c r="I97" s="228"/>
      <c r="J97" s="228"/>
      <c r="K97" s="257">
        <v>38.011000000000003</v>
      </c>
      <c r="L97" s="235"/>
      <c r="M97" s="232"/>
      <c r="N97" s="235"/>
      <c r="O97" s="276"/>
      <c r="P97" s="285">
        <v>96</v>
      </c>
      <c r="Q97" s="262">
        <v>0</v>
      </c>
      <c r="R97" s="692">
        <v>0</v>
      </c>
      <c r="S97" s="719">
        <v>0</v>
      </c>
      <c r="T97" s="245">
        <v>0</v>
      </c>
      <c r="U97" s="499"/>
      <c r="V97" s="299">
        <v>0</v>
      </c>
      <c r="W97" s="405">
        <f>V96*(F96/100)</f>
        <v>0</v>
      </c>
      <c r="X97" s="711"/>
      <c r="Y97" s="508" t="str">
        <f>IFERROR(INT($AA$1/(F96/100)),"")</f>
        <v/>
      </c>
      <c r="Z97" s="671" t="str">
        <f>IFERROR(IF(C97&lt;&gt;"",$Y$1/(D95/100)*(C97/100),""),"")</f>
        <v/>
      </c>
      <c r="AA97" s="672" t="str">
        <f>IFERROR($AA$1/(D97/100)*(C95/100),"")</f>
        <v/>
      </c>
      <c r="AB97" s="38"/>
    </row>
    <row r="98" spans="1:29" ht="12.75" customHeight="1">
      <c r="A98" s="582" t="s">
        <v>539</v>
      </c>
      <c r="B98" s="248">
        <v>100</v>
      </c>
      <c r="C98" s="303">
        <v>43.203000000000003</v>
      </c>
      <c r="D98" s="255">
        <v>44</v>
      </c>
      <c r="E98" s="248">
        <v>98</v>
      </c>
      <c r="F98" s="571">
        <v>44</v>
      </c>
      <c r="G98" s="310">
        <v>1.61E-2</v>
      </c>
      <c r="H98" s="240">
        <v>43</v>
      </c>
      <c r="I98" s="229">
        <v>44.439</v>
      </c>
      <c r="J98" s="229">
        <v>43</v>
      </c>
      <c r="K98" s="260">
        <v>43.298999999999999</v>
      </c>
      <c r="L98" s="247">
        <v>5486</v>
      </c>
      <c r="M98" s="233">
        <v>12599</v>
      </c>
      <c r="N98" s="247">
        <v>14</v>
      </c>
      <c r="O98" s="277">
        <v>45385.680567129632</v>
      </c>
      <c r="P98" s="286">
        <v>97</v>
      </c>
      <c r="Q98" s="263">
        <v>0</v>
      </c>
      <c r="R98" s="703">
        <v>0</v>
      </c>
      <c r="S98" s="720">
        <v>0</v>
      </c>
      <c r="T98" s="244">
        <v>0</v>
      </c>
      <c r="U98" s="500"/>
      <c r="V98" s="368">
        <v>0</v>
      </c>
      <c r="W98" s="406">
        <f t="shared" ref="W98" si="41">(V98*X98)</f>
        <v>0</v>
      </c>
      <c r="X98" s="713"/>
      <c r="Y98" s="673">
        <f>IF(D98&lt;&gt;0,($C99*(1-$V$1))-$D98,0)</f>
        <v>-0.28000000000000114</v>
      </c>
      <c r="Z98" s="674">
        <f>IFERROR(IF(C98&lt;&gt;"",$Y$1/(D94/100)*(C98/100),""),"")</f>
        <v>95.403874618029022</v>
      </c>
      <c r="AA98" s="675">
        <f>IFERROR($Z$1/(D98/100)*(C94/100),"")</f>
        <v>98454.545454545456</v>
      </c>
      <c r="AB98" s="38"/>
      <c r="AC98" s="11"/>
    </row>
    <row r="99" spans="1:29" ht="12.75" customHeight="1">
      <c r="A99" s="730" t="s">
        <v>540</v>
      </c>
      <c r="B99" s="389">
        <v>4934</v>
      </c>
      <c r="C99" s="354">
        <v>43.72</v>
      </c>
      <c r="D99" s="384">
        <v>44.05</v>
      </c>
      <c r="E99" s="635">
        <v>3000</v>
      </c>
      <c r="F99" s="570">
        <v>43.72</v>
      </c>
      <c r="G99" s="365">
        <v>7.3000000000000001E-3</v>
      </c>
      <c r="H99" s="356">
        <v>44.49</v>
      </c>
      <c r="I99" s="357">
        <v>44.49</v>
      </c>
      <c r="J99" s="357">
        <v>43</v>
      </c>
      <c r="K99" s="366">
        <v>43.4</v>
      </c>
      <c r="L99" s="351">
        <v>20795</v>
      </c>
      <c r="M99" s="359">
        <v>47293</v>
      </c>
      <c r="N99" s="351">
        <v>46</v>
      </c>
      <c r="O99" s="352">
        <v>45385.700162037036</v>
      </c>
      <c r="P99" s="285">
        <v>98</v>
      </c>
      <c r="Q99" s="353">
        <v>0</v>
      </c>
      <c r="R99" s="700">
        <v>0</v>
      </c>
      <c r="S99" s="718">
        <v>0</v>
      </c>
      <c r="T99" s="361">
        <v>0</v>
      </c>
      <c r="U99" s="499"/>
      <c r="V99" s="369">
        <v>0</v>
      </c>
      <c r="W99" s="409">
        <f>V98*(F98/100)</f>
        <v>0</v>
      </c>
      <c r="X99" s="715"/>
      <c r="Y99" s="509">
        <f>IFERROR(INT($Z$1/(F98/100)),"")</f>
        <v>227</v>
      </c>
      <c r="Z99" s="676">
        <f>IFERROR(IF(C99&lt;&gt;"",$Y$1/(D95/100)*(C99/100),""),"")</f>
        <v>98.828759093139027</v>
      </c>
      <c r="AA99" s="677">
        <f>IFERROR($Z$1/(D99/100)*(C95/100),"")</f>
        <v>99284.903518728737</v>
      </c>
      <c r="AB99" s="38"/>
      <c r="AC99" s="11"/>
    </row>
    <row r="100" spans="1:29" ht="12.75" customHeight="1">
      <c r="A100" s="732" t="s">
        <v>576</v>
      </c>
      <c r="B100" s="248">
        <v>300</v>
      </c>
      <c r="C100" s="303">
        <v>25000</v>
      </c>
      <c r="D100" s="255"/>
      <c r="E100" s="248"/>
      <c r="F100" s="562">
        <v>25890</v>
      </c>
      <c r="G100" s="307">
        <v>1.9199999999999998E-2</v>
      </c>
      <c r="H100" s="238">
        <v>25145</v>
      </c>
      <c r="I100" s="230">
        <v>25890</v>
      </c>
      <c r="J100" s="230">
        <v>25100</v>
      </c>
      <c r="K100" s="259">
        <v>25400</v>
      </c>
      <c r="L100" s="251">
        <v>126380</v>
      </c>
      <c r="M100" s="234">
        <v>500</v>
      </c>
      <c r="N100" s="251">
        <v>4</v>
      </c>
      <c r="O100" s="275">
        <v>45385.653449074074</v>
      </c>
      <c r="P100" s="286">
        <v>99</v>
      </c>
      <c r="Q100" s="264">
        <v>0</v>
      </c>
      <c r="R100" s="693">
        <v>0</v>
      </c>
      <c r="S100" s="717">
        <v>0</v>
      </c>
      <c r="T100" s="246">
        <v>0</v>
      </c>
      <c r="U100" s="500"/>
      <c r="V100" s="371">
        <v>0</v>
      </c>
      <c r="W100" s="408">
        <f t="shared" ref="W100" si="42">(V100*X100)</f>
        <v>0</v>
      </c>
      <c r="X100" s="716"/>
      <c r="Y100" s="659">
        <f>IF(D100&lt;&gt;0,($C101*(1-$V$1))-$D100,0)</f>
        <v>0</v>
      </c>
      <c r="Z100" s="678"/>
      <c r="AA100" s="665"/>
      <c r="AB100" s="38"/>
      <c r="AC100" s="11"/>
    </row>
    <row r="101" spans="1:29" ht="12.75" customHeight="1">
      <c r="A101" s="583" t="s">
        <v>577</v>
      </c>
      <c r="B101" s="632">
        <v>2200</v>
      </c>
      <c r="C101" s="239">
        <v>25120</v>
      </c>
      <c r="D101" s="385">
        <v>25150</v>
      </c>
      <c r="E101" s="640">
        <v>21400</v>
      </c>
      <c r="F101" s="563">
        <v>25120</v>
      </c>
      <c r="G101" s="309">
        <v>-1.1000000000000001E-2</v>
      </c>
      <c r="H101" s="237">
        <v>25800</v>
      </c>
      <c r="I101" s="228">
        <v>25800</v>
      </c>
      <c r="J101" s="228">
        <v>24920</v>
      </c>
      <c r="K101" s="257">
        <v>25400</v>
      </c>
      <c r="L101" s="235">
        <v>12319215</v>
      </c>
      <c r="M101" s="232">
        <v>49000</v>
      </c>
      <c r="N101" s="235">
        <v>142</v>
      </c>
      <c r="O101" s="276">
        <v>45385.705231481479</v>
      </c>
      <c r="P101" s="285">
        <v>100</v>
      </c>
      <c r="Q101" s="262">
        <v>0</v>
      </c>
      <c r="R101" s="692">
        <v>0</v>
      </c>
      <c r="S101" s="719">
        <v>0</v>
      </c>
      <c r="T101" s="245">
        <v>0</v>
      </c>
      <c r="U101" s="499"/>
      <c r="V101" s="370">
        <v>0</v>
      </c>
      <c r="W101" s="403">
        <f>V100*(F100/100)</f>
        <v>0</v>
      </c>
      <c r="X101" s="711"/>
      <c r="Y101" s="507">
        <f>IFERROR(INT($Y$1/(F100/100)),"")</f>
        <v>382</v>
      </c>
      <c r="Z101" s="666"/>
      <c r="AA101" s="667"/>
      <c r="AB101" s="38"/>
      <c r="AC101" s="11"/>
    </row>
    <row r="102" spans="1:29" ht="12.75" hidden="1" customHeight="1">
      <c r="A102" s="582" t="s">
        <v>578</v>
      </c>
      <c r="B102" s="248"/>
      <c r="C102" s="303"/>
      <c r="D102" s="255"/>
      <c r="E102" s="248"/>
      <c r="F102" s="571"/>
      <c r="G102" s="310"/>
      <c r="H102" s="240"/>
      <c r="I102" s="229"/>
      <c r="J102" s="229"/>
      <c r="K102" s="260">
        <v>30.7</v>
      </c>
      <c r="L102" s="247"/>
      <c r="M102" s="233"/>
      <c r="N102" s="247"/>
      <c r="O102" s="277"/>
      <c r="P102" s="286">
        <v>101</v>
      </c>
      <c r="Q102" s="263">
        <v>0</v>
      </c>
      <c r="R102" s="703">
        <v>0</v>
      </c>
      <c r="S102" s="720">
        <v>0</v>
      </c>
      <c r="T102" s="244">
        <v>0</v>
      </c>
      <c r="U102" s="500"/>
      <c r="V102" s="300"/>
      <c r="W102" s="404">
        <f t="shared" ref="W102" si="43">(V102*X102)</f>
        <v>0</v>
      </c>
      <c r="X102" s="716"/>
      <c r="Y102" s="668">
        <f>IF(D102&lt;&gt;0,($C103*(1-$V$1))-$D102,0)</f>
        <v>0</v>
      </c>
      <c r="Z102" s="669" t="str">
        <f>IFERROR(IF(C102&lt;&gt;"",$Y$1/(D100/100)*(C102/100),""),"")</f>
        <v/>
      </c>
      <c r="AA102" s="670" t="str">
        <f>IFERROR($AA$1/(D102/100)*(C100/100),"")</f>
        <v/>
      </c>
      <c r="AB102" s="38"/>
      <c r="AC102" s="11"/>
    </row>
    <row r="103" spans="1:29" ht="12.75" hidden="1" customHeight="1">
      <c r="A103" s="583" t="s">
        <v>579</v>
      </c>
      <c r="B103" s="632"/>
      <c r="C103" s="239"/>
      <c r="D103" s="385"/>
      <c r="E103" s="640"/>
      <c r="F103" s="563"/>
      <c r="G103" s="309"/>
      <c r="H103" s="237"/>
      <c r="I103" s="228"/>
      <c r="J103" s="228"/>
      <c r="K103" s="257">
        <v>31</v>
      </c>
      <c r="L103" s="235"/>
      <c r="M103" s="232"/>
      <c r="N103" s="235"/>
      <c r="O103" s="276"/>
      <c r="P103" s="285">
        <v>102</v>
      </c>
      <c r="Q103" s="262">
        <v>0</v>
      </c>
      <c r="R103" s="692">
        <v>0</v>
      </c>
      <c r="S103" s="719">
        <v>0</v>
      </c>
      <c r="T103" s="245">
        <v>0</v>
      </c>
      <c r="U103" s="499"/>
      <c r="V103" s="299">
        <v>0</v>
      </c>
      <c r="W103" s="405">
        <f>V102*(F102/100)</f>
        <v>0</v>
      </c>
      <c r="X103" s="711"/>
      <c r="Y103" s="508" t="str">
        <f>IFERROR(INT($AA$1/(F102/100)),"")</f>
        <v/>
      </c>
      <c r="Z103" s="671" t="str">
        <f>IFERROR(IF(C103&lt;&gt;"",$Y$1/(D101/100)*(C103/100),""),"")</f>
        <v/>
      </c>
      <c r="AA103" s="672" t="str">
        <f>IFERROR($AA$1/(D103/100)*(C101/100),"")</f>
        <v/>
      </c>
      <c r="AB103" s="38"/>
      <c r="AC103" s="11"/>
    </row>
    <row r="104" spans="1:29" ht="12.75" customHeight="1">
      <c r="A104" s="582" t="s">
        <v>580</v>
      </c>
      <c r="B104" s="248">
        <v>200</v>
      </c>
      <c r="C104" s="303">
        <v>24.71</v>
      </c>
      <c r="D104" s="255">
        <v>25.5</v>
      </c>
      <c r="E104" s="248">
        <v>100</v>
      </c>
      <c r="F104" s="571">
        <v>24.7</v>
      </c>
      <c r="G104" s="310">
        <v>-3.5099999999999999E-2</v>
      </c>
      <c r="H104" s="240">
        <v>24.7</v>
      </c>
      <c r="I104" s="229">
        <v>24.7</v>
      </c>
      <c r="J104" s="229">
        <v>24.7</v>
      </c>
      <c r="K104" s="260">
        <v>25.6</v>
      </c>
      <c r="L104" s="247">
        <v>74</v>
      </c>
      <c r="M104" s="233">
        <v>300</v>
      </c>
      <c r="N104" s="247">
        <v>1</v>
      </c>
      <c r="O104" s="277">
        <v>45385.660405092596</v>
      </c>
      <c r="P104" s="286">
        <v>103</v>
      </c>
      <c r="Q104" s="263">
        <v>0</v>
      </c>
      <c r="R104" s="703">
        <v>0</v>
      </c>
      <c r="S104" s="720">
        <v>0</v>
      </c>
      <c r="T104" s="244">
        <v>0</v>
      </c>
      <c r="U104" s="500"/>
      <c r="V104" s="368">
        <v>0</v>
      </c>
      <c r="W104" s="406">
        <f t="shared" ref="W104" si="44">(V104*X104)</f>
        <v>0</v>
      </c>
      <c r="X104" s="713"/>
      <c r="Y104" s="673">
        <f>IF(D104&lt;&gt;0,($C105*(1-$V$1))-$D104,0)</f>
        <v>-0.5</v>
      </c>
      <c r="Z104" s="674" t="str">
        <f>IFERROR(IF(C104&lt;&gt;"",$Y$1/(D100/100)*(C104/100),""),"")</f>
        <v/>
      </c>
      <c r="AA104" s="675">
        <f>IFERROR($Z$1/(D104/100)*(C100/100),"")</f>
        <v>98039.215686274503</v>
      </c>
      <c r="AB104" s="38"/>
      <c r="AC104" s="11"/>
    </row>
    <row r="105" spans="1:29" ht="12.75" customHeight="1">
      <c r="A105" s="730" t="s">
        <v>581</v>
      </c>
      <c r="B105" s="389">
        <v>1600</v>
      </c>
      <c r="C105" s="354">
        <v>25</v>
      </c>
      <c r="D105" s="384">
        <v>25.79</v>
      </c>
      <c r="E105" s="635">
        <v>9100</v>
      </c>
      <c r="F105" s="570">
        <v>26</v>
      </c>
      <c r="G105" s="365">
        <v>1.72E-2</v>
      </c>
      <c r="H105" s="356">
        <v>25</v>
      </c>
      <c r="I105" s="357">
        <v>26</v>
      </c>
      <c r="J105" s="357">
        <v>24.55</v>
      </c>
      <c r="K105" s="366">
        <v>25.56</v>
      </c>
      <c r="L105" s="351">
        <v>1627</v>
      </c>
      <c r="M105" s="359">
        <v>6500</v>
      </c>
      <c r="N105" s="351">
        <v>16</v>
      </c>
      <c r="O105" s="352">
        <v>45385.647997685184</v>
      </c>
      <c r="P105" s="285">
        <v>104</v>
      </c>
      <c r="Q105" s="353">
        <v>0</v>
      </c>
      <c r="R105" s="700">
        <v>0</v>
      </c>
      <c r="S105" s="718">
        <v>0</v>
      </c>
      <c r="T105" s="361">
        <v>0</v>
      </c>
      <c r="U105" s="499"/>
      <c r="V105" s="369">
        <v>0</v>
      </c>
      <c r="W105" s="409">
        <f>V104*(F104/100)</f>
        <v>0</v>
      </c>
      <c r="X105" s="715"/>
      <c r="Y105" s="509">
        <f>IFERROR(INT($Z$1/(F104/100)),"")</f>
        <v>404</v>
      </c>
      <c r="Z105" s="676">
        <f>IFERROR(IF(C105&lt;&gt;"",$Y$1/(D101/100)*(C105/100),""),"")</f>
        <v>98.340438651513367</v>
      </c>
      <c r="AA105" s="677">
        <f>IFERROR($Z$1/(D105/100)*(C101/100),"")</f>
        <v>97402.09383481968</v>
      </c>
      <c r="AB105" s="38"/>
    </row>
    <row r="106" spans="1:29" ht="12.75" customHeight="1">
      <c r="A106" s="732" t="s">
        <v>611</v>
      </c>
      <c r="B106" s="248">
        <v>118</v>
      </c>
      <c r="C106" s="303">
        <v>90300</v>
      </c>
      <c r="D106" s="255">
        <v>94200</v>
      </c>
      <c r="E106" s="248">
        <v>292</v>
      </c>
      <c r="F106" s="562">
        <v>90310</v>
      </c>
      <c r="G106" s="307">
        <v>-2.1499999999999998E-2</v>
      </c>
      <c r="H106" s="238">
        <v>94100</v>
      </c>
      <c r="I106" s="230">
        <v>97000</v>
      </c>
      <c r="J106" s="230">
        <v>90300</v>
      </c>
      <c r="K106" s="259">
        <v>92300</v>
      </c>
      <c r="L106" s="251">
        <v>25307274</v>
      </c>
      <c r="M106" s="234">
        <v>27265</v>
      </c>
      <c r="N106" s="251">
        <v>65</v>
      </c>
      <c r="O106" s="275">
        <v>45385.679583333331</v>
      </c>
      <c r="P106" s="286">
        <v>105</v>
      </c>
      <c r="Q106" s="264">
        <v>0</v>
      </c>
      <c r="R106" s="693">
        <v>0</v>
      </c>
      <c r="S106" s="717">
        <v>0</v>
      </c>
      <c r="T106" s="246">
        <v>0</v>
      </c>
      <c r="U106" s="500"/>
      <c r="V106" s="371"/>
      <c r="W106" s="408">
        <f t="shared" ref="W106" si="45">(V106*X106)</f>
        <v>0</v>
      </c>
      <c r="X106" s="716"/>
      <c r="Y106" s="659">
        <f>IF(D106&lt;&gt;0,($C107*(1-$V$1))-$D106,0)</f>
        <v>-1500</v>
      </c>
      <c r="Z106" s="678"/>
      <c r="AA106" s="665"/>
      <c r="AB106" s="38"/>
    </row>
    <row r="107" spans="1:29" ht="12.75" customHeight="1">
      <c r="A107" s="583" t="s">
        <v>612</v>
      </c>
      <c r="B107" s="632">
        <v>73684</v>
      </c>
      <c r="C107" s="239">
        <v>92700</v>
      </c>
      <c r="D107" s="385">
        <v>93250</v>
      </c>
      <c r="E107" s="640">
        <v>6216</v>
      </c>
      <c r="F107" s="563">
        <v>93250</v>
      </c>
      <c r="G107" s="309">
        <v>-9.0000000000000011E-3</v>
      </c>
      <c r="H107" s="237">
        <v>95000</v>
      </c>
      <c r="I107" s="228">
        <v>96100</v>
      </c>
      <c r="J107" s="228">
        <v>92260</v>
      </c>
      <c r="K107" s="257">
        <v>94100</v>
      </c>
      <c r="L107" s="235">
        <v>1145404528</v>
      </c>
      <c r="M107" s="232">
        <v>1231582</v>
      </c>
      <c r="N107" s="235">
        <v>340</v>
      </c>
      <c r="O107" s="276">
        <v>45385.706238425926</v>
      </c>
      <c r="P107" s="285">
        <v>106</v>
      </c>
      <c r="Q107" s="262">
        <v>0</v>
      </c>
      <c r="R107" s="692">
        <v>0</v>
      </c>
      <c r="S107" s="719">
        <v>0</v>
      </c>
      <c r="T107" s="245">
        <v>0</v>
      </c>
      <c r="U107" s="499"/>
      <c r="V107" s="370">
        <v>0</v>
      </c>
      <c r="W107" s="403">
        <f>V106*(F106/100)</f>
        <v>0</v>
      </c>
      <c r="X107" s="711"/>
      <c r="Y107" s="507">
        <f>IFERROR(INT($Y$1/(F106/100)),"")</f>
        <v>109</v>
      </c>
      <c r="Z107" s="666"/>
      <c r="AA107" s="667"/>
      <c r="AB107" s="38"/>
    </row>
    <row r="108" spans="1:29" ht="12.75" hidden="1" customHeight="1">
      <c r="A108" s="582" t="s">
        <v>613</v>
      </c>
      <c r="B108" s="248"/>
      <c r="C108" s="303"/>
      <c r="D108" s="255"/>
      <c r="E108" s="248"/>
      <c r="F108" s="571">
        <v>86.29</v>
      </c>
      <c r="G108" s="310">
        <v>-8.1000000000000013E-3</v>
      </c>
      <c r="H108" s="240">
        <v>86.3</v>
      </c>
      <c r="I108" s="229">
        <v>86.3</v>
      </c>
      <c r="J108" s="229">
        <v>86.29</v>
      </c>
      <c r="K108" s="260">
        <v>87</v>
      </c>
      <c r="L108" s="247">
        <v>18812</v>
      </c>
      <c r="M108" s="233">
        <v>21800</v>
      </c>
      <c r="N108" s="247">
        <v>2</v>
      </c>
      <c r="O108" s="277">
        <v>45385.607395833336</v>
      </c>
      <c r="P108" s="286">
        <v>107</v>
      </c>
      <c r="Q108" s="263">
        <v>0</v>
      </c>
      <c r="R108" s="703">
        <v>0</v>
      </c>
      <c r="S108" s="720">
        <v>0</v>
      </c>
      <c r="T108" s="244">
        <v>0</v>
      </c>
      <c r="U108" s="500"/>
      <c r="V108" s="300"/>
      <c r="W108" s="404">
        <f t="shared" ref="W108" si="46">(V108*X108)</f>
        <v>0</v>
      </c>
      <c r="X108" s="716"/>
      <c r="Y108" s="668">
        <f>IF(D108&lt;&gt;0,($C109*(1-$V$1))-$D108,0)</f>
        <v>0</v>
      </c>
      <c r="Z108" s="669" t="str">
        <f>IFERROR(IF(C108&lt;&gt;"",$Y$1/(D106/100)*(C108/100),""),"")</f>
        <v/>
      </c>
      <c r="AA108" s="670" t="str">
        <f>IFERROR($AA$1/(D108/100)*(C106/100),"")</f>
        <v/>
      </c>
      <c r="AB108" s="38"/>
    </row>
    <row r="109" spans="1:29" ht="12.75" hidden="1" customHeight="1">
      <c r="A109" s="583" t="s">
        <v>614</v>
      </c>
      <c r="B109" s="632">
        <v>81676</v>
      </c>
      <c r="C109" s="239">
        <v>86.65</v>
      </c>
      <c r="D109" s="385">
        <v>87.3</v>
      </c>
      <c r="E109" s="640">
        <v>99981</v>
      </c>
      <c r="F109" s="563">
        <v>86.65</v>
      </c>
      <c r="G109" s="309">
        <v>-1.7000000000000001E-3</v>
      </c>
      <c r="H109" s="237">
        <v>87.2</v>
      </c>
      <c r="I109" s="228">
        <v>87.3</v>
      </c>
      <c r="J109" s="228">
        <v>86.25</v>
      </c>
      <c r="K109" s="257">
        <v>86.8</v>
      </c>
      <c r="L109" s="235">
        <v>398831</v>
      </c>
      <c r="M109" s="232">
        <v>459226</v>
      </c>
      <c r="N109" s="235">
        <v>28</v>
      </c>
      <c r="O109" s="276">
        <v>45385.704224537039</v>
      </c>
      <c r="P109" s="285">
        <v>108</v>
      </c>
      <c r="Q109" s="262">
        <v>0</v>
      </c>
      <c r="R109" s="692">
        <v>0</v>
      </c>
      <c r="S109" s="719">
        <v>0</v>
      </c>
      <c r="T109" s="245">
        <v>0</v>
      </c>
      <c r="U109" s="499"/>
      <c r="V109" s="299">
        <v>0</v>
      </c>
      <c r="W109" s="405">
        <f>V108*(F108/100)</f>
        <v>0</v>
      </c>
      <c r="X109" s="711"/>
      <c r="Y109" s="508">
        <f>IFERROR(INT($AA$1/(F108/100)),"")</f>
        <v>115</v>
      </c>
      <c r="Z109" s="671">
        <f>IFERROR(IF(C109&lt;&gt;"",$Y$1/(D107/100)*(C109/100),""),"")</f>
        <v>91.928431133603809</v>
      </c>
      <c r="AA109" s="672">
        <f>IFERROR($AA$1/(D109/100)*(C107/100),"")</f>
        <v>106185.56701030929</v>
      </c>
      <c r="AB109" s="38"/>
    </row>
    <row r="110" spans="1:29" ht="12.75" customHeight="1">
      <c r="A110" s="582" t="s">
        <v>615</v>
      </c>
      <c r="B110" s="248">
        <v>250</v>
      </c>
      <c r="C110" s="303">
        <v>90.5</v>
      </c>
      <c r="D110" s="255">
        <v>93.7</v>
      </c>
      <c r="E110" s="248">
        <v>141</v>
      </c>
      <c r="F110" s="571">
        <v>93.7</v>
      </c>
      <c r="G110" s="310">
        <v>7.4999999999999997E-3</v>
      </c>
      <c r="H110" s="240">
        <v>93</v>
      </c>
      <c r="I110" s="229">
        <v>93.7</v>
      </c>
      <c r="J110" s="229">
        <v>90.5</v>
      </c>
      <c r="K110" s="260">
        <v>93</v>
      </c>
      <c r="L110" s="247">
        <v>3154</v>
      </c>
      <c r="M110" s="233">
        <v>3415</v>
      </c>
      <c r="N110" s="247">
        <v>25</v>
      </c>
      <c r="O110" s="277">
        <v>45385.664050925923</v>
      </c>
      <c r="P110" s="286">
        <v>109</v>
      </c>
      <c r="Q110" s="263">
        <v>0</v>
      </c>
      <c r="R110" s="703">
        <v>0</v>
      </c>
      <c r="S110" s="720">
        <v>0</v>
      </c>
      <c r="T110" s="244">
        <v>0</v>
      </c>
      <c r="U110" s="500"/>
      <c r="V110" s="368">
        <v>0</v>
      </c>
      <c r="W110" s="406">
        <f t="shared" ref="W110" si="47">(V110*X110)</f>
        <v>0</v>
      </c>
      <c r="X110" s="713"/>
      <c r="Y110" s="673">
        <f>IF(D110&lt;&gt;0,($C111*(1-$V$1))-$D110,0)</f>
        <v>-0.54999999999999716</v>
      </c>
      <c r="Z110" s="674">
        <f>IFERROR(IF(C110&lt;&gt;"",$Y$1/(D106/100)*(C110/100),""),"")</f>
        <v>95.044676816876134</v>
      </c>
      <c r="AA110" s="675">
        <f>IFERROR($Z$1/(D110/100)*(C106/100),"")</f>
        <v>96371.398078975442</v>
      </c>
      <c r="AB110" s="38"/>
    </row>
    <row r="111" spans="1:29" ht="12.75" customHeight="1">
      <c r="A111" s="730" t="s">
        <v>616</v>
      </c>
      <c r="B111" s="389">
        <v>30000</v>
      </c>
      <c r="C111" s="354">
        <v>93.15</v>
      </c>
      <c r="D111" s="384">
        <v>93.5</v>
      </c>
      <c r="E111" s="635">
        <v>14000</v>
      </c>
      <c r="F111" s="570">
        <v>93.5</v>
      </c>
      <c r="G111" s="365">
        <v>8.0000000000000002E-3</v>
      </c>
      <c r="H111" s="356">
        <v>93.2</v>
      </c>
      <c r="I111" s="357">
        <v>93.92</v>
      </c>
      <c r="J111" s="357">
        <v>90.6</v>
      </c>
      <c r="K111" s="366">
        <v>92.75</v>
      </c>
      <c r="L111" s="351">
        <v>87337</v>
      </c>
      <c r="M111" s="359">
        <v>93918</v>
      </c>
      <c r="N111" s="351">
        <v>90</v>
      </c>
      <c r="O111" s="352">
        <v>45385.704884259256</v>
      </c>
      <c r="P111" s="285">
        <v>110</v>
      </c>
      <c r="Q111" s="353">
        <v>0</v>
      </c>
      <c r="R111" s="700">
        <v>0</v>
      </c>
      <c r="S111" s="718">
        <v>0</v>
      </c>
      <c r="T111" s="361">
        <v>0</v>
      </c>
      <c r="U111" s="499"/>
      <c r="V111" s="369">
        <v>0</v>
      </c>
      <c r="W111" s="409">
        <f>V110*(F110/100)</f>
        <v>0</v>
      </c>
      <c r="X111" s="715"/>
      <c r="Y111" s="509">
        <f>IFERROR(INT($Z$1/(F110/100)),"")</f>
        <v>106</v>
      </c>
      <c r="Z111" s="676">
        <f>IFERROR(IF(C111&lt;&gt;"",$Y$1/(D107/100)*(C111/100),""),"")</f>
        <v>98.824389614485796</v>
      </c>
      <c r="AA111" s="677">
        <f>IFERROR($Z$1/(D111/100)*(C107/100),"")</f>
        <v>99144.38502673796</v>
      </c>
      <c r="AB111" s="38"/>
    </row>
    <row r="112" spans="1:29" ht="12.75" customHeight="1">
      <c r="A112" s="732" t="s">
        <v>547</v>
      </c>
      <c r="B112" s="248">
        <v>303</v>
      </c>
      <c r="C112" s="303">
        <v>49000</v>
      </c>
      <c r="D112" s="255">
        <v>49200</v>
      </c>
      <c r="E112" s="248">
        <v>3282</v>
      </c>
      <c r="F112" s="562">
        <v>49000</v>
      </c>
      <c r="G112" s="307">
        <v>-1.01E-2</v>
      </c>
      <c r="H112" s="238">
        <v>49500</v>
      </c>
      <c r="I112" s="230">
        <v>50340</v>
      </c>
      <c r="J112" s="230">
        <v>48515</v>
      </c>
      <c r="K112" s="259">
        <v>49500</v>
      </c>
      <c r="L112" s="251">
        <v>336009267</v>
      </c>
      <c r="M112" s="234">
        <v>682409</v>
      </c>
      <c r="N112" s="251">
        <v>865</v>
      </c>
      <c r="O112" s="275">
        <v>45385.687777777777</v>
      </c>
      <c r="P112" s="286">
        <v>111</v>
      </c>
      <c r="Q112" s="264">
        <v>0</v>
      </c>
      <c r="R112" s="693">
        <v>0</v>
      </c>
      <c r="S112" s="717">
        <v>0</v>
      </c>
      <c r="T112" s="246">
        <v>0</v>
      </c>
      <c r="U112" s="500"/>
      <c r="V112" s="371"/>
      <c r="W112" s="408">
        <f t="shared" ref="W112" si="48">(V112*X112)</f>
        <v>0</v>
      </c>
      <c r="X112" s="716"/>
      <c r="Y112" s="659">
        <f>IF(D112&lt;&gt;0,($C113*(1-$V$1))-$D112,0)</f>
        <v>-185</v>
      </c>
      <c r="Z112" s="678"/>
      <c r="AA112" s="665"/>
      <c r="AB112" s="38"/>
    </row>
    <row r="113" spans="1:28" ht="12.75" customHeight="1">
      <c r="A113" s="583" t="s">
        <v>183</v>
      </c>
      <c r="B113" s="632">
        <v>433</v>
      </c>
      <c r="C113" s="239">
        <v>49015</v>
      </c>
      <c r="D113" s="385">
        <v>49140</v>
      </c>
      <c r="E113" s="640">
        <v>3628</v>
      </c>
      <c r="F113" s="563">
        <v>49015</v>
      </c>
      <c r="G113" s="309">
        <v>-1.77E-2</v>
      </c>
      <c r="H113" s="237">
        <v>50000</v>
      </c>
      <c r="I113" s="228">
        <v>50000</v>
      </c>
      <c r="J113" s="228">
        <v>48000</v>
      </c>
      <c r="K113" s="257">
        <v>49900</v>
      </c>
      <c r="L113" s="235">
        <v>1210603336</v>
      </c>
      <c r="M113" s="232">
        <v>2455946</v>
      </c>
      <c r="N113" s="235">
        <v>1978</v>
      </c>
      <c r="O113" s="276">
        <v>45385.708599537036</v>
      </c>
      <c r="P113" s="285">
        <v>112</v>
      </c>
      <c r="Q113" s="262">
        <v>0</v>
      </c>
      <c r="R113" s="692">
        <v>0</v>
      </c>
      <c r="S113" s="719">
        <v>0</v>
      </c>
      <c r="T113" s="245">
        <v>0</v>
      </c>
      <c r="U113" s="499"/>
      <c r="V113" s="370">
        <v>0</v>
      </c>
      <c r="W113" s="403">
        <f>V112*(F112/100)</f>
        <v>0</v>
      </c>
      <c r="X113" s="711"/>
      <c r="Y113" s="507">
        <f>IFERROR(INT($Y$1/(F112/100)),"")</f>
        <v>201</v>
      </c>
      <c r="Z113" s="666"/>
      <c r="AA113" s="667"/>
      <c r="AB113" s="38"/>
    </row>
    <row r="114" spans="1:28" ht="12.75" hidden="1" customHeight="1">
      <c r="A114" s="582" t="s">
        <v>548</v>
      </c>
      <c r="B114" s="248"/>
      <c r="C114" s="303"/>
      <c r="D114" s="255"/>
      <c r="E114" s="248"/>
      <c r="F114" s="571"/>
      <c r="G114" s="310"/>
      <c r="H114" s="240"/>
      <c r="I114" s="229"/>
      <c r="J114" s="229"/>
      <c r="K114" s="260">
        <v>38</v>
      </c>
      <c r="L114" s="247"/>
      <c r="M114" s="233"/>
      <c r="N114" s="247"/>
      <c r="O114" s="277"/>
      <c r="P114" s="286">
        <v>113</v>
      </c>
      <c r="Q114" s="263">
        <v>0</v>
      </c>
      <c r="R114" s="703">
        <v>0</v>
      </c>
      <c r="S114" s="720">
        <v>0</v>
      </c>
      <c r="T114" s="244">
        <v>0</v>
      </c>
      <c r="U114" s="500"/>
      <c r="V114" s="300"/>
      <c r="W114" s="404">
        <f t="shared" ref="W114" si="49">(V114*X114)</f>
        <v>0</v>
      </c>
      <c r="X114" s="716"/>
      <c r="Y114" s="668">
        <f>IF(D114&lt;&gt;0,($C115*(1-$V$1))-$D114,0)</f>
        <v>0</v>
      </c>
      <c r="Z114" s="669" t="str">
        <f>IFERROR(IF(C114&lt;&gt;"",$Y$1/(D112/100)*(C114/100),""),"")</f>
        <v/>
      </c>
      <c r="AA114" s="670" t="str">
        <f>IFERROR($AA$1/(D114/100)*(C112/100),"")</f>
        <v/>
      </c>
      <c r="AB114" s="38"/>
    </row>
    <row r="115" spans="1:28" ht="12.75" hidden="1" customHeight="1">
      <c r="A115" s="583" t="s">
        <v>230</v>
      </c>
      <c r="B115" s="632"/>
      <c r="C115" s="239"/>
      <c r="D115" s="385"/>
      <c r="E115" s="640"/>
      <c r="F115" s="563"/>
      <c r="G115" s="309"/>
      <c r="H115" s="237"/>
      <c r="I115" s="228"/>
      <c r="J115" s="228"/>
      <c r="K115" s="257">
        <v>35.875</v>
      </c>
      <c r="L115" s="235"/>
      <c r="M115" s="232"/>
      <c r="N115" s="235"/>
      <c r="O115" s="276"/>
      <c r="P115" s="285">
        <v>114</v>
      </c>
      <c r="Q115" s="262">
        <v>0</v>
      </c>
      <c r="R115" s="692">
        <v>0</v>
      </c>
      <c r="S115" s="719">
        <v>0</v>
      </c>
      <c r="T115" s="245">
        <v>0</v>
      </c>
      <c r="U115" s="499"/>
      <c r="V115" s="299">
        <v>0</v>
      </c>
      <c r="W115" s="405">
        <f>V114*(F114/100)</f>
        <v>0</v>
      </c>
      <c r="X115" s="711"/>
      <c r="Y115" s="508" t="str">
        <f>IFERROR(INT($AA$1/(F114/100)),"")</f>
        <v/>
      </c>
      <c r="Z115" s="671" t="str">
        <f>IFERROR(IF(C115&lt;&gt;"",$Y$1/(D113/100)*(C115/100),""),"")</f>
        <v/>
      </c>
      <c r="AA115" s="672" t="str">
        <f>IFERROR($AA$1/(D115/100)*(C113/100),"")</f>
        <v/>
      </c>
      <c r="AB115" s="38"/>
    </row>
    <row r="116" spans="1:28" ht="12.75" customHeight="1">
      <c r="A116" s="582" t="s">
        <v>549</v>
      </c>
      <c r="B116" s="248">
        <v>12432</v>
      </c>
      <c r="C116" s="303">
        <v>49.2</v>
      </c>
      <c r="D116" s="255">
        <v>49.53</v>
      </c>
      <c r="E116" s="248">
        <v>350</v>
      </c>
      <c r="F116" s="571">
        <v>49.220999999999997</v>
      </c>
      <c r="G116" s="310">
        <v>-3.5999999999999999E-3</v>
      </c>
      <c r="H116" s="240">
        <v>49</v>
      </c>
      <c r="I116" s="229">
        <v>50.11</v>
      </c>
      <c r="J116" s="229">
        <v>48.5</v>
      </c>
      <c r="K116" s="260">
        <v>49.399000000000001</v>
      </c>
      <c r="L116" s="247">
        <v>153913</v>
      </c>
      <c r="M116" s="233">
        <v>311920</v>
      </c>
      <c r="N116" s="247">
        <v>295</v>
      </c>
      <c r="O116" s="277">
        <v>45385.678946759261</v>
      </c>
      <c r="P116" s="286">
        <v>115</v>
      </c>
      <c r="Q116" s="263">
        <v>0</v>
      </c>
      <c r="R116" s="703">
        <v>0</v>
      </c>
      <c r="S116" s="720">
        <v>0</v>
      </c>
      <c r="T116" s="244">
        <v>0</v>
      </c>
      <c r="U116" s="500"/>
      <c r="V116" s="368">
        <v>0</v>
      </c>
      <c r="W116" s="406">
        <f t="shared" ref="W116" si="50">(V116*X116)</f>
        <v>0</v>
      </c>
      <c r="X116" s="713"/>
      <c r="Y116" s="673">
        <f>IF(D116&lt;&gt;0,($C117*(1-$V$1))-$D116,0)</f>
        <v>-0.32999999999999829</v>
      </c>
      <c r="Z116" s="674">
        <f>IFERROR(IF(C116&lt;&gt;"",$Y$1/(D112/100)*(C116/100),""),"")</f>
        <v>98.930481283422452</v>
      </c>
      <c r="AA116" s="675">
        <f>IFERROR($Z$1/(D116/100)*(C112/100),"")</f>
        <v>98929.941449626494</v>
      </c>
      <c r="AB116" s="38"/>
    </row>
    <row r="117" spans="1:28" ht="12.75" customHeight="1">
      <c r="A117" s="730" t="s">
        <v>231</v>
      </c>
      <c r="B117" s="389">
        <v>7505</v>
      </c>
      <c r="C117" s="354">
        <v>49.2</v>
      </c>
      <c r="D117" s="384">
        <v>49.24</v>
      </c>
      <c r="E117" s="635">
        <v>5996</v>
      </c>
      <c r="F117" s="570">
        <v>49.24</v>
      </c>
      <c r="G117" s="365">
        <v>-1.1999999999999999E-3</v>
      </c>
      <c r="H117" s="356">
        <v>49.95</v>
      </c>
      <c r="I117" s="357">
        <v>50.4</v>
      </c>
      <c r="J117" s="357">
        <v>48.167000000000002</v>
      </c>
      <c r="K117" s="366">
        <v>49.3</v>
      </c>
      <c r="L117" s="351">
        <v>318365</v>
      </c>
      <c r="M117" s="359">
        <v>643635</v>
      </c>
      <c r="N117" s="351">
        <v>517</v>
      </c>
      <c r="O117" s="352">
        <v>45385.70853009259</v>
      </c>
      <c r="P117" s="285">
        <v>116</v>
      </c>
      <c r="Q117" s="353">
        <v>0</v>
      </c>
      <c r="R117" s="700">
        <v>0</v>
      </c>
      <c r="S117" s="718">
        <v>0</v>
      </c>
      <c r="T117" s="361">
        <v>0</v>
      </c>
      <c r="U117" s="499"/>
      <c r="V117" s="369">
        <v>0</v>
      </c>
      <c r="W117" s="409">
        <f>V116*(F116/100)</f>
        <v>0</v>
      </c>
      <c r="X117" s="715"/>
      <c r="Y117" s="509">
        <f>IFERROR(INT($Z$1/(F116/100)),"")</f>
        <v>203</v>
      </c>
      <c r="Z117" s="676">
        <f>IFERROR(IF(C117&lt;&gt;"",$Y$1/(D113/100)*(C117/100),""),"")</f>
        <v>99.051275521863758</v>
      </c>
      <c r="AA117" s="677">
        <f>IFERROR($Z$1/(D117/100)*(C113/100),"")</f>
        <v>99543.054427294875</v>
      </c>
      <c r="AB117" s="38"/>
    </row>
    <row r="118" spans="1:28" ht="12.75" customHeight="1">
      <c r="A118" s="732" t="s">
        <v>541</v>
      </c>
      <c r="B118" s="248">
        <v>682</v>
      </c>
      <c r="C118" s="303">
        <v>55900</v>
      </c>
      <c r="D118" s="255">
        <v>56320</v>
      </c>
      <c r="E118" s="248">
        <v>4000</v>
      </c>
      <c r="F118" s="562">
        <v>55820</v>
      </c>
      <c r="G118" s="307">
        <v>6.0999999999999995E-3</v>
      </c>
      <c r="H118" s="238">
        <v>56300</v>
      </c>
      <c r="I118" s="230">
        <v>56500</v>
      </c>
      <c r="J118" s="230">
        <v>54100</v>
      </c>
      <c r="K118" s="259">
        <v>55480</v>
      </c>
      <c r="L118" s="251">
        <v>170913838</v>
      </c>
      <c r="M118" s="234">
        <v>306187</v>
      </c>
      <c r="N118" s="251">
        <v>602</v>
      </c>
      <c r="O118" s="275">
        <v>45385.684050925927</v>
      </c>
      <c r="P118" s="286">
        <v>117</v>
      </c>
      <c r="Q118" s="264">
        <v>0</v>
      </c>
      <c r="R118" s="693">
        <v>0</v>
      </c>
      <c r="S118" s="717">
        <v>0</v>
      </c>
      <c r="T118" s="246">
        <v>0</v>
      </c>
      <c r="U118" s="500"/>
      <c r="V118" s="371"/>
      <c r="W118" s="408">
        <f t="shared" ref="W118" si="51">(V118*X118)</f>
        <v>0</v>
      </c>
      <c r="X118" s="716"/>
      <c r="Y118" s="659">
        <f>IF(D118&lt;&gt;0,($C119*(1-$V$1))-$D118,0)</f>
        <v>10</v>
      </c>
      <c r="Z118" s="678"/>
      <c r="AA118" s="665"/>
      <c r="AB118" s="38"/>
    </row>
    <row r="119" spans="1:28" ht="12.75" customHeight="1">
      <c r="A119" s="583" t="s">
        <v>186</v>
      </c>
      <c r="B119" s="632">
        <v>2000</v>
      </c>
      <c r="C119" s="239">
        <v>56330</v>
      </c>
      <c r="D119" s="385">
        <v>56400</v>
      </c>
      <c r="E119" s="640">
        <v>80207</v>
      </c>
      <c r="F119" s="563">
        <v>56400</v>
      </c>
      <c r="G119" s="309">
        <v>1.7000000000000001E-3</v>
      </c>
      <c r="H119" s="237">
        <v>56250</v>
      </c>
      <c r="I119" s="228">
        <v>56400</v>
      </c>
      <c r="J119" s="228">
        <v>55050</v>
      </c>
      <c r="K119" s="257">
        <v>56300</v>
      </c>
      <c r="L119" s="235">
        <v>2758858644</v>
      </c>
      <c r="M119" s="232">
        <v>4925411</v>
      </c>
      <c r="N119" s="235">
        <v>1942</v>
      </c>
      <c r="O119" s="276">
        <v>45385.708472222221</v>
      </c>
      <c r="P119" s="285">
        <v>118</v>
      </c>
      <c r="Q119" s="262">
        <v>0</v>
      </c>
      <c r="R119" s="692">
        <v>0</v>
      </c>
      <c r="S119" s="719">
        <v>0</v>
      </c>
      <c r="T119" s="245">
        <v>0</v>
      </c>
      <c r="U119" s="499"/>
      <c r="V119" s="370">
        <v>0</v>
      </c>
      <c r="W119" s="403">
        <f>V118*(F118/100)</f>
        <v>0</v>
      </c>
      <c r="X119" s="711"/>
      <c r="Y119" s="507">
        <f>IFERROR(INT($Y$1/(F118/100)),"")</f>
        <v>177</v>
      </c>
      <c r="Z119" s="666"/>
      <c r="AA119" s="667"/>
      <c r="AB119" s="38"/>
    </row>
    <row r="120" spans="1:28" ht="12.75" hidden="1" customHeight="1">
      <c r="A120" s="582" t="s">
        <v>542</v>
      </c>
      <c r="B120" s="248"/>
      <c r="C120" s="303"/>
      <c r="D120" s="255"/>
      <c r="E120" s="248"/>
      <c r="F120" s="571"/>
      <c r="G120" s="310"/>
      <c r="H120" s="240"/>
      <c r="I120" s="229"/>
      <c r="J120" s="229"/>
      <c r="K120" s="260">
        <v>22</v>
      </c>
      <c r="L120" s="247"/>
      <c r="M120" s="233"/>
      <c r="N120" s="247"/>
      <c r="O120" s="277"/>
      <c r="P120" s="286">
        <v>119</v>
      </c>
      <c r="Q120" s="263">
        <v>0</v>
      </c>
      <c r="R120" s="703">
        <v>0</v>
      </c>
      <c r="S120" s="720">
        <v>0</v>
      </c>
      <c r="T120" s="244">
        <v>0</v>
      </c>
      <c r="U120" s="500"/>
      <c r="V120" s="300"/>
      <c r="W120" s="404">
        <f t="shared" ref="W120" si="52">(V120*X120)</f>
        <v>0</v>
      </c>
      <c r="X120" s="716"/>
      <c r="Y120" s="668">
        <f>IF(D120&lt;&gt;0,($C121*(1-$V$1))-$D120,0)</f>
        <v>0</v>
      </c>
      <c r="Z120" s="669" t="str">
        <f>IFERROR(IF(C120&lt;&gt;"",$Y$1/(D118/100)*(C120/100),""),"")</f>
        <v/>
      </c>
      <c r="AA120" s="670" t="str">
        <f>IFERROR($AA$1/(D120/100)*(C118/100),"")</f>
        <v/>
      </c>
      <c r="AB120" s="38"/>
    </row>
    <row r="121" spans="1:28" ht="12.75" hidden="1" customHeight="1">
      <c r="A121" s="583" t="s">
        <v>238</v>
      </c>
      <c r="B121" s="632">
        <v>200000</v>
      </c>
      <c r="C121" s="239">
        <v>51</v>
      </c>
      <c r="D121" s="385"/>
      <c r="E121" s="640"/>
      <c r="F121" s="563"/>
      <c r="G121" s="309"/>
      <c r="H121" s="237"/>
      <c r="I121" s="228"/>
      <c r="J121" s="228"/>
      <c r="K121" s="257">
        <v>46.3</v>
      </c>
      <c r="L121" s="235"/>
      <c r="M121" s="232"/>
      <c r="N121" s="235"/>
      <c r="O121" s="276"/>
      <c r="P121" s="285">
        <v>120</v>
      </c>
      <c r="Q121" s="262">
        <v>0</v>
      </c>
      <c r="R121" s="692">
        <v>0</v>
      </c>
      <c r="S121" s="719">
        <v>0</v>
      </c>
      <c r="T121" s="245">
        <v>0</v>
      </c>
      <c r="U121" s="499"/>
      <c r="V121" s="299">
        <v>0</v>
      </c>
      <c r="W121" s="405">
        <f>V120*(F120/100)</f>
        <v>0</v>
      </c>
      <c r="X121" s="711"/>
      <c r="Y121" s="508" t="str">
        <f>IFERROR(INT($AA$1/(F120/100)),"")</f>
        <v/>
      </c>
      <c r="Z121" s="671">
        <f>IFERROR(IF(C121&lt;&gt;"",$Y$1/(D119/100)*(C121/100),""),"")</f>
        <v>89.45841392649902</v>
      </c>
      <c r="AA121" s="672" t="str">
        <f>IFERROR($AA$1/(D121/100)*(C119/100),"")</f>
        <v/>
      </c>
      <c r="AB121" s="38"/>
    </row>
    <row r="122" spans="1:28" ht="12.75" customHeight="1">
      <c r="A122" s="582" t="s">
        <v>543</v>
      </c>
      <c r="B122" s="248">
        <v>50</v>
      </c>
      <c r="C122" s="303">
        <v>56.11</v>
      </c>
      <c r="D122" s="255">
        <v>56.9</v>
      </c>
      <c r="E122" s="248">
        <v>12</v>
      </c>
      <c r="F122" s="571">
        <v>56.01</v>
      </c>
      <c r="G122" s="310">
        <v>6.0999999999999995E-3</v>
      </c>
      <c r="H122" s="240">
        <v>54</v>
      </c>
      <c r="I122" s="229">
        <v>56.67</v>
      </c>
      <c r="J122" s="229">
        <v>54</v>
      </c>
      <c r="K122" s="260">
        <v>55.67</v>
      </c>
      <c r="L122" s="247">
        <v>125305</v>
      </c>
      <c r="M122" s="233">
        <v>225945</v>
      </c>
      <c r="N122" s="247">
        <v>284</v>
      </c>
      <c r="O122" s="277">
        <v>45385.667557870373</v>
      </c>
      <c r="P122" s="286">
        <v>121</v>
      </c>
      <c r="Q122" s="263">
        <v>0</v>
      </c>
      <c r="R122" s="703">
        <v>0</v>
      </c>
      <c r="S122" s="720">
        <v>0</v>
      </c>
      <c r="T122" s="244">
        <v>0</v>
      </c>
      <c r="U122" s="500"/>
      <c r="V122" s="368"/>
      <c r="W122" s="406">
        <f t="shared" ref="W122" si="53">(V122*X122)</f>
        <v>0</v>
      </c>
      <c r="X122" s="713"/>
      <c r="Y122" s="673">
        <f>IF(D122&lt;&gt;0,($C123*(1-$V$1))-$D122,0)</f>
        <v>-0.19999999999999574</v>
      </c>
      <c r="Z122" s="674">
        <f>IFERROR(IF(C122&lt;&gt;"",$Y$1/(D118/100)*(C122/100),""),"")</f>
        <v>98.56159987238695</v>
      </c>
      <c r="AA122" s="675">
        <f>IFERROR($Z$1/(D122/100)*(C118/100),"")</f>
        <v>98242.530755711792</v>
      </c>
      <c r="AB122" s="38"/>
    </row>
    <row r="123" spans="1:28" ht="12.75" customHeight="1">
      <c r="A123" s="730" t="s">
        <v>239</v>
      </c>
      <c r="B123" s="389">
        <v>9665</v>
      </c>
      <c r="C123" s="354">
        <v>56.7</v>
      </c>
      <c r="D123" s="384">
        <v>57.34</v>
      </c>
      <c r="E123" s="635">
        <v>598</v>
      </c>
      <c r="F123" s="570">
        <v>56.7</v>
      </c>
      <c r="G123" s="365">
        <v>1.37E-2</v>
      </c>
      <c r="H123" s="356">
        <v>56</v>
      </c>
      <c r="I123" s="357">
        <v>57.39</v>
      </c>
      <c r="J123" s="357">
        <v>54.25</v>
      </c>
      <c r="K123" s="366">
        <v>55.93</v>
      </c>
      <c r="L123" s="351">
        <v>233486</v>
      </c>
      <c r="M123" s="359">
        <v>419542</v>
      </c>
      <c r="N123" s="351">
        <v>592</v>
      </c>
      <c r="O123" s="352">
        <v>45385.708657407406</v>
      </c>
      <c r="P123" s="285">
        <v>122</v>
      </c>
      <c r="Q123" s="353">
        <v>0</v>
      </c>
      <c r="R123" s="700">
        <v>0</v>
      </c>
      <c r="S123" s="718">
        <v>0</v>
      </c>
      <c r="T123" s="361">
        <v>0</v>
      </c>
      <c r="U123" s="499"/>
      <c r="V123" s="369">
        <v>0</v>
      </c>
      <c r="W123" s="410">
        <f>V122*(F122/100)</f>
        <v>0</v>
      </c>
      <c r="X123" s="715"/>
      <c r="Y123" s="509">
        <f>IFERROR(INT($Z$1/(F122/100)),"")</f>
        <v>178</v>
      </c>
      <c r="Z123" s="676">
        <f>IFERROR(IF(C123&lt;&gt;"",$Y$1/(D119/100)*(C123/100),""),"")</f>
        <v>99.456707247695988</v>
      </c>
      <c r="AA123" s="677">
        <f>IFERROR($Z$1/(D123/100)*(C119/100),"")</f>
        <v>98238.576909661657</v>
      </c>
      <c r="AB123" s="38"/>
    </row>
    <row r="124" spans="1:28" ht="12.75" customHeight="1">
      <c r="A124" s="732" t="s">
        <v>544</v>
      </c>
      <c r="B124" s="248">
        <v>11970</v>
      </c>
      <c r="C124" s="303">
        <v>45970</v>
      </c>
      <c r="D124" s="255">
        <v>46000</v>
      </c>
      <c r="E124" s="248">
        <v>56739</v>
      </c>
      <c r="F124" s="562">
        <v>45970</v>
      </c>
      <c r="G124" s="307">
        <v>2.6099999999999998E-2</v>
      </c>
      <c r="H124" s="238">
        <v>46300</v>
      </c>
      <c r="I124" s="230">
        <v>46310</v>
      </c>
      <c r="J124" s="230">
        <v>45000</v>
      </c>
      <c r="K124" s="259">
        <v>44800</v>
      </c>
      <c r="L124" s="251">
        <v>332179573</v>
      </c>
      <c r="M124" s="234">
        <v>728439</v>
      </c>
      <c r="N124" s="251">
        <v>698</v>
      </c>
      <c r="O124" s="275">
        <v>45385.687685185185</v>
      </c>
      <c r="P124" s="286">
        <v>123</v>
      </c>
      <c r="Q124" s="264">
        <v>0</v>
      </c>
      <c r="R124" s="693">
        <v>0</v>
      </c>
      <c r="S124" s="717">
        <v>0</v>
      </c>
      <c r="T124" s="246">
        <v>0</v>
      </c>
      <c r="U124" s="500"/>
      <c r="V124" s="371"/>
      <c r="W124" s="408">
        <f t="shared" ref="W124" si="54">(V124*X124)</f>
        <v>0</v>
      </c>
      <c r="X124" s="716"/>
      <c r="Y124" s="659">
        <f>IF(D124&lt;&gt;0,($C125*(1-$V$1))-$D124,0)</f>
        <v>-100</v>
      </c>
      <c r="Z124" s="678"/>
      <c r="AA124" s="665"/>
      <c r="AB124" s="38"/>
    </row>
    <row r="125" spans="1:28" ht="12.75" customHeight="1">
      <c r="A125" s="583" t="s">
        <v>184</v>
      </c>
      <c r="B125" s="632">
        <v>145706</v>
      </c>
      <c r="C125" s="239">
        <v>45900</v>
      </c>
      <c r="D125" s="385">
        <v>46000</v>
      </c>
      <c r="E125" s="640">
        <v>600</v>
      </c>
      <c r="F125" s="563">
        <v>45900</v>
      </c>
      <c r="G125" s="309">
        <v>-1.2500000000000001E-2</v>
      </c>
      <c r="H125" s="237">
        <v>46300</v>
      </c>
      <c r="I125" s="228">
        <v>46500</v>
      </c>
      <c r="J125" s="228">
        <v>45100</v>
      </c>
      <c r="K125" s="257">
        <v>46485</v>
      </c>
      <c r="L125" s="235">
        <v>3173244726</v>
      </c>
      <c r="M125" s="232">
        <v>6949558</v>
      </c>
      <c r="N125" s="235">
        <v>1809</v>
      </c>
      <c r="O125" s="276">
        <v>45385.704791666663</v>
      </c>
      <c r="P125" s="285">
        <v>124</v>
      </c>
      <c r="Q125" s="262">
        <v>0</v>
      </c>
      <c r="R125" s="692">
        <v>0</v>
      </c>
      <c r="S125" s="719">
        <v>0</v>
      </c>
      <c r="T125" s="245">
        <v>0</v>
      </c>
      <c r="U125" s="499"/>
      <c r="V125" s="370">
        <v>0</v>
      </c>
      <c r="W125" s="403">
        <f>V124*(F124/100)</f>
        <v>0</v>
      </c>
      <c r="X125" s="711"/>
      <c r="Y125" s="507">
        <f>IFERROR(INT($Y$1/(F124/100)),"")</f>
        <v>215</v>
      </c>
      <c r="Z125" s="666"/>
      <c r="AA125" s="667"/>
      <c r="AB125" s="38"/>
    </row>
    <row r="126" spans="1:28" ht="12.75" hidden="1" customHeight="1">
      <c r="A126" s="582" t="s">
        <v>545</v>
      </c>
      <c r="B126" s="248"/>
      <c r="C126" s="303"/>
      <c r="D126" s="255"/>
      <c r="E126" s="248"/>
      <c r="F126" s="571"/>
      <c r="G126" s="310"/>
      <c r="H126" s="240"/>
      <c r="I126" s="229"/>
      <c r="J126" s="229"/>
      <c r="K126" s="260">
        <v>36</v>
      </c>
      <c r="L126" s="247"/>
      <c r="M126" s="233"/>
      <c r="N126" s="247"/>
      <c r="O126" s="277"/>
      <c r="P126" s="286">
        <v>125</v>
      </c>
      <c r="Q126" s="263">
        <v>0</v>
      </c>
      <c r="R126" s="703">
        <v>0</v>
      </c>
      <c r="S126" s="720">
        <v>0</v>
      </c>
      <c r="T126" s="244">
        <v>0</v>
      </c>
      <c r="U126" s="500"/>
      <c r="V126" s="300"/>
      <c r="W126" s="404">
        <f t="shared" ref="W126" si="55">(V126*X126)</f>
        <v>0</v>
      </c>
      <c r="X126" s="716"/>
      <c r="Y126" s="668">
        <f>IF(D126&lt;&gt;0,($C127*(1-$V$1))-$D126,0)</f>
        <v>0</v>
      </c>
      <c r="Z126" s="669" t="str">
        <f>IFERROR(IF(C126&lt;&gt;"",$Y$1/(D124/100)*(C126/100),""),"")</f>
        <v/>
      </c>
      <c r="AA126" s="670" t="str">
        <f>IFERROR($AA$1/(D126/100)*(C124/100),"")</f>
        <v/>
      </c>
      <c r="AB126" s="38"/>
    </row>
    <row r="127" spans="1:28" ht="12.75" hidden="1" customHeight="1">
      <c r="A127" s="583" t="s">
        <v>240</v>
      </c>
      <c r="B127" s="632">
        <v>100000</v>
      </c>
      <c r="C127" s="239">
        <v>41</v>
      </c>
      <c r="D127" s="385"/>
      <c r="E127" s="640"/>
      <c r="F127" s="563"/>
      <c r="G127" s="309"/>
      <c r="H127" s="237"/>
      <c r="I127" s="228"/>
      <c r="J127" s="228"/>
      <c r="K127" s="257">
        <v>32.188000000000002</v>
      </c>
      <c r="L127" s="235"/>
      <c r="M127" s="232"/>
      <c r="N127" s="235"/>
      <c r="O127" s="276"/>
      <c r="P127" s="285">
        <v>126</v>
      </c>
      <c r="Q127" s="262">
        <v>0</v>
      </c>
      <c r="R127" s="692">
        <v>0</v>
      </c>
      <c r="S127" s="719">
        <v>0</v>
      </c>
      <c r="T127" s="245">
        <v>0</v>
      </c>
      <c r="U127" s="499"/>
      <c r="V127" s="299">
        <v>0</v>
      </c>
      <c r="W127" s="405">
        <f>V126*(F126/100)</f>
        <v>0</v>
      </c>
      <c r="X127" s="711"/>
      <c r="Y127" s="508" t="str">
        <f>IFERROR(INT($AA$1/(F126/100)),"")</f>
        <v/>
      </c>
      <c r="Z127" s="671">
        <f>IFERROR(IF(C127&lt;&gt;"",$Y$1/(D125/100)*(C127/100),""),"")</f>
        <v>88.177168100441733</v>
      </c>
      <c r="AA127" s="672" t="str">
        <f>IFERROR($AA$1/(D127/100)*(C125/100),"")</f>
        <v/>
      </c>
      <c r="AB127" s="38"/>
    </row>
    <row r="128" spans="1:28" ht="12.75" customHeight="1">
      <c r="A128" s="582" t="s">
        <v>546</v>
      </c>
      <c r="B128" s="248">
        <v>50000</v>
      </c>
      <c r="C128" s="303">
        <v>46</v>
      </c>
      <c r="D128" s="255">
        <v>46.4</v>
      </c>
      <c r="E128" s="248">
        <v>600</v>
      </c>
      <c r="F128" s="571">
        <v>46.2</v>
      </c>
      <c r="G128" s="310"/>
      <c r="H128" s="240">
        <v>45.25</v>
      </c>
      <c r="I128" s="229">
        <v>46.2</v>
      </c>
      <c r="J128" s="229">
        <v>45.1</v>
      </c>
      <c r="K128" s="260">
        <v>46.198999999999998</v>
      </c>
      <c r="L128" s="247">
        <v>200743</v>
      </c>
      <c r="M128" s="233">
        <v>441748</v>
      </c>
      <c r="N128" s="247">
        <v>326</v>
      </c>
      <c r="O128" s="277">
        <v>45385.687569444446</v>
      </c>
      <c r="P128" s="286">
        <v>127</v>
      </c>
      <c r="Q128" s="263">
        <v>0</v>
      </c>
      <c r="R128" s="703">
        <v>0</v>
      </c>
      <c r="S128" s="720">
        <v>0</v>
      </c>
      <c r="T128" s="244">
        <v>0</v>
      </c>
      <c r="U128" s="500"/>
      <c r="V128" s="368">
        <v>0</v>
      </c>
      <c r="W128" s="406">
        <f t="shared" ref="W128" si="56">(V128*X128)</f>
        <v>0</v>
      </c>
      <c r="X128" s="713"/>
      <c r="Y128" s="673">
        <f>IF(D128&lt;&gt;0,($C129*(1-$V$1))-$D128,0)</f>
        <v>-0.35000000000000142</v>
      </c>
      <c r="Z128" s="674">
        <f>IFERROR(IF(C128&lt;&gt;"",$Y$1/(D124/100)*(C128/100),""),"")</f>
        <v>98.930481283422452</v>
      </c>
      <c r="AA128" s="675">
        <f>IFERROR($Z$1/(D128/100)*(C124/100),"")</f>
        <v>99073.275862068971</v>
      </c>
      <c r="AB128" s="38"/>
    </row>
    <row r="129" spans="1:28" ht="12.75" customHeight="1">
      <c r="A129" s="730" t="s">
        <v>241</v>
      </c>
      <c r="B129" s="389">
        <v>400</v>
      </c>
      <c r="C129" s="354">
        <v>46.05</v>
      </c>
      <c r="D129" s="384">
        <v>46.4</v>
      </c>
      <c r="E129" s="635">
        <v>800</v>
      </c>
      <c r="F129" s="570">
        <v>46.4</v>
      </c>
      <c r="G129" s="365">
        <v>5.4000000000000003E-3</v>
      </c>
      <c r="H129" s="356">
        <v>46</v>
      </c>
      <c r="I129" s="357">
        <v>46.999000000000002</v>
      </c>
      <c r="J129" s="357">
        <v>44.9</v>
      </c>
      <c r="K129" s="366">
        <v>46.15</v>
      </c>
      <c r="L129" s="351">
        <v>509629</v>
      </c>
      <c r="M129" s="359">
        <v>1121786</v>
      </c>
      <c r="N129" s="351">
        <v>678</v>
      </c>
      <c r="O129" s="352">
        <v>45385.706099537034</v>
      </c>
      <c r="P129" s="285">
        <v>128</v>
      </c>
      <c r="Q129" s="353">
        <v>0</v>
      </c>
      <c r="R129" s="700">
        <v>0</v>
      </c>
      <c r="S129" s="718">
        <v>0</v>
      </c>
      <c r="T129" s="361">
        <v>0</v>
      </c>
      <c r="U129" s="499"/>
      <c r="V129" s="369">
        <v>0</v>
      </c>
      <c r="W129" s="409">
        <f>V128*(F128/100)</f>
        <v>0</v>
      </c>
      <c r="X129" s="715"/>
      <c r="Y129" s="509">
        <f>IFERROR(INT($Z$1/(F128/100)),"")</f>
        <v>216</v>
      </c>
      <c r="Z129" s="676">
        <f>IFERROR(IF(C129&lt;&gt;"",$Y$1/(D125/100)*(C129/100),""),"")</f>
        <v>99.038014415252249</v>
      </c>
      <c r="AA129" s="677">
        <f>IFERROR($Z$1/(D129/100)*(C125/100),"")</f>
        <v>98922.413793103449</v>
      </c>
      <c r="AB129" s="38"/>
    </row>
    <row r="130" spans="1:28" ht="12.75" customHeight="1">
      <c r="A130" s="732" t="s">
        <v>550</v>
      </c>
      <c r="B130" s="248">
        <v>1200</v>
      </c>
      <c r="C130" s="303">
        <v>43470</v>
      </c>
      <c r="D130" s="255">
        <v>43730</v>
      </c>
      <c r="E130" s="248">
        <v>5800</v>
      </c>
      <c r="F130" s="562">
        <v>43730</v>
      </c>
      <c r="G130" s="307">
        <v>4.1100000000000005E-2</v>
      </c>
      <c r="H130" s="238">
        <v>44000</v>
      </c>
      <c r="I130" s="230">
        <v>44795</v>
      </c>
      <c r="J130" s="230">
        <v>42000</v>
      </c>
      <c r="K130" s="259">
        <v>42000</v>
      </c>
      <c r="L130" s="251">
        <v>47632862</v>
      </c>
      <c r="M130" s="234">
        <v>108869</v>
      </c>
      <c r="N130" s="251">
        <v>237</v>
      </c>
      <c r="O130" s="275">
        <v>45385.687569444446</v>
      </c>
      <c r="P130" s="286">
        <v>129</v>
      </c>
      <c r="Q130" s="264">
        <v>0</v>
      </c>
      <c r="R130" s="693">
        <v>0</v>
      </c>
      <c r="S130" s="717">
        <v>0</v>
      </c>
      <c r="T130" s="246">
        <v>0</v>
      </c>
      <c r="U130" s="500"/>
      <c r="V130" s="371"/>
      <c r="W130" s="408">
        <f t="shared" ref="W130" si="57">(V130*X130)</f>
        <v>0</v>
      </c>
      <c r="X130" s="716"/>
      <c r="Y130" s="659">
        <f>IF(D130&lt;&gt;0,($C131*(1-$V$1))-$D130,0)</f>
        <v>-160</v>
      </c>
      <c r="Z130" s="678"/>
      <c r="AA130" s="665"/>
      <c r="AB130" s="38"/>
    </row>
    <row r="131" spans="1:28" ht="12.75" customHeight="1">
      <c r="A131" s="583" t="s">
        <v>185</v>
      </c>
      <c r="B131" s="632">
        <v>69</v>
      </c>
      <c r="C131" s="239">
        <v>43570</v>
      </c>
      <c r="D131" s="385">
        <v>43600</v>
      </c>
      <c r="E131" s="640">
        <v>16096</v>
      </c>
      <c r="F131" s="563">
        <v>43600</v>
      </c>
      <c r="G131" s="309">
        <v>-2.0199999999999999E-2</v>
      </c>
      <c r="H131" s="237">
        <v>44690</v>
      </c>
      <c r="I131" s="228">
        <v>44700</v>
      </c>
      <c r="J131" s="228">
        <v>43510</v>
      </c>
      <c r="K131" s="257">
        <v>44500</v>
      </c>
      <c r="L131" s="235">
        <v>726374108</v>
      </c>
      <c r="M131" s="232">
        <v>1664587</v>
      </c>
      <c r="N131" s="235">
        <v>1085</v>
      </c>
      <c r="O131" s="276">
        <v>45385.708541666667</v>
      </c>
      <c r="P131" s="285">
        <v>130</v>
      </c>
      <c r="Q131" s="262">
        <v>0</v>
      </c>
      <c r="R131" s="692">
        <v>0</v>
      </c>
      <c r="S131" s="719">
        <v>0</v>
      </c>
      <c r="T131" s="245">
        <v>0</v>
      </c>
      <c r="U131" s="499"/>
      <c r="V131" s="370">
        <v>0</v>
      </c>
      <c r="W131" s="403">
        <f>V130*(F130/100)</f>
        <v>0</v>
      </c>
      <c r="X131" s="711"/>
      <c r="Y131" s="507">
        <f>IFERROR(INT($Y$1/(F130/100)),"")</f>
        <v>226</v>
      </c>
      <c r="Z131" s="666"/>
      <c r="AA131" s="667"/>
      <c r="AB131" s="38"/>
    </row>
    <row r="132" spans="1:28" ht="12.75" hidden="1" customHeight="1">
      <c r="A132" s="582" t="s">
        <v>551</v>
      </c>
      <c r="B132" s="248"/>
      <c r="C132" s="303"/>
      <c r="D132" s="255"/>
      <c r="E132" s="248"/>
      <c r="F132" s="571"/>
      <c r="G132" s="310"/>
      <c r="H132" s="240"/>
      <c r="I132" s="229"/>
      <c r="J132" s="229"/>
      <c r="K132" s="260">
        <v>23.22</v>
      </c>
      <c r="L132" s="247"/>
      <c r="M132" s="233"/>
      <c r="N132" s="247"/>
      <c r="O132" s="277"/>
      <c r="P132" s="286">
        <v>131</v>
      </c>
      <c r="Q132" s="263">
        <v>0</v>
      </c>
      <c r="R132" s="703">
        <v>0</v>
      </c>
      <c r="S132" s="720">
        <v>0</v>
      </c>
      <c r="T132" s="244">
        <v>0</v>
      </c>
      <c r="U132" s="500"/>
      <c r="V132" s="300"/>
      <c r="W132" s="404">
        <f t="shared" ref="W132" si="58">(V132*X132)</f>
        <v>0</v>
      </c>
      <c r="X132" s="716"/>
      <c r="Y132" s="668">
        <f>IF(D132&lt;&gt;0,($C133*(1-$V$1))-$D132,0)</f>
        <v>0</v>
      </c>
      <c r="Z132" s="669" t="str">
        <f>IFERROR(IF(C132&lt;&gt;"",$Y$1/(D130/100)*(C132/100),""),"")</f>
        <v/>
      </c>
      <c r="AA132" s="670" t="str">
        <f>IFERROR($AA$1/(D132/100)*(C130/100),"")</f>
        <v/>
      </c>
      <c r="AB132" s="38"/>
    </row>
    <row r="133" spans="1:28" ht="12.75" hidden="1" customHeight="1">
      <c r="A133" s="583" t="s">
        <v>242</v>
      </c>
      <c r="B133" s="632"/>
      <c r="C133" s="239"/>
      <c r="D133" s="385"/>
      <c r="E133" s="640"/>
      <c r="F133" s="563"/>
      <c r="G133" s="309"/>
      <c r="H133" s="237"/>
      <c r="I133" s="228"/>
      <c r="J133" s="228"/>
      <c r="K133" s="257">
        <v>26</v>
      </c>
      <c r="L133" s="235"/>
      <c r="M133" s="232"/>
      <c r="N133" s="235"/>
      <c r="O133" s="276"/>
      <c r="P133" s="285">
        <v>132</v>
      </c>
      <c r="Q133" s="262">
        <v>0</v>
      </c>
      <c r="R133" s="692">
        <v>0</v>
      </c>
      <c r="S133" s="719">
        <v>0</v>
      </c>
      <c r="T133" s="245">
        <v>0</v>
      </c>
      <c r="U133" s="499"/>
      <c r="V133" s="299">
        <v>0</v>
      </c>
      <c r="W133" s="405">
        <f>V132*(F132/100)</f>
        <v>0</v>
      </c>
      <c r="X133" s="711"/>
      <c r="Y133" s="508" t="str">
        <f>IFERROR(INT($AA$1/(F132/100)),"")</f>
        <v/>
      </c>
      <c r="Z133" s="671" t="str">
        <f>IFERROR(IF(C133&lt;&gt;"",$Y$1/(D131/100)*(C133/100),""),"")</f>
        <v/>
      </c>
      <c r="AA133" s="672" t="str">
        <f>IFERROR($AA$1/(D133/100)*(C131/100),"")</f>
        <v/>
      </c>
      <c r="AB133" s="38"/>
    </row>
    <row r="134" spans="1:28" ht="12.75" customHeight="1">
      <c r="A134" s="582" t="s">
        <v>552</v>
      </c>
      <c r="B134" s="248">
        <v>558</v>
      </c>
      <c r="C134" s="303">
        <v>43.612000000000002</v>
      </c>
      <c r="D134" s="255">
        <v>44.05</v>
      </c>
      <c r="E134" s="248">
        <v>997</v>
      </c>
      <c r="F134" s="571">
        <v>44.05</v>
      </c>
      <c r="G134" s="310">
        <v>-1.01E-2</v>
      </c>
      <c r="H134" s="240">
        <v>44.5</v>
      </c>
      <c r="I134" s="229">
        <v>44.5</v>
      </c>
      <c r="J134" s="229">
        <v>43.2</v>
      </c>
      <c r="K134" s="260">
        <v>44.5</v>
      </c>
      <c r="L134" s="247">
        <v>11610</v>
      </c>
      <c r="M134" s="233">
        <v>26458</v>
      </c>
      <c r="N134" s="247">
        <v>61</v>
      </c>
      <c r="O134" s="277">
        <v>45385.682372685187</v>
      </c>
      <c r="P134" s="286">
        <v>133</v>
      </c>
      <c r="Q134" s="263">
        <v>0</v>
      </c>
      <c r="R134" s="703">
        <v>0</v>
      </c>
      <c r="S134" s="720">
        <v>0</v>
      </c>
      <c r="T134" s="244">
        <v>0</v>
      </c>
      <c r="U134" s="500"/>
      <c r="V134" s="368">
        <v>0</v>
      </c>
      <c r="W134" s="406">
        <f t="shared" ref="W134" si="59">(V134*X134)</f>
        <v>0</v>
      </c>
      <c r="X134" s="713"/>
      <c r="Y134" s="673">
        <f>IF(D134&lt;&gt;0,($C135*(1-$V$1))-$D134,0)</f>
        <v>-0.14999999999999858</v>
      </c>
      <c r="Z134" s="674">
        <f>IFERROR(IF(C134&lt;&gt;"",$Y$1/(D130/100)*(C134/100),""),"")</f>
        <v>98.663529607423271</v>
      </c>
      <c r="AA134" s="675">
        <f>IFERROR($Z$1/(D134/100)*(C130/100),"")</f>
        <v>98683.314415437009</v>
      </c>
      <c r="AB134" s="38"/>
    </row>
    <row r="135" spans="1:28" ht="12.75" customHeight="1">
      <c r="A135" s="730" t="s">
        <v>243</v>
      </c>
      <c r="B135" s="389">
        <v>5000</v>
      </c>
      <c r="C135" s="354">
        <v>43.9</v>
      </c>
      <c r="D135" s="384">
        <v>44</v>
      </c>
      <c r="E135" s="635">
        <v>191</v>
      </c>
      <c r="F135" s="570">
        <v>44</v>
      </c>
      <c r="G135" s="365">
        <v>-6.7000000000000002E-3</v>
      </c>
      <c r="H135" s="356">
        <v>43.27</v>
      </c>
      <c r="I135" s="357">
        <v>44.289000000000001</v>
      </c>
      <c r="J135" s="357">
        <v>43</v>
      </c>
      <c r="K135" s="366">
        <v>44.3</v>
      </c>
      <c r="L135" s="351">
        <v>84385</v>
      </c>
      <c r="M135" s="359">
        <v>192622</v>
      </c>
      <c r="N135" s="351">
        <v>193</v>
      </c>
      <c r="O135" s="352">
        <v>45385.706076388888</v>
      </c>
      <c r="P135" s="285">
        <v>134</v>
      </c>
      <c r="Q135" s="353">
        <v>0</v>
      </c>
      <c r="R135" s="700">
        <v>0</v>
      </c>
      <c r="S135" s="718">
        <v>0</v>
      </c>
      <c r="T135" s="361">
        <v>0</v>
      </c>
      <c r="U135" s="499"/>
      <c r="V135" s="369">
        <v>0</v>
      </c>
      <c r="W135" s="409">
        <f>V134*(F134/100)</f>
        <v>0</v>
      </c>
      <c r="X135" s="715"/>
      <c r="Y135" s="509">
        <f>IFERROR(INT($Z$1/(F134/100)),"")</f>
        <v>227</v>
      </c>
      <c r="Z135" s="676">
        <f>IFERROR(IF(C135&lt;&gt;"",$Y$1/(D131/100)*(C135/100),""),"")</f>
        <v>99.61119560417994</v>
      </c>
      <c r="AA135" s="677">
        <f>IFERROR($Z$1/(D135/100)*(C131/100),"")</f>
        <v>99022.727272727279</v>
      </c>
      <c r="AB135" s="38"/>
    </row>
    <row r="136" spans="1:28" ht="12.75" customHeight="1">
      <c r="A136" s="732" t="s">
        <v>553</v>
      </c>
      <c r="B136" s="248">
        <v>3466</v>
      </c>
      <c r="C136" s="303">
        <v>58520</v>
      </c>
      <c r="D136" s="255">
        <v>59200</v>
      </c>
      <c r="E136" s="248">
        <v>2316</v>
      </c>
      <c r="F136" s="562">
        <v>58990</v>
      </c>
      <c r="G136" s="307">
        <v>2.3E-3</v>
      </c>
      <c r="H136" s="238">
        <v>59300</v>
      </c>
      <c r="I136" s="230">
        <v>59300</v>
      </c>
      <c r="J136" s="230">
        <v>57800</v>
      </c>
      <c r="K136" s="259">
        <v>58850</v>
      </c>
      <c r="L136" s="251">
        <v>33976633</v>
      </c>
      <c r="M136" s="234">
        <v>57921</v>
      </c>
      <c r="N136" s="251">
        <v>154</v>
      </c>
      <c r="O136" s="275">
        <v>45385.684421296297</v>
      </c>
      <c r="P136" s="286">
        <v>135</v>
      </c>
      <c r="Q136" s="264">
        <v>0</v>
      </c>
      <c r="R136" s="693">
        <v>0</v>
      </c>
      <c r="S136" s="717">
        <v>0</v>
      </c>
      <c r="T136" s="246">
        <v>0</v>
      </c>
      <c r="U136" s="500"/>
      <c r="V136" s="371"/>
      <c r="W136" s="408">
        <f t="shared" ref="W136" si="60">(V136*X136)</f>
        <v>0</v>
      </c>
      <c r="X136" s="716"/>
      <c r="Y136" s="659">
        <f>IF(D136&lt;&gt;0,($C137*(1-$V$1))-$D136,0)</f>
        <v>-200</v>
      </c>
      <c r="Z136" s="678"/>
      <c r="AA136" s="665"/>
      <c r="AB136" s="38"/>
    </row>
    <row r="137" spans="1:28" ht="12.75" customHeight="1">
      <c r="A137" s="583" t="s">
        <v>187</v>
      </c>
      <c r="B137" s="632">
        <v>19</v>
      </c>
      <c r="C137" s="239">
        <v>59000</v>
      </c>
      <c r="D137" s="385">
        <v>59350</v>
      </c>
      <c r="E137" s="640">
        <v>4180</v>
      </c>
      <c r="F137" s="563">
        <v>59000</v>
      </c>
      <c r="G137" s="309">
        <v>-6.0000000000000001E-3</v>
      </c>
      <c r="H137" s="237">
        <v>59400</v>
      </c>
      <c r="I137" s="228">
        <v>59400</v>
      </c>
      <c r="J137" s="228">
        <v>58190</v>
      </c>
      <c r="K137" s="257">
        <v>59360</v>
      </c>
      <c r="L137" s="235">
        <v>182056661</v>
      </c>
      <c r="M137" s="232">
        <v>310898</v>
      </c>
      <c r="N137" s="235">
        <v>290</v>
      </c>
      <c r="O137" s="276">
        <v>45385.706006944441</v>
      </c>
      <c r="P137" s="285">
        <v>136</v>
      </c>
      <c r="Q137" s="262">
        <v>0</v>
      </c>
      <c r="R137" s="692">
        <v>0</v>
      </c>
      <c r="S137" s="719">
        <v>0</v>
      </c>
      <c r="T137" s="245">
        <v>0</v>
      </c>
      <c r="U137" s="499"/>
      <c r="V137" s="370">
        <v>0</v>
      </c>
      <c r="W137" s="403">
        <f>V136*(F136/100)</f>
        <v>0</v>
      </c>
      <c r="X137" s="711"/>
      <c r="Y137" s="507">
        <f>IFERROR(INT($Y$1/(F136/100)),"")</f>
        <v>167</v>
      </c>
      <c r="Z137" s="666"/>
      <c r="AA137" s="667"/>
      <c r="AB137" s="38"/>
    </row>
    <row r="138" spans="1:28" ht="12.75" hidden="1" customHeight="1">
      <c r="A138" s="582" t="s">
        <v>554</v>
      </c>
      <c r="B138" s="248"/>
      <c r="C138" s="303"/>
      <c r="D138" s="255"/>
      <c r="E138" s="248"/>
      <c r="F138" s="571"/>
      <c r="G138" s="310"/>
      <c r="H138" s="240"/>
      <c r="I138" s="229"/>
      <c r="J138" s="229"/>
      <c r="K138" s="260">
        <v>52</v>
      </c>
      <c r="L138" s="247"/>
      <c r="M138" s="233"/>
      <c r="N138" s="247"/>
      <c r="O138" s="277"/>
      <c r="P138" s="286">
        <v>137</v>
      </c>
      <c r="Q138" s="263">
        <v>0</v>
      </c>
      <c r="R138" s="703">
        <v>0</v>
      </c>
      <c r="S138" s="720">
        <v>0</v>
      </c>
      <c r="T138" s="244">
        <v>0</v>
      </c>
      <c r="U138" s="500"/>
      <c r="V138" s="300"/>
      <c r="W138" s="404">
        <f t="shared" ref="W138" si="61">(V138*X138)</f>
        <v>0</v>
      </c>
      <c r="X138" s="716"/>
      <c r="Y138" s="668">
        <f>IF(D138&lt;&gt;0,($C139*(1-$V$1))-$D138,0)</f>
        <v>0</v>
      </c>
      <c r="Z138" s="669" t="str">
        <f>IFERROR(IF(C138&lt;&gt;"",$Y$1/(D136/100)*(C138/100),""),"")</f>
        <v/>
      </c>
      <c r="AA138" s="670" t="str">
        <f>IFERROR($Z$1/(D138/100)*(C136/100),"")</f>
        <v/>
      </c>
      <c r="AB138" s="38"/>
    </row>
    <row r="139" spans="1:28" ht="12.75" hidden="1" customHeight="1">
      <c r="A139" s="583" t="s">
        <v>232</v>
      </c>
      <c r="B139" s="632"/>
      <c r="C139" s="239"/>
      <c r="D139" s="385"/>
      <c r="E139" s="640"/>
      <c r="F139" s="563"/>
      <c r="G139" s="309"/>
      <c r="H139" s="237"/>
      <c r="I139" s="228"/>
      <c r="J139" s="228"/>
      <c r="K139" s="257">
        <v>40</v>
      </c>
      <c r="L139" s="235"/>
      <c r="M139" s="232"/>
      <c r="N139" s="235"/>
      <c r="O139" s="276"/>
      <c r="P139" s="285">
        <v>138</v>
      </c>
      <c r="Q139" s="262">
        <v>0</v>
      </c>
      <c r="R139" s="692">
        <v>0</v>
      </c>
      <c r="S139" s="719">
        <v>0</v>
      </c>
      <c r="T139" s="245">
        <v>0</v>
      </c>
      <c r="U139" s="499"/>
      <c r="V139" s="299">
        <v>0</v>
      </c>
      <c r="W139" s="405">
        <f>V138*(F138/100)</f>
        <v>0</v>
      </c>
      <c r="X139" s="711"/>
      <c r="Y139" s="508" t="str">
        <f>IFERROR(INT($AA$1/(F138/100)),"")</f>
        <v/>
      </c>
      <c r="Z139" s="671" t="str">
        <f>IFERROR(IF(C139&lt;&gt;"",$Y$1/(D137/100)*(C139/100),""),"")</f>
        <v/>
      </c>
      <c r="AA139" s="672" t="str">
        <f>IFERROR($Z$1/(D139/100)*(C137/100),"")</f>
        <v/>
      </c>
      <c r="AB139" s="38"/>
    </row>
    <row r="140" spans="1:28" ht="12.75" customHeight="1">
      <c r="A140" s="582" t="s">
        <v>555</v>
      </c>
      <c r="B140" s="248">
        <v>58</v>
      </c>
      <c r="C140" s="303">
        <v>58.72</v>
      </c>
      <c r="D140" s="255">
        <v>60.4</v>
      </c>
      <c r="E140" s="248">
        <v>80</v>
      </c>
      <c r="F140" s="571">
        <v>59.39</v>
      </c>
      <c r="G140" s="310">
        <v>1.3300000000000001E-2</v>
      </c>
      <c r="H140" s="240">
        <v>59</v>
      </c>
      <c r="I140" s="229">
        <v>61.3</v>
      </c>
      <c r="J140" s="229">
        <v>57.8</v>
      </c>
      <c r="K140" s="260">
        <v>58.61</v>
      </c>
      <c r="L140" s="247">
        <v>34031</v>
      </c>
      <c r="M140" s="233">
        <v>57939</v>
      </c>
      <c r="N140" s="247">
        <v>49</v>
      </c>
      <c r="O140" s="277">
        <v>45385.672268518516</v>
      </c>
      <c r="P140" s="286">
        <v>139</v>
      </c>
      <c r="Q140" s="263">
        <v>0</v>
      </c>
      <c r="R140" s="703">
        <v>0</v>
      </c>
      <c r="S140" s="720">
        <v>0</v>
      </c>
      <c r="T140" s="244">
        <v>0</v>
      </c>
      <c r="U140" s="500"/>
      <c r="V140" s="368">
        <v>0</v>
      </c>
      <c r="W140" s="406">
        <f t="shared" ref="W140" si="62">(V140*X140)</f>
        <v>0</v>
      </c>
      <c r="X140" s="713"/>
      <c r="Y140" s="673">
        <f>IF(D140&lt;&gt;0,($C141*(1-$V$1))-$D140,0)</f>
        <v>-0.89999999999999858</v>
      </c>
      <c r="Z140" s="674">
        <f>IFERROR(IF(C140&lt;&gt;"",$Y$1/(D136/100)*(C140/100),""),"")</f>
        <v>98.128342245989288</v>
      </c>
      <c r="AA140" s="675">
        <f>IFERROR($Z$1/(D140/100)*(C136/100),"")</f>
        <v>96887.417218543065</v>
      </c>
      <c r="AB140" s="38"/>
    </row>
    <row r="141" spans="1:28" ht="12.75" customHeight="1">
      <c r="A141" s="730" t="s">
        <v>233</v>
      </c>
      <c r="B141" s="389">
        <v>3403</v>
      </c>
      <c r="C141" s="354">
        <v>59.5</v>
      </c>
      <c r="D141" s="384">
        <v>60.5</v>
      </c>
      <c r="E141" s="635">
        <v>400</v>
      </c>
      <c r="F141" s="570">
        <v>59.98</v>
      </c>
      <c r="G141" s="365">
        <v>1.67E-2</v>
      </c>
      <c r="H141" s="356">
        <v>59</v>
      </c>
      <c r="I141" s="357">
        <v>61</v>
      </c>
      <c r="J141" s="357">
        <v>57.8</v>
      </c>
      <c r="K141" s="366">
        <v>58.99</v>
      </c>
      <c r="L141" s="351">
        <v>156374</v>
      </c>
      <c r="M141" s="359">
        <v>263935</v>
      </c>
      <c r="N141" s="351">
        <v>90</v>
      </c>
      <c r="O141" s="352">
        <v>45385.701747685183</v>
      </c>
      <c r="P141" s="285">
        <v>140</v>
      </c>
      <c r="Q141" s="353">
        <v>0</v>
      </c>
      <c r="R141" s="700">
        <v>0</v>
      </c>
      <c r="S141" s="718">
        <v>0</v>
      </c>
      <c r="T141" s="361">
        <v>0</v>
      </c>
      <c r="U141" s="499"/>
      <c r="V141" s="369">
        <v>0</v>
      </c>
      <c r="W141" s="409">
        <f>V140*(F140/100)</f>
        <v>0</v>
      </c>
      <c r="X141" s="715"/>
      <c r="Y141" s="509">
        <f>IFERROR(INT($Z$1/(F140/100)),"")</f>
        <v>168</v>
      </c>
      <c r="Z141" s="676">
        <f>IFERROR(IF(C141&lt;&gt;"",$Y$1/(D137/100)*(C141/100),""),"")</f>
        <v>99.180516198207826</v>
      </c>
      <c r="AA141" s="677">
        <f>IFERROR($Z$1/(D141/100)*(C137/100),"")</f>
        <v>97520.661157024806</v>
      </c>
      <c r="AB141" s="38"/>
    </row>
    <row r="142" spans="1:28" ht="12.75" customHeight="1">
      <c r="A142" s="732" t="s">
        <v>556</v>
      </c>
      <c r="B142" s="248">
        <v>2350</v>
      </c>
      <c r="C142" s="303">
        <v>45900</v>
      </c>
      <c r="D142" s="255">
        <v>46000</v>
      </c>
      <c r="E142" s="248">
        <v>635</v>
      </c>
      <c r="F142" s="562">
        <v>46000</v>
      </c>
      <c r="G142" s="307">
        <v>-1.0700000000000001E-2</v>
      </c>
      <c r="H142" s="238">
        <v>46650</v>
      </c>
      <c r="I142" s="230">
        <v>46990</v>
      </c>
      <c r="J142" s="230">
        <v>45015</v>
      </c>
      <c r="K142" s="259">
        <v>46500</v>
      </c>
      <c r="L142" s="251">
        <v>781503881</v>
      </c>
      <c r="M142" s="234">
        <v>1710139</v>
      </c>
      <c r="N142" s="251">
        <v>1556</v>
      </c>
      <c r="O142" s="275">
        <v>45385.687615740739</v>
      </c>
      <c r="P142" s="286">
        <v>141</v>
      </c>
      <c r="Q142" s="264">
        <v>0</v>
      </c>
      <c r="R142" s="693">
        <v>0</v>
      </c>
      <c r="S142" s="717">
        <v>0</v>
      </c>
      <c r="T142" s="246">
        <v>0</v>
      </c>
      <c r="U142" s="500"/>
      <c r="V142" s="371"/>
      <c r="W142" s="408">
        <f t="shared" ref="W142" si="63">(V142*X142)</f>
        <v>0</v>
      </c>
      <c r="X142" s="716"/>
      <c r="Y142" s="659">
        <f>IF(D142&lt;&gt;0,($C143*(1-$V$1))-$D142,0)</f>
        <v>250</v>
      </c>
      <c r="Z142" s="678"/>
      <c r="AA142" s="665"/>
      <c r="AB142" s="38"/>
    </row>
    <row r="143" spans="1:28" ht="12.75" customHeight="1">
      <c r="A143" s="583" t="s">
        <v>164</v>
      </c>
      <c r="B143" s="632">
        <v>26298</v>
      </c>
      <c r="C143" s="239">
        <v>46250</v>
      </c>
      <c r="D143" s="385">
        <v>46295</v>
      </c>
      <c r="E143" s="640">
        <v>99</v>
      </c>
      <c r="F143" s="563">
        <v>46250</v>
      </c>
      <c r="G143" s="309">
        <v>-8.1000000000000013E-3</v>
      </c>
      <c r="H143" s="237">
        <v>46400</v>
      </c>
      <c r="I143" s="228">
        <v>46500</v>
      </c>
      <c r="J143" s="228">
        <v>45500</v>
      </c>
      <c r="K143" s="257">
        <v>46630</v>
      </c>
      <c r="L143" s="235">
        <v>8627058314</v>
      </c>
      <c r="M143" s="232">
        <v>18806513</v>
      </c>
      <c r="N143" s="235">
        <v>2730</v>
      </c>
      <c r="O143" s="276">
        <v>45385.708437499998</v>
      </c>
      <c r="P143" s="285">
        <v>142</v>
      </c>
      <c r="Q143" s="262">
        <v>0</v>
      </c>
      <c r="R143" s="692">
        <v>0</v>
      </c>
      <c r="S143" s="719">
        <v>0</v>
      </c>
      <c r="T143" s="245">
        <v>0</v>
      </c>
      <c r="U143" s="499"/>
      <c r="V143" s="370">
        <v>0</v>
      </c>
      <c r="W143" s="403">
        <f>V142*(F142/100)</f>
        <v>0</v>
      </c>
      <c r="X143" s="711"/>
      <c r="Y143" s="507">
        <f>IFERROR(INT($Y$1/(F142/100)),"")</f>
        <v>215</v>
      </c>
      <c r="Z143" s="666"/>
      <c r="AA143" s="667"/>
      <c r="AB143" s="38"/>
    </row>
    <row r="144" spans="1:28" ht="12.75" hidden="1" customHeight="1">
      <c r="A144" s="582" t="s">
        <v>557</v>
      </c>
      <c r="B144" s="248"/>
      <c r="C144" s="303"/>
      <c r="D144" s="255"/>
      <c r="E144" s="248"/>
      <c r="F144" s="571">
        <v>43.25</v>
      </c>
      <c r="G144" s="310">
        <v>8.1000000000000013E-3</v>
      </c>
      <c r="H144" s="240"/>
      <c r="I144" s="229"/>
      <c r="J144" s="229"/>
      <c r="K144" s="260">
        <v>42.9</v>
      </c>
      <c r="L144" s="247"/>
      <c r="M144" s="233"/>
      <c r="N144" s="247"/>
      <c r="O144" s="277">
        <v>45385.594733796293</v>
      </c>
      <c r="P144" s="286">
        <v>143</v>
      </c>
      <c r="Q144" s="263">
        <v>0</v>
      </c>
      <c r="R144" s="703">
        <v>0</v>
      </c>
      <c r="S144" s="720">
        <v>0</v>
      </c>
      <c r="T144" s="244">
        <v>0</v>
      </c>
      <c r="U144" s="500"/>
      <c r="V144" s="300"/>
      <c r="W144" s="404">
        <f t="shared" ref="W144" si="64">(V144*X144)</f>
        <v>0</v>
      </c>
      <c r="X144" s="716"/>
      <c r="Y144" s="668">
        <f>IF(D144&lt;&gt;0,($C145*(1-$V$1))-$D144,0)</f>
        <v>0</v>
      </c>
      <c r="Z144" s="669" t="str">
        <f>IFERROR(IF(C144&lt;&gt;"",$Y$1/(D142/100)*(C144/100),""),"")</f>
        <v/>
      </c>
      <c r="AA144" s="670" t="str">
        <f>IFERROR($AA$1/(D144/100)*(C142/100),"")</f>
        <v/>
      </c>
      <c r="AB144" s="38"/>
    </row>
    <row r="145" spans="1:32" ht="12.75" hidden="1" customHeight="1">
      <c r="A145" s="583" t="s">
        <v>220</v>
      </c>
      <c r="B145" s="632"/>
      <c r="C145" s="239"/>
      <c r="D145" s="385">
        <v>43.5</v>
      </c>
      <c r="E145" s="640">
        <v>25000</v>
      </c>
      <c r="F145" s="563">
        <v>43.25</v>
      </c>
      <c r="G145" s="309">
        <v>5.7999999999999996E-3</v>
      </c>
      <c r="H145" s="237">
        <v>43.25</v>
      </c>
      <c r="I145" s="228">
        <v>43.25</v>
      </c>
      <c r="J145" s="228">
        <v>43.25</v>
      </c>
      <c r="K145" s="257">
        <v>43</v>
      </c>
      <c r="L145" s="235">
        <v>6965</v>
      </c>
      <c r="M145" s="232">
        <v>16104</v>
      </c>
      <c r="N145" s="235">
        <v>2</v>
      </c>
      <c r="O145" s="276">
        <v>45385.582546296297</v>
      </c>
      <c r="P145" s="285">
        <v>144</v>
      </c>
      <c r="Q145" s="262">
        <v>0</v>
      </c>
      <c r="R145" s="692">
        <v>0</v>
      </c>
      <c r="S145" s="719">
        <v>0</v>
      </c>
      <c r="T145" s="245">
        <v>0</v>
      </c>
      <c r="U145" s="499"/>
      <c r="V145" s="299">
        <v>0</v>
      </c>
      <c r="W145" s="405">
        <f>V144*(F144/100)</f>
        <v>0</v>
      </c>
      <c r="X145" s="711"/>
      <c r="Y145" s="508">
        <f>IFERROR(INT($AA$1/(F144/100)),"")</f>
        <v>231</v>
      </c>
      <c r="Z145" s="671" t="str">
        <f>IFERROR(IF(C145&lt;&gt;"",$Y$1/(D143/100)*(C145/100),""),"")</f>
        <v/>
      </c>
      <c r="AA145" s="672">
        <f>IFERROR($AA$1/(D145/100)*(C143/100),"")</f>
        <v>106321.83908045977</v>
      </c>
      <c r="AB145" s="38"/>
    </row>
    <row r="146" spans="1:32" ht="12.75" customHeight="1">
      <c r="A146" s="582" t="s">
        <v>558</v>
      </c>
      <c r="B146" s="248">
        <v>50000</v>
      </c>
      <c r="C146" s="303">
        <v>46</v>
      </c>
      <c r="D146" s="255">
        <v>46.5</v>
      </c>
      <c r="E146" s="248">
        <v>90</v>
      </c>
      <c r="F146" s="571">
        <v>46.499000000000002</v>
      </c>
      <c r="G146" s="310">
        <v>1.03E-2</v>
      </c>
      <c r="H146" s="240">
        <v>46.3</v>
      </c>
      <c r="I146" s="229">
        <v>47</v>
      </c>
      <c r="J146" s="229">
        <v>45.112000000000002</v>
      </c>
      <c r="K146" s="260">
        <v>46.021000000000001</v>
      </c>
      <c r="L146" s="247">
        <v>370939</v>
      </c>
      <c r="M146" s="233">
        <v>812819</v>
      </c>
      <c r="N146" s="247">
        <v>510</v>
      </c>
      <c r="O146" s="277">
        <v>45385.679965277777</v>
      </c>
      <c r="P146" s="286">
        <v>145</v>
      </c>
      <c r="Q146" s="263">
        <v>0</v>
      </c>
      <c r="R146" s="703">
        <v>0</v>
      </c>
      <c r="S146" s="720">
        <v>0</v>
      </c>
      <c r="T146" s="244">
        <v>0</v>
      </c>
      <c r="U146" s="500"/>
      <c r="V146" s="368"/>
      <c r="W146" s="406">
        <f t="shared" ref="W146" si="65">(V146*X146)</f>
        <v>0</v>
      </c>
      <c r="X146" s="713"/>
      <c r="Y146" s="673">
        <f>IF(D146&lt;&gt;0,($C147*(1-$V$1))-$D146,0)</f>
        <v>-0.20000000000000284</v>
      </c>
      <c r="Z146" s="674">
        <f>IFERROR(IF(C146&lt;&gt;"",$Y$1/(D142/100)*(C146/100),""),"")</f>
        <v>98.930481283422452</v>
      </c>
      <c r="AA146" s="675">
        <f>IFERROR($Z$1/(D146/100)*(C142/100),"")</f>
        <v>98709.677419354834</v>
      </c>
      <c r="AB146" s="38"/>
    </row>
    <row r="147" spans="1:32" ht="12.75" customHeight="1">
      <c r="A147" s="730" t="s">
        <v>221</v>
      </c>
      <c r="B147" s="389">
        <v>3467</v>
      </c>
      <c r="C147" s="354">
        <v>46.3</v>
      </c>
      <c r="D147" s="384">
        <v>46.7</v>
      </c>
      <c r="E147" s="635">
        <v>17936</v>
      </c>
      <c r="F147" s="570">
        <v>46.7</v>
      </c>
      <c r="G147" s="365">
        <v>8.6E-3</v>
      </c>
      <c r="H147" s="356">
        <v>45.3</v>
      </c>
      <c r="I147" s="357">
        <v>46.85</v>
      </c>
      <c r="J147" s="357">
        <v>45.15</v>
      </c>
      <c r="K147" s="366">
        <v>46.298999999999999</v>
      </c>
      <c r="L147" s="351">
        <v>843983</v>
      </c>
      <c r="M147" s="359">
        <v>1847266</v>
      </c>
      <c r="N147" s="351">
        <v>626</v>
      </c>
      <c r="O147" s="352">
        <v>45385.708472222221</v>
      </c>
      <c r="P147" s="285">
        <v>146</v>
      </c>
      <c r="Q147" s="353">
        <v>0</v>
      </c>
      <c r="R147" s="700">
        <v>0</v>
      </c>
      <c r="S147" s="718">
        <v>0</v>
      </c>
      <c r="T147" s="361">
        <v>0</v>
      </c>
      <c r="U147" s="499"/>
      <c r="V147" s="369">
        <v>0</v>
      </c>
      <c r="W147" s="409">
        <f>V146*(F146/100)</f>
        <v>0</v>
      </c>
      <c r="X147" s="715"/>
      <c r="Y147" s="509">
        <f>IFERROR(INT($Z$1/(F146/100)),"")</f>
        <v>215</v>
      </c>
      <c r="Z147" s="676">
        <f>IFERROR(IF(C147&lt;&gt;"",$Y$1/(D143/100)*(C147/100),""),"")</f>
        <v>98.941166074575207</v>
      </c>
      <c r="AA147" s="677">
        <f>IFERROR($Z$1/(D147/100)*(C143/100),"")</f>
        <v>99036.402569593134</v>
      </c>
      <c r="AB147" s="38"/>
    </row>
    <row r="148" spans="1:32" ht="12.75" customHeight="1">
      <c r="A148" s="732" t="s">
        <v>562</v>
      </c>
      <c r="B148" s="248">
        <v>1947</v>
      </c>
      <c r="C148" s="303">
        <v>51350</v>
      </c>
      <c r="D148" s="255">
        <v>52500</v>
      </c>
      <c r="E148" s="248">
        <v>416</v>
      </c>
      <c r="F148" s="562">
        <v>51820</v>
      </c>
      <c r="G148" s="307">
        <v>5.4000000000000003E-3</v>
      </c>
      <c r="H148" s="238">
        <v>50950</v>
      </c>
      <c r="I148" s="230">
        <v>52120</v>
      </c>
      <c r="J148" s="230">
        <v>50360</v>
      </c>
      <c r="K148" s="259">
        <v>51540</v>
      </c>
      <c r="L148" s="251">
        <v>80280997</v>
      </c>
      <c r="M148" s="234">
        <v>156258</v>
      </c>
      <c r="N148" s="251">
        <v>226</v>
      </c>
      <c r="O148" s="275">
        <v>45385.68445601852</v>
      </c>
      <c r="P148" s="286">
        <v>147</v>
      </c>
      <c r="Q148" s="264">
        <v>0</v>
      </c>
      <c r="R148" s="693">
        <v>0</v>
      </c>
      <c r="S148" s="717">
        <v>0</v>
      </c>
      <c r="T148" s="246">
        <v>0</v>
      </c>
      <c r="U148" s="500"/>
      <c r="V148" s="371">
        <v>0</v>
      </c>
      <c r="W148" s="408">
        <f t="shared" ref="W148" si="66">(V148*X148)</f>
        <v>0</v>
      </c>
      <c r="X148" s="716"/>
      <c r="Y148" s="659">
        <f>IF(D148&lt;&gt;0,($C149*(1-$V$1))-$D148,0)</f>
        <v>-890</v>
      </c>
      <c r="Z148" s="678"/>
      <c r="AA148" s="665"/>
      <c r="AB148" s="38"/>
    </row>
    <row r="149" spans="1:32" ht="12.75" customHeight="1">
      <c r="A149" s="583" t="s">
        <v>190</v>
      </c>
      <c r="B149" s="632">
        <v>21784</v>
      </c>
      <c r="C149" s="239">
        <v>51610</v>
      </c>
      <c r="D149" s="385">
        <v>52190</v>
      </c>
      <c r="E149" s="640">
        <v>760</v>
      </c>
      <c r="F149" s="563">
        <v>52190</v>
      </c>
      <c r="G149" s="309">
        <v>3.2000000000000002E-3</v>
      </c>
      <c r="H149" s="237">
        <v>52000</v>
      </c>
      <c r="I149" s="228">
        <v>53000</v>
      </c>
      <c r="J149" s="228">
        <v>51000</v>
      </c>
      <c r="K149" s="257">
        <v>52020</v>
      </c>
      <c r="L149" s="235">
        <v>1172561253</v>
      </c>
      <c r="M149" s="232">
        <v>2274685</v>
      </c>
      <c r="N149" s="235">
        <v>544</v>
      </c>
      <c r="O149" s="276">
        <v>45385.708425925928</v>
      </c>
      <c r="P149" s="285">
        <v>148</v>
      </c>
      <c r="Q149" s="262">
        <v>0</v>
      </c>
      <c r="R149" s="692">
        <v>0</v>
      </c>
      <c r="S149" s="719">
        <v>0</v>
      </c>
      <c r="T149" s="245">
        <v>0</v>
      </c>
      <c r="U149" s="499"/>
      <c r="V149" s="370">
        <v>0</v>
      </c>
      <c r="W149" s="403">
        <f>V148*(F148/100)</f>
        <v>0</v>
      </c>
      <c r="X149" s="711"/>
      <c r="Y149" s="507">
        <f>IFERROR(INT($Y$1/(F148/100)),"")</f>
        <v>190</v>
      </c>
      <c r="Z149" s="666"/>
      <c r="AA149" s="667"/>
      <c r="AB149" s="38"/>
    </row>
    <row r="150" spans="1:32" ht="12.75" hidden="1" customHeight="1">
      <c r="A150" s="582" t="s">
        <v>563</v>
      </c>
      <c r="B150" s="248"/>
      <c r="C150" s="303"/>
      <c r="D150" s="255"/>
      <c r="E150" s="248"/>
      <c r="F150" s="571">
        <v>48.35</v>
      </c>
      <c r="G150" s="310">
        <v>0.15109999999999998</v>
      </c>
      <c r="H150" s="240">
        <v>48.35</v>
      </c>
      <c r="I150" s="229">
        <v>48.35</v>
      </c>
      <c r="J150" s="229">
        <v>48.35</v>
      </c>
      <c r="K150" s="260">
        <v>42</v>
      </c>
      <c r="L150" s="247">
        <v>1064</v>
      </c>
      <c r="M150" s="233">
        <v>2200</v>
      </c>
      <c r="N150" s="247">
        <v>1</v>
      </c>
      <c r="O150" s="277">
        <v>45385.677337962959</v>
      </c>
      <c r="P150" s="286">
        <v>149</v>
      </c>
      <c r="Q150" s="263">
        <v>0</v>
      </c>
      <c r="R150" s="703">
        <v>0</v>
      </c>
      <c r="S150" s="720">
        <v>0</v>
      </c>
      <c r="T150" s="244">
        <v>0</v>
      </c>
      <c r="U150" s="500"/>
      <c r="V150" s="300"/>
      <c r="W150" s="404">
        <f t="shared" ref="W150" si="67">(V150*X150)</f>
        <v>0</v>
      </c>
      <c r="X150" s="716"/>
      <c r="Y150" s="668">
        <f>IF(D150&lt;&gt;0,($C151*(1-$V$1))-$D150,0)</f>
        <v>0</v>
      </c>
      <c r="Z150" s="669" t="str">
        <f>IFERROR(IF(C150&lt;&gt;"",$Y$1/(D148/100)*(C150/100),""),"")</f>
        <v/>
      </c>
      <c r="AA150" s="670" t="str">
        <f>IFERROR($AA$1/(D150/100)*(C148/100),"")</f>
        <v/>
      </c>
      <c r="AB150" s="38"/>
    </row>
    <row r="151" spans="1:32" ht="12.75" hidden="1" customHeight="1">
      <c r="A151" s="583" t="s">
        <v>234</v>
      </c>
      <c r="B151" s="632"/>
      <c r="C151" s="239"/>
      <c r="D151" s="385"/>
      <c r="E151" s="640"/>
      <c r="F151" s="563"/>
      <c r="G151" s="309"/>
      <c r="H151" s="237"/>
      <c r="I151" s="228"/>
      <c r="J151" s="228"/>
      <c r="K151" s="257">
        <v>40.375</v>
      </c>
      <c r="L151" s="235"/>
      <c r="M151" s="232"/>
      <c r="N151" s="235"/>
      <c r="O151" s="276"/>
      <c r="P151" s="285">
        <v>150</v>
      </c>
      <c r="Q151" s="262">
        <v>0</v>
      </c>
      <c r="R151" s="692">
        <v>0</v>
      </c>
      <c r="S151" s="719">
        <v>0</v>
      </c>
      <c r="T151" s="245">
        <v>0</v>
      </c>
      <c r="U151" s="499"/>
      <c r="V151" s="299">
        <v>0</v>
      </c>
      <c r="W151" s="405">
        <f>V150*(F150/100)</f>
        <v>0</v>
      </c>
      <c r="X151" s="711"/>
      <c r="Y151" s="508">
        <f>IFERROR(INT($AA$1/(F150/100)),"")</f>
        <v>206</v>
      </c>
      <c r="Z151" s="671" t="str">
        <f>IFERROR(IF(C151&lt;&gt;"",$Y$1/(D149/100)*(C151/100),""),"")</f>
        <v/>
      </c>
      <c r="AA151" s="672" t="str">
        <f>IFERROR($AA$1/(D151/100)*(C149/100),"")</f>
        <v/>
      </c>
      <c r="AB151" s="38"/>
    </row>
    <row r="152" spans="1:32" ht="12.75" customHeight="1">
      <c r="A152" s="582" t="s">
        <v>564</v>
      </c>
      <c r="B152" s="248">
        <v>2935</v>
      </c>
      <c r="C152" s="303">
        <v>51.1</v>
      </c>
      <c r="D152" s="255">
        <v>52.6</v>
      </c>
      <c r="E152" s="248">
        <v>80</v>
      </c>
      <c r="F152" s="571">
        <v>51.01</v>
      </c>
      <c r="G152" s="310">
        <v>-1.9E-2</v>
      </c>
      <c r="H152" s="240">
        <v>50.3</v>
      </c>
      <c r="I152" s="229">
        <v>52.02</v>
      </c>
      <c r="J152" s="229">
        <v>50.3</v>
      </c>
      <c r="K152" s="260">
        <v>52</v>
      </c>
      <c r="L152" s="247">
        <v>67847</v>
      </c>
      <c r="M152" s="233">
        <v>131647</v>
      </c>
      <c r="N152" s="247">
        <v>165</v>
      </c>
      <c r="O152" s="277">
        <v>45385.659131944441</v>
      </c>
      <c r="P152" s="286">
        <v>151</v>
      </c>
      <c r="Q152" s="263">
        <v>0</v>
      </c>
      <c r="R152" s="703">
        <v>0</v>
      </c>
      <c r="S152" s="720">
        <v>0</v>
      </c>
      <c r="T152" s="244">
        <v>0</v>
      </c>
      <c r="U152" s="500"/>
      <c r="V152" s="368">
        <v>0</v>
      </c>
      <c r="W152" s="406">
        <f t="shared" ref="W152" si="68">(V152*X152)</f>
        <v>0</v>
      </c>
      <c r="X152" s="713"/>
      <c r="Y152" s="673">
        <f>IF(D152&lt;&gt;0,($C153*(1-$V$1))-$D152,0)</f>
        <v>-0.49000000000000199</v>
      </c>
      <c r="Z152" s="674">
        <f>IFERROR(IF(C152&lt;&gt;"",$Y$1/(D148/100)*(C152/100),""),"")</f>
        <v>96.292335115864518</v>
      </c>
      <c r="AA152" s="675">
        <f>IFERROR($Z$1/(D152/100)*(C148/100),"")</f>
        <v>97623.574144486687</v>
      </c>
      <c r="AB152" s="38"/>
    </row>
    <row r="153" spans="1:32" ht="12.75" customHeight="1">
      <c r="A153" s="730" t="s">
        <v>235</v>
      </c>
      <c r="B153" s="389">
        <v>1000</v>
      </c>
      <c r="C153" s="354">
        <v>52.11</v>
      </c>
      <c r="D153" s="384">
        <v>52.45</v>
      </c>
      <c r="E153" s="635">
        <v>5806</v>
      </c>
      <c r="F153" s="570">
        <v>52.45</v>
      </c>
      <c r="G153" s="365">
        <v>1.84E-2</v>
      </c>
      <c r="H153" s="356">
        <v>50</v>
      </c>
      <c r="I153" s="357">
        <v>52.5</v>
      </c>
      <c r="J153" s="357">
        <v>50</v>
      </c>
      <c r="K153" s="366">
        <v>51.5</v>
      </c>
      <c r="L153" s="351">
        <v>178866</v>
      </c>
      <c r="M153" s="359">
        <v>345548</v>
      </c>
      <c r="N153" s="351">
        <v>302</v>
      </c>
      <c r="O153" s="352">
        <v>45385.705509259256</v>
      </c>
      <c r="P153" s="285">
        <v>152</v>
      </c>
      <c r="Q153" s="353">
        <v>0</v>
      </c>
      <c r="R153" s="700">
        <v>0</v>
      </c>
      <c r="S153" s="718">
        <v>0</v>
      </c>
      <c r="T153" s="361">
        <v>0</v>
      </c>
      <c r="U153" s="499"/>
      <c r="V153" s="369">
        <v>0</v>
      </c>
      <c r="W153" s="409">
        <f>V152*(F152/100)</f>
        <v>0</v>
      </c>
      <c r="X153" s="715"/>
      <c r="Y153" s="509">
        <f>IFERROR(INT($Z$1/(F152/100)),"")</f>
        <v>196</v>
      </c>
      <c r="Z153" s="676">
        <f>IFERROR(IF(C153&lt;&gt;"",$Y$1/(D149/100)*(C153/100),""),"")</f>
        <v>98.778834636504001</v>
      </c>
      <c r="AA153" s="677">
        <f>IFERROR($Z$1/(D153/100)*(C149/100),"")</f>
        <v>98398.47473784555</v>
      </c>
      <c r="AB153" s="38"/>
    </row>
    <row r="154" spans="1:32" ht="12.75" customHeight="1">
      <c r="A154" s="732" t="s">
        <v>559</v>
      </c>
      <c r="B154" s="248">
        <v>1248</v>
      </c>
      <c r="C154" s="303">
        <v>44210</v>
      </c>
      <c r="D154" s="255">
        <v>44700</v>
      </c>
      <c r="E154" s="248">
        <v>20</v>
      </c>
      <c r="F154" s="562">
        <v>44400</v>
      </c>
      <c r="G154" s="307">
        <v>-7.000000000000001E-4</v>
      </c>
      <c r="H154" s="238">
        <v>46500</v>
      </c>
      <c r="I154" s="230">
        <v>46500</v>
      </c>
      <c r="J154" s="230">
        <v>44005</v>
      </c>
      <c r="K154" s="259">
        <v>44435</v>
      </c>
      <c r="L154" s="251">
        <v>84367265</v>
      </c>
      <c r="M154" s="234">
        <v>189539</v>
      </c>
      <c r="N154" s="251">
        <v>183</v>
      </c>
      <c r="O154" s="275">
        <v>45385.687719907408</v>
      </c>
      <c r="P154" s="286">
        <v>153</v>
      </c>
      <c r="Q154" s="264"/>
      <c r="R154" s="693">
        <v>0</v>
      </c>
      <c r="S154" s="717">
        <v>0</v>
      </c>
      <c r="T154" s="246">
        <v>0</v>
      </c>
      <c r="U154" s="500"/>
      <c r="V154" s="371">
        <v>0</v>
      </c>
      <c r="W154" s="408">
        <f t="shared" ref="W154" si="69">(V154*X154)</f>
        <v>0</v>
      </c>
      <c r="X154" s="716"/>
      <c r="Y154" s="659">
        <f>IF(D154&lt;&gt;0,($C155*(1-$V$1))-$D154,0)</f>
        <v>-190</v>
      </c>
      <c r="Z154" s="678"/>
      <c r="AA154" s="665"/>
      <c r="AB154" s="38"/>
      <c r="AC154" s="367">
        <v>28</v>
      </c>
      <c r="AE154" s="47">
        <v>440</v>
      </c>
      <c r="AF154" s="47">
        <f>AC154*AE154</f>
        <v>12320</v>
      </c>
    </row>
    <row r="155" spans="1:32" ht="12.75" customHeight="1">
      <c r="A155" s="583" t="s">
        <v>188</v>
      </c>
      <c r="B155" s="632">
        <v>125</v>
      </c>
      <c r="C155" s="239">
        <v>44510</v>
      </c>
      <c r="D155" s="385">
        <v>44690</v>
      </c>
      <c r="E155" s="640">
        <v>5382</v>
      </c>
      <c r="F155" s="563">
        <v>44690</v>
      </c>
      <c r="G155" s="309">
        <v>-1.23E-2</v>
      </c>
      <c r="H155" s="237">
        <v>45300</v>
      </c>
      <c r="I155" s="228">
        <v>45305</v>
      </c>
      <c r="J155" s="228">
        <v>43915</v>
      </c>
      <c r="K155" s="257">
        <v>45250</v>
      </c>
      <c r="L155" s="235">
        <v>182357702</v>
      </c>
      <c r="M155" s="232">
        <v>409485</v>
      </c>
      <c r="N155" s="235">
        <v>406</v>
      </c>
      <c r="O155" s="276">
        <v>45385.705034722225</v>
      </c>
      <c r="P155" s="285">
        <v>154</v>
      </c>
      <c r="Q155" s="262"/>
      <c r="R155" s="692">
        <v>0</v>
      </c>
      <c r="S155" s="719">
        <v>0</v>
      </c>
      <c r="T155" s="245">
        <v>0</v>
      </c>
      <c r="U155" s="499"/>
      <c r="V155" s="370">
        <v>0</v>
      </c>
      <c r="W155" s="403">
        <f>V154*(F154/100)</f>
        <v>0</v>
      </c>
      <c r="X155" s="711"/>
      <c r="Y155" s="507">
        <f>IFERROR(INT($Y$1/(F154/100)),"")</f>
        <v>222</v>
      </c>
      <c r="Z155" s="666"/>
      <c r="AA155" s="667"/>
      <c r="AB155" s="38"/>
      <c r="AC155" s="367"/>
      <c r="AF155" s="47">
        <f t="shared" ref="AF155:AF157" si="70">AC155*AE155</f>
        <v>0</v>
      </c>
    </row>
    <row r="156" spans="1:32" ht="12.75" hidden="1" customHeight="1">
      <c r="A156" s="582" t="s">
        <v>560</v>
      </c>
      <c r="B156" s="248"/>
      <c r="C156" s="303"/>
      <c r="D156" s="255"/>
      <c r="E156" s="248"/>
      <c r="F156" s="571"/>
      <c r="G156" s="310"/>
      <c r="H156" s="240"/>
      <c r="I156" s="229"/>
      <c r="J156" s="229"/>
      <c r="K156" s="260">
        <v>36</v>
      </c>
      <c r="L156" s="247"/>
      <c r="M156" s="233"/>
      <c r="N156" s="247"/>
      <c r="O156" s="277"/>
      <c r="P156" s="286">
        <v>155</v>
      </c>
      <c r="Q156" s="263"/>
      <c r="R156" s="703">
        <v>0</v>
      </c>
      <c r="S156" s="720">
        <v>0</v>
      </c>
      <c r="T156" s="244">
        <v>0</v>
      </c>
      <c r="U156" s="500"/>
      <c r="V156" s="300"/>
      <c r="W156" s="404">
        <f t="shared" ref="W156" si="71">(V156*X156)</f>
        <v>0</v>
      </c>
      <c r="X156" s="716"/>
      <c r="Y156" s="668">
        <f>IF(D156&lt;&gt;0,($C157*(1-$V$1))-$D156,0)</f>
        <v>0</v>
      </c>
      <c r="Z156" s="669" t="str">
        <f>IFERROR(IF(C156&lt;&gt;"",$Y$1/(D154/100)*(C156/100),""),"")</f>
        <v/>
      </c>
      <c r="AA156" s="670" t="str">
        <f>IFERROR($AA$1/(D156/100)*(C154/100),"")</f>
        <v/>
      </c>
      <c r="AB156" s="38"/>
      <c r="AC156" s="367"/>
      <c r="AF156" s="47">
        <f t="shared" si="70"/>
        <v>0</v>
      </c>
    </row>
    <row r="157" spans="1:32" ht="12.75" hidden="1" customHeight="1">
      <c r="A157" s="583" t="s">
        <v>236</v>
      </c>
      <c r="B157" s="632"/>
      <c r="C157" s="239"/>
      <c r="D157" s="385"/>
      <c r="E157" s="640"/>
      <c r="F157" s="563"/>
      <c r="G157" s="309"/>
      <c r="H157" s="237"/>
      <c r="I157" s="228"/>
      <c r="J157" s="228"/>
      <c r="K157" s="257">
        <v>27.25</v>
      </c>
      <c r="L157" s="235"/>
      <c r="M157" s="232"/>
      <c r="N157" s="235"/>
      <c r="O157" s="276"/>
      <c r="P157" s="285">
        <v>156</v>
      </c>
      <c r="Q157" s="262"/>
      <c r="R157" s="692">
        <v>0</v>
      </c>
      <c r="S157" s="719">
        <v>0</v>
      </c>
      <c r="T157" s="245">
        <v>0</v>
      </c>
      <c r="U157" s="499"/>
      <c r="V157" s="299">
        <v>0</v>
      </c>
      <c r="W157" s="405">
        <f>V156*(F156/100)</f>
        <v>0</v>
      </c>
      <c r="X157" s="711"/>
      <c r="Y157" s="508" t="str">
        <f>IFERROR(INT($AA$1/(F156/100)),"")</f>
        <v/>
      </c>
      <c r="Z157" s="671" t="str">
        <f>IFERROR(IF(C157&lt;&gt;"",$Y$1/(D155/100)*(C157/100),""),"")</f>
        <v/>
      </c>
      <c r="AA157" s="672" t="str">
        <f>IFERROR($AA$1/(D157/100)*(C155/100),"")</f>
        <v/>
      </c>
      <c r="AB157" s="38"/>
      <c r="AC157" s="372"/>
      <c r="AD157" s="372"/>
      <c r="AE157" s="372"/>
      <c r="AF157" s="372">
        <f t="shared" si="70"/>
        <v>0</v>
      </c>
    </row>
    <row r="158" spans="1:32" ht="12.75" customHeight="1">
      <c r="A158" s="582" t="s">
        <v>561</v>
      </c>
      <c r="B158" s="248">
        <v>2237</v>
      </c>
      <c r="C158" s="303">
        <v>44.7</v>
      </c>
      <c r="D158" s="255">
        <v>45.31</v>
      </c>
      <c r="E158" s="248">
        <v>100</v>
      </c>
      <c r="F158" s="571">
        <v>45.31</v>
      </c>
      <c r="G158" s="310">
        <v>1.09E-2</v>
      </c>
      <c r="H158" s="240">
        <v>43.5</v>
      </c>
      <c r="I158" s="229">
        <v>46</v>
      </c>
      <c r="J158" s="229">
        <v>43.5</v>
      </c>
      <c r="K158" s="260">
        <v>44.817999999999998</v>
      </c>
      <c r="L158" s="247">
        <v>29972</v>
      </c>
      <c r="M158" s="233">
        <v>66803</v>
      </c>
      <c r="N158" s="247">
        <v>68</v>
      </c>
      <c r="O158" s="277">
        <v>45385.687754629631</v>
      </c>
      <c r="P158" s="286">
        <v>157</v>
      </c>
      <c r="Q158" s="263"/>
      <c r="R158" s="703">
        <v>0</v>
      </c>
      <c r="S158" s="720">
        <v>0</v>
      </c>
      <c r="T158" s="244">
        <v>0</v>
      </c>
      <c r="U158" s="500"/>
      <c r="V158" s="368"/>
      <c r="W158" s="406">
        <f t="shared" ref="W158" si="72">(V158*X158)</f>
        <v>0</v>
      </c>
      <c r="X158" s="713"/>
      <c r="Y158" s="673">
        <f>IF(D158&lt;&gt;0,($C159*(1-$V$1))-$D158,0)</f>
        <v>-0.55000000000000426</v>
      </c>
      <c r="Z158" s="674">
        <f>IFERROR(IF(C158&lt;&gt;"",$Y$1/(D154/100)*(C158/100),""),"")</f>
        <v>98.930481283422438</v>
      </c>
      <c r="AA158" s="675">
        <f>IFERROR($Z$1/(D158/100)*(C154/100),"")</f>
        <v>97572.279849922765</v>
      </c>
      <c r="AB158" s="38"/>
      <c r="AC158" s="376">
        <f>SUM(AC154:AC157)</f>
        <v>28</v>
      </c>
      <c r="AD158" s="377"/>
      <c r="AE158" s="377" t="s">
        <v>588</v>
      </c>
      <c r="AF158" s="377">
        <f>SUM(AF154:AF157)</f>
        <v>12320</v>
      </c>
    </row>
    <row r="159" spans="1:32" ht="12.75" customHeight="1">
      <c r="A159" s="730" t="s">
        <v>237</v>
      </c>
      <c r="B159" s="389">
        <v>1034</v>
      </c>
      <c r="C159" s="354">
        <v>44.76</v>
      </c>
      <c r="D159" s="384">
        <v>45</v>
      </c>
      <c r="E159" s="635">
        <v>3470</v>
      </c>
      <c r="F159" s="570">
        <v>45</v>
      </c>
      <c r="G159" s="365">
        <v>2.2000000000000001E-3</v>
      </c>
      <c r="H159" s="356">
        <v>45</v>
      </c>
      <c r="I159" s="357">
        <v>45.04</v>
      </c>
      <c r="J159" s="357">
        <v>44</v>
      </c>
      <c r="K159" s="366">
        <v>44.9</v>
      </c>
      <c r="L159" s="351">
        <v>140571</v>
      </c>
      <c r="M159" s="359">
        <v>313670</v>
      </c>
      <c r="N159" s="351">
        <v>173</v>
      </c>
      <c r="O159" s="352">
        <v>45385.697824074072</v>
      </c>
      <c r="P159" s="285">
        <v>158</v>
      </c>
      <c r="Q159" s="353"/>
      <c r="R159" s="700">
        <v>0</v>
      </c>
      <c r="S159" s="718">
        <v>0</v>
      </c>
      <c r="T159" s="361">
        <v>0</v>
      </c>
      <c r="U159" s="499"/>
      <c r="V159" s="369">
        <v>0</v>
      </c>
      <c r="W159" s="409">
        <f>V158*(F158/100)</f>
        <v>0</v>
      </c>
      <c r="X159" s="715"/>
      <c r="Y159" s="509">
        <f>IFERROR(INT($Z$1/(F158/100)),"")</f>
        <v>220</v>
      </c>
      <c r="Z159" s="676">
        <f>IFERROR(IF(C159&lt;&gt;"",$Y$1/(D155/100)*(C159/100),""),"")</f>
        <v>99.085440640993269</v>
      </c>
      <c r="AA159" s="677">
        <f>IFERROR($Z$1/(D159/100)*(C155/100),"")</f>
        <v>98911.111111111124</v>
      </c>
      <c r="AB159" s="38"/>
      <c r="AC159" s="768">
        <f>AF158/AC158</f>
        <v>440</v>
      </c>
      <c r="AD159" s="768"/>
      <c r="AE159" s="768"/>
      <c r="AF159" s="768"/>
    </row>
    <row r="160" spans="1:32" ht="12.75" customHeight="1">
      <c r="A160" s="732" t="s">
        <v>565</v>
      </c>
      <c r="B160" s="248">
        <v>433</v>
      </c>
      <c r="C160" s="303">
        <v>49250</v>
      </c>
      <c r="D160" s="255">
        <v>49900</v>
      </c>
      <c r="E160" s="248">
        <v>1000</v>
      </c>
      <c r="F160" s="562">
        <v>49580</v>
      </c>
      <c r="G160" s="307">
        <v>6.6199999999999995E-2</v>
      </c>
      <c r="H160" s="238">
        <v>50000</v>
      </c>
      <c r="I160" s="230">
        <v>50000</v>
      </c>
      <c r="J160" s="230">
        <v>47550</v>
      </c>
      <c r="K160" s="259">
        <v>46500</v>
      </c>
      <c r="L160" s="251">
        <v>15081821</v>
      </c>
      <c r="M160" s="234">
        <v>30655</v>
      </c>
      <c r="N160" s="251">
        <v>79</v>
      </c>
      <c r="O160" s="275">
        <v>45385.687708333331</v>
      </c>
      <c r="P160" s="286">
        <v>159</v>
      </c>
      <c r="Q160" s="264"/>
      <c r="R160" s="693">
        <v>0</v>
      </c>
      <c r="S160" s="717">
        <v>0</v>
      </c>
      <c r="T160" s="246">
        <v>0</v>
      </c>
      <c r="U160" s="500"/>
      <c r="V160" s="371"/>
      <c r="W160" s="408">
        <f t="shared" ref="W160" si="73">(V160*X160)</f>
        <v>0</v>
      </c>
      <c r="X160" s="716"/>
      <c r="Y160" s="659">
        <f>IF(D160&lt;&gt;0,($C161*(1-$V$1))-$D160,0)</f>
        <v>-760</v>
      </c>
      <c r="Z160" s="678"/>
      <c r="AA160" s="665"/>
      <c r="AB160" s="38"/>
    </row>
    <row r="161" spans="1:28" ht="12.75" customHeight="1">
      <c r="A161" s="583" t="s">
        <v>189</v>
      </c>
      <c r="B161" s="632">
        <v>809</v>
      </c>
      <c r="C161" s="239">
        <v>49140</v>
      </c>
      <c r="D161" s="385">
        <v>49570</v>
      </c>
      <c r="E161" s="640">
        <v>1164</v>
      </c>
      <c r="F161" s="563">
        <v>49570</v>
      </c>
      <c r="G161" s="309">
        <v>-8.8999999999999999E-3</v>
      </c>
      <c r="H161" s="237">
        <v>50100</v>
      </c>
      <c r="I161" s="228">
        <v>50100</v>
      </c>
      <c r="J161" s="228">
        <v>48550</v>
      </c>
      <c r="K161" s="257">
        <v>50020</v>
      </c>
      <c r="L161" s="235">
        <v>29404687</v>
      </c>
      <c r="M161" s="232">
        <v>59544</v>
      </c>
      <c r="N161" s="235">
        <v>179</v>
      </c>
      <c r="O161" s="276">
        <v>45385.704513888886</v>
      </c>
      <c r="P161" s="285">
        <v>160</v>
      </c>
      <c r="Q161" s="262"/>
      <c r="R161" s="692">
        <v>0</v>
      </c>
      <c r="S161" s="719">
        <v>0</v>
      </c>
      <c r="T161" s="245">
        <v>0</v>
      </c>
      <c r="U161" s="499"/>
      <c r="V161" s="370">
        <v>0</v>
      </c>
      <c r="W161" s="403">
        <f>V160*(F160/100)</f>
        <v>0</v>
      </c>
      <c r="X161" s="711"/>
      <c r="Y161" s="507">
        <f>IFERROR(INT($Y$1/(F160/100)),"")</f>
        <v>199</v>
      </c>
      <c r="Z161" s="666"/>
      <c r="AA161" s="667"/>
      <c r="AB161" s="38"/>
    </row>
    <row r="162" spans="1:28" ht="12.75" hidden="1" customHeight="1">
      <c r="A162" s="582" t="s">
        <v>566</v>
      </c>
      <c r="B162" s="248"/>
      <c r="C162" s="303"/>
      <c r="D162" s="255"/>
      <c r="E162" s="248"/>
      <c r="F162" s="571"/>
      <c r="G162" s="310"/>
      <c r="H162" s="240"/>
      <c r="I162" s="229"/>
      <c r="J162" s="229"/>
      <c r="K162" s="260">
        <v>21.007999999999999</v>
      </c>
      <c r="L162" s="247"/>
      <c r="M162" s="233"/>
      <c r="N162" s="247"/>
      <c r="O162" s="277"/>
      <c r="P162" s="286">
        <v>161</v>
      </c>
      <c r="Q162" s="263"/>
      <c r="R162" s="703">
        <v>0</v>
      </c>
      <c r="S162" s="720">
        <v>0</v>
      </c>
      <c r="T162" s="244">
        <v>0</v>
      </c>
      <c r="U162" s="500"/>
      <c r="V162" s="300"/>
      <c r="W162" s="404">
        <f t="shared" ref="W162" si="74">(V162*X162)</f>
        <v>0</v>
      </c>
      <c r="X162" s="716"/>
      <c r="Y162" s="668">
        <f>IF(D162&lt;&gt;0,($C163*(1-$V$1))-$D162,0)</f>
        <v>0</v>
      </c>
      <c r="Z162" s="669" t="str">
        <f>IFERROR(IF(C162&lt;&gt;"",$Y$1/(D160/100)*(C162/100),""),"")</f>
        <v/>
      </c>
      <c r="AA162" s="670" t="str">
        <f>IFERROR($AA$1/(D162/100)*(C160/100),"")</f>
        <v/>
      </c>
      <c r="AB162" s="38"/>
    </row>
    <row r="163" spans="1:28" ht="12.75" hidden="1" customHeight="1">
      <c r="A163" s="583" t="s">
        <v>276</v>
      </c>
      <c r="B163" s="632"/>
      <c r="C163" s="239"/>
      <c r="D163" s="385"/>
      <c r="E163" s="640"/>
      <c r="F163" s="563"/>
      <c r="G163" s="309"/>
      <c r="H163" s="237"/>
      <c r="I163" s="228"/>
      <c r="J163" s="228"/>
      <c r="K163" s="257">
        <v>25.276</v>
      </c>
      <c r="L163" s="235"/>
      <c r="M163" s="232"/>
      <c r="N163" s="235"/>
      <c r="O163" s="276"/>
      <c r="P163" s="285">
        <v>162</v>
      </c>
      <c r="Q163" s="262"/>
      <c r="R163" s="692">
        <v>0</v>
      </c>
      <c r="S163" s="719">
        <v>0</v>
      </c>
      <c r="T163" s="245">
        <v>0</v>
      </c>
      <c r="U163" s="499"/>
      <c r="V163" s="299">
        <v>0</v>
      </c>
      <c r="W163" s="405">
        <f>V162*(F162/100)</f>
        <v>0</v>
      </c>
      <c r="X163" s="711"/>
      <c r="Y163" s="508" t="str">
        <f>IFERROR(INT($AA$1/(F162/100)),"")</f>
        <v/>
      </c>
      <c r="Z163" s="671" t="str">
        <f>IFERROR(IF(C163&lt;&gt;"",$Y$1/(D161/100)*(C163/100),""),"")</f>
        <v/>
      </c>
      <c r="AA163" s="672" t="str">
        <f>IFERROR($AA$1/(D163/100)*(C161/100),"")</f>
        <v/>
      </c>
      <c r="AB163" s="38"/>
    </row>
    <row r="164" spans="1:28" ht="12.75" customHeight="1">
      <c r="A164" s="582" t="s">
        <v>567</v>
      </c>
      <c r="B164" s="248">
        <v>1799</v>
      </c>
      <c r="C164" s="303">
        <v>50</v>
      </c>
      <c r="D164" s="255">
        <v>50.7</v>
      </c>
      <c r="E164" s="248">
        <v>1038</v>
      </c>
      <c r="F164" s="571">
        <v>50.7</v>
      </c>
      <c r="G164" s="310">
        <v>-5.7999999999999996E-3</v>
      </c>
      <c r="H164" s="240">
        <v>49.47</v>
      </c>
      <c r="I164" s="229">
        <v>50.7</v>
      </c>
      <c r="J164" s="229">
        <v>49.47</v>
      </c>
      <c r="K164" s="260">
        <v>51</v>
      </c>
      <c r="L164" s="247">
        <v>3476</v>
      </c>
      <c r="M164" s="233">
        <v>7006</v>
      </c>
      <c r="N164" s="247">
        <v>35</v>
      </c>
      <c r="O164" s="277">
        <v>45385.678206018521</v>
      </c>
      <c r="P164" s="286">
        <v>163</v>
      </c>
      <c r="Q164" s="263"/>
      <c r="R164" s="703">
        <v>0</v>
      </c>
      <c r="S164" s="720">
        <v>0</v>
      </c>
      <c r="T164" s="244">
        <v>0</v>
      </c>
      <c r="U164" s="500"/>
      <c r="V164" s="368">
        <v>4</v>
      </c>
      <c r="W164" s="406">
        <f t="shared" ref="W164" si="75">(V164*X164)</f>
        <v>1.6</v>
      </c>
      <c r="X164" s="713">
        <v>0.4</v>
      </c>
      <c r="Y164" s="673">
        <f>IF(D164&lt;&gt;0,($C165*(1-$V$1))-$D164,0)</f>
        <v>-1.3850000000000051</v>
      </c>
      <c r="Z164" s="674">
        <f>IFERROR(IF(C164&lt;&gt;"",$Y$1/(D160/100)*(C164/100),""),"")</f>
        <v>99.12873876094433</v>
      </c>
      <c r="AA164" s="675">
        <f>IFERROR($Z$1/(D164/100)*(C160/100),"")</f>
        <v>97140.03944773176</v>
      </c>
      <c r="AB164" s="38"/>
    </row>
    <row r="165" spans="1:28" ht="12.75" customHeight="1">
      <c r="A165" s="736" t="s">
        <v>277</v>
      </c>
      <c r="B165" s="737">
        <v>1910</v>
      </c>
      <c r="C165" s="738">
        <v>49.314999999999998</v>
      </c>
      <c r="D165" s="739">
        <v>49.77</v>
      </c>
      <c r="E165" s="740">
        <v>900</v>
      </c>
      <c r="F165" s="741">
        <v>49.79</v>
      </c>
      <c r="G165" s="742">
        <v>5.7999999999999996E-3</v>
      </c>
      <c r="H165" s="743">
        <v>49.45</v>
      </c>
      <c r="I165" s="744">
        <v>49.99</v>
      </c>
      <c r="J165" s="744">
        <v>48.491</v>
      </c>
      <c r="K165" s="745">
        <v>49.5</v>
      </c>
      <c r="L165" s="746">
        <v>2726</v>
      </c>
      <c r="M165" s="747">
        <v>5529</v>
      </c>
      <c r="N165" s="746">
        <v>19</v>
      </c>
      <c r="O165" s="748">
        <v>45385.673946759256</v>
      </c>
      <c r="P165" s="749">
        <v>164</v>
      </c>
      <c r="Q165" s="750"/>
      <c r="R165" s="751">
        <v>0</v>
      </c>
      <c r="S165" s="752">
        <v>0</v>
      </c>
      <c r="T165" s="753">
        <v>0</v>
      </c>
      <c r="U165" s="499"/>
      <c r="V165" s="369">
        <v>0</v>
      </c>
      <c r="W165" s="754">
        <f>V164*(F164/100)</f>
        <v>2.028</v>
      </c>
      <c r="X165" s="755"/>
      <c r="Y165" s="756">
        <f>IFERROR(INT($Z$1/(F164/100)),"")</f>
        <v>197</v>
      </c>
      <c r="Z165" s="757">
        <f>IFERROR(IF(C165&lt;&gt;"",$Y$1/(D161/100)*(C165/100),""),"")</f>
        <v>98.42155909808308</v>
      </c>
      <c r="AA165" s="758">
        <f>IFERROR($Z$1/(D165/100)*(C161/100),"")</f>
        <v>98734.177215189862</v>
      </c>
      <c r="AB165" s="38"/>
    </row>
    <row r="166" spans="1:28" ht="12.75" customHeight="1">
      <c r="A166" s="732" t="s">
        <v>638</v>
      </c>
      <c r="B166" s="248">
        <v>37</v>
      </c>
      <c r="C166" s="303">
        <v>9011.5</v>
      </c>
      <c r="D166" s="255">
        <v>9070</v>
      </c>
      <c r="E166" s="248">
        <v>1</v>
      </c>
      <c r="F166" s="562">
        <v>9070</v>
      </c>
      <c r="G166" s="307">
        <v>-2.23E-2</v>
      </c>
      <c r="H166" s="238">
        <v>9200</v>
      </c>
      <c r="I166" s="230">
        <v>9300</v>
      </c>
      <c r="J166" s="230">
        <v>9011.5</v>
      </c>
      <c r="K166" s="259">
        <v>9277.5</v>
      </c>
      <c r="L166" s="251">
        <v>83679604</v>
      </c>
      <c r="M166" s="234">
        <v>9190</v>
      </c>
      <c r="N166" s="251">
        <v>967</v>
      </c>
      <c r="O166" s="275">
        <v>45385.686921296299</v>
      </c>
      <c r="P166" s="286">
        <v>165</v>
      </c>
      <c r="Q166" s="264"/>
      <c r="R166" s="693">
        <v>0</v>
      </c>
      <c r="S166" s="717">
        <v>0</v>
      </c>
      <c r="T166" s="246">
        <v>0</v>
      </c>
      <c r="U166" s="500"/>
      <c r="V166" s="371"/>
      <c r="W166" s="408">
        <f t="shared" ref="W166" si="76">(V166*X166)</f>
        <v>0</v>
      </c>
      <c r="X166" s="712"/>
      <c r="Y166" s="659">
        <f>IF(D166&lt;&gt;0,($C167*(1-$V$1))-$D166,0)</f>
        <v>5</v>
      </c>
      <c r="Z166" s="664"/>
      <c r="AA166" s="665"/>
    </row>
    <row r="167" spans="1:28" ht="12.75" customHeight="1">
      <c r="A167" s="583" t="s">
        <v>639</v>
      </c>
      <c r="B167" s="632">
        <v>1</v>
      </c>
      <c r="C167" s="239">
        <v>9075</v>
      </c>
      <c r="D167" s="385">
        <v>9114.5</v>
      </c>
      <c r="E167" s="640">
        <v>99</v>
      </c>
      <c r="F167" s="563">
        <v>9114.5</v>
      </c>
      <c r="G167" s="309">
        <v>-2.98E-2</v>
      </c>
      <c r="H167" s="237">
        <v>9250</v>
      </c>
      <c r="I167" s="228">
        <v>9250</v>
      </c>
      <c r="J167" s="228">
        <v>9039.5</v>
      </c>
      <c r="K167" s="257">
        <v>9394.5</v>
      </c>
      <c r="L167" s="235">
        <v>980451792</v>
      </c>
      <c r="M167" s="232">
        <v>107394</v>
      </c>
      <c r="N167" s="235">
        <v>5404</v>
      </c>
      <c r="O167" s="276">
        <v>45385.708020833335</v>
      </c>
      <c r="P167" s="285">
        <v>166</v>
      </c>
      <c r="Q167" s="262"/>
      <c r="R167" s="692">
        <v>0</v>
      </c>
      <c r="S167" s="719">
        <v>0</v>
      </c>
      <c r="T167" s="245">
        <v>0</v>
      </c>
      <c r="U167" s="499"/>
      <c r="V167" s="370">
        <v>0</v>
      </c>
      <c r="W167" s="403">
        <f>V166*(D166/100)</f>
        <v>0</v>
      </c>
      <c r="X167" s="711"/>
      <c r="Y167" s="507">
        <f>IFERROR(INT($Y$1/(F166)),"")</f>
        <v>10</v>
      </c>
      <c r="Z167" s="666"/>
      <c r="AA167" s="667"/>
    </row>
    <row r="168" spans="1:28" ht="12.75" customHeight="1">
      <c r="A168" s="582" t="s">
        <v>640</v>
      </c>
      <c r="B168" s="248"/>
      <c r="C168" s="303"/>
      <c r="D168" s="255"/>
      <c r="E168" s="248"/>
      <c r="F168" s="571"/>
      <c r="G168" s="310"/>
      <c r="H168" s="240"/>
      <c r="I168" s="229"/>
      <c r="J168" s="229"/>
      <c r="K168" s="260">
        <v>8.6010000000000009</v>
      </c>
      <c r="L168" s="247"/>
      <c r="M168" s="233"/>
      <c r="N168" s="247"/>
      <c r="O168" s="277"/>
      <c r="P168" s="286">
        <v>167</v>
      </c>
      <c r="Q168" s="263"/>
      <c r="R168" s="703">
        <v>0</v>
      </c>
      <c r="S168" s="720">
        <v>0</v>
      </c>
      <c r="T168" s="244">
        <v>0</v>
      </c>
      <c r="U168" s="500"/>
      <c r="V168" s="300"/>
      <c r="W168" s="404">
        <f t="shared" ref="W168" si="77">(V168*X168)</f>
        <v>0</v>
      </c>
      <c r="X168" s="716"/>
      <c r="Y168" s="668">
        <f>IF(D168&lt;&gt;0,($C169*(1-$V$1))-$D168,0)</f>
        <v>0</v>
      </c>
      <c r="Z168" s="669" t="str">
        <f>IFERROR(IF(C168&lt;&gt;"",$Y$1/(D166)*(C168),""),"")</f>
        <v/>
      </c>
      <c r="AA168" s="670" t="str">
        <f>IFERROR($AA$1/(D168)*(C166),"")</f>
        <v/>
      </c>
    </row>
    <row r="169" spans="1:28" ht="12.75" customHeight="1">
      <c r="A169" s="583" t="s">
        <v>641</v>
      </c>
      <c r="B169" s="632"/>
      <c r="C169" s="239"/>
      <c r="D169" s="385"/>
      <c r="E169" s="640"/>
      <c r="F169" s="563"/>
      <c r="G169" s="309"/>
      <c r="H169" s="237"/>
      <c r="I169" s="228"/>
      <c r="J169" s="228"/>
      <c r="K169" s="257">
        <v>8.7260000000000009</v>
      </c>
      <c r="L169" s="235"/>
      <c r="M169" s="232"/>
      <c r="N169" s="235"/>
      <c r="O169" s="276"/>
      <c r="P169" s="285">
        <v>168</v>
      </c>
      <c r="Q169" s="262"/>
      <c r="R169" s="692">
        <v>0</v>
      </c>
      <c r="S169" s="719">
        <v>0</v>
      </c>
      <c r="T169" s="245">
        <v>0</v>
      </c>
      <c r="U169" s="499"/>
      <c r="V169" s="299">
        <v>0</v>
      </c>
      <c r="W169" s="405">
        <f>V168*(F168/100)</f>
        <v>0</v>
      </c>
      <c r="X169" s="711"/>
      <c r="Y169" s="508" t="str">
        <f>IFERROR(INT($AA$1/(F168/100)),"")</f>
        <v/>
      </c>
      <c r="Z169" s="671" t="str">
        <f>IFERROR(IF(C169&lt;&gt;"",$Y$1/(D167)*(C169),""),"")</f>
        <v/>
      </c>
      <c r="AA169" s="672" t="str">
        <f>IFERROR($AA$1/(D169)*(C167),"")</f>
        <v/>
      </c>
    </row>
    <row r="170" spans="1:28" ht="12.75" customHeight="1">
      <c r="A170" s="582" t="s">
        <v>642</v>
      </c>
      <c r="B170" s="248">
        <v>160</v>
      </c>
      <c r="C170" s="303">
        <v>9.08</v>
      </c>
      <c r="D170" s="255">
        <v>9.15</v>
      </c>
      <c r="E170" s="248">
        <v>4</v>
      </c>
      <c r="F170" s="571">
        <v>9.08</v>
      </c>
      <c r="G170" s="310">
        <v>-1.7299999999999999E-2</v>
      </c>
      <c r="H170" s="240">
        <v>9.1999999999999993</v>
      </c>
      <c r="I170" s="229">
        <v>9.1999999999999993</v>
      </c>
      <c r="J170" s="229">
        <v>9</v>
      </c>
      <c r="K170" s="260">
        <v>9.24</v>
      </c>
      <c r="L170" s="247">
        <v>17779</v>
      </c>
      <c r="M170" s="233">
        <v>1956</v>
      </c>
      <c r="N170" s="247">
        <v>114</v>
      </c>
      <c r="O170" s="277">
        <v>45385.675219907411</v>
      </c>
      <c r="P170" s="286">
        <v>169</v>
      </c>
      <c r="Q170" s="263"/>
      <c r="R170" s="703">
        <v>0</v>
      </c>
      <c r="S170" s="720">
        <v>0</v>
      </c>
      <c r="T170" s="244">
        <v>0</v>
      </c>
      <c r="U170" s="500"/>
      <c r="V170" s="368"/>
      <c r="W170" s="406">
        <f t="shared" ref="W170" si="78">(V170*X170)</f>
        <v>0</v>
      </c>
      <c r="X170" s="713"/>
      <c r="Y170" s="673">
        <f>IF(D170&lt;&gt;0,($C171*(1-$V$1))-$D170,0)</f>
        <v>-5.0000000000000711E-2</v>
      </c>
      <c r="Z170" s="674">
        <f>IFERROR(IF(C170&lt;&gt;"",$Y$1/(D166)*(C170),""),"")</f>
        <v>99.039555683955442</v>
      </c>
      <c r="AA170" s="675">
        <f>IFERROR($Z$1/(D170)*(C166),"")</f>
        <v>98486.338797814198</v>
      </c>
    </row>
    <row r="171" spans="1:28" ht="12.75" customHeight="1">
      <c r="A171" s="730" t="s">
        <v>643</v>
      </c>
      <c r="B171" s="389">
        <v>145</v>
      </c>
      <c r="C171" s="354">
        <v>9.1</v>
      </c>
      <c r="D171" s="384">
        <v>9.11</v>
      </c>
      <c r="E171" s="635">
        <v>679</v>
      </c>
      <c r="F171" s="570">
        <v>9.11</v>
      </c>
      <c r="G171" s="365">
        <v>-1.61E-2</v>
      </c>
      <c r="H171" s="356">
        <v>9.17</v>
      </c>
      <c r="I171" s="357">
        <v>9.25</v>
      </c>
      <c r="J171" s="357">
        <v>8.9499999999999993</v>
      </c>
      <c r="K171" s="366">
        <v>9.26</v>
      </c>
      <c r="L171" s="351">
        <v>66882</v>
      </c>
      <c r="M171" s="359">
        <v>7361</v>
      </c>
      <c r="N171" s="351">
        <v>451</v>
      </c>
      <c r="O171" s="352">
        <v>45385.704606481479</v>
      </c>
      <c r="P171" s="285">
        <v>170</v>
      </c>
      <c r="Q171" s="353"/>
      <c r="R171" s="700">
        <v>0</v>
      </c>
      <c r="S171" s="718">
        <v>0</v>
      </c>
      <c r="T171" s="361">
        <v>0</v>
      </c>
      <c r="U171" s="499"/>
      <c r="V171" s="369">
        <v>0</v>
      </c>
      <c r="W171" s="409">
        <f>V170*(C170/100)</f>
        <v>0</v>
      </c>
      <c r="X171" s="715"/>
      <c r="Y171" s="509">
        <f>IFERROR(INT($Z$1/(F170)),"")</f>
        <v>11</v>
      </c>
      <c r="Z171" s="676">
        <f>IFERROR(IF(C171&lt;&gt;"",$Y$1/(D167)*(C171),""),"")</f>
        <v>98.773095581671427</v>
      </c>
      <c r="AA171" s="677">
        <f>IFERROR($Z$1/(D171)*(C167),"")</f>
        <v>99615.806805708024</v>
      </c>
    </row>
    <row r="172" spans="1:28" ht="12.75" customHeight="1">
      <c r="A172" s="732" t="s">
        <v>644</v>
      </c>
      <c r="B172" s="248">
        <v>5</v>
      </c>
      <c r="C172" s="303">
        <v>1340</v>
      </c>
      <c r="D172" s="255">
        <v>1348</v>
      </c>
      <c r="E172" s="248">
        <v>12</v>
      </c>
      <c r="F172" s="562">
        <v>1345.5</v>
      </c>
      <c r="G172" s="307">
        <v>1.4999999999999999E-2</v>
      </c>
      <c r="H172" s="238">
        <v>1334</v>
      </c>
      <c r="I172" s="230">
        <v>1365</v>
      </c>
      <c r="J172" s="230">
        <v>1300</v>
      </c>
      <c r="K172" s="259">
        <v>1325.5</v>
      </c>
      <c r="L172" s="251">
        <v>52388439</v>
      </c>
      <c r="M172" s="234">
        <v>38782</v>
      </c>
      <c r="N172" s="251">
        <v>1279</v>
      </c>
      <c r="O172" s="275">
        <v>45385.68712962963</v>
      </c>
      <c r="P172" s="286">
        <v>171</v>
      </c>
      <c r="Q172" s="264"/>
      <c r="R172" s="693">
        <v>0</v>
      </c>
      <c r="S172" s="717">
        <v>0</v>
      </c>
      <c r="T172" s="246">
        <v>0</v>
      </c>
      <c r="U172" s="500"/>
      <c r="V172" s="371"/>
      <c r="W172" s="408">
        <f t="shared" ref="W172" si="79">(V172*X172)</f>
        <v>0</v>
      </c>
      <c r="X172" s="716"/>
      <c r="Y172" s="659">
        <f>IF(D172&lt;&gt;0,($C173*(1-$V$1))-$D172,0)</f>
        <v>7</v>
      </c>
      <c r="Z172" s="678"/>
      <c r="AA172" s="665"/>
    </row>
    <row r="173" spans="1:28" ht="12.75" customHeight="1">
      <c r="A173" s="583" t="s">
        <v>645</v>
      </c>
      <c r="B173" s="632">
        <v>10</v>
      </c>
      <c r="C173" s="239">
        <v>1355</v>
      </c>
      <c r="D173" s="385">
        <v>1360</v>
      </c>
      <c r="E173" s="640">
        <v>783</v>
      </c>
      <c r="F173" s="563">
        <v>1360</v>
      </c>
      <c r="G173" s="309">
        <v>4.4000000000000003E-3</v>
      </c>
      <c r="H173" s="237">
        <v>1352</v>
      </c>
      <c r="I173" s="228">
        <v>1375</v>
      </c>
      <c r="J173" s="228">
        <v>1348</v>
      </c>
      <c r="K173" s="257">
        <v>1354</v>
      </c>
      <c r="L173" s="235">
        <v>315302492</v>
      </c>
      <c r="M173" s="232">
        <v>231778</v>
      </c>
      <c r="N173" s="235">
        <v>6986</v>
      </c>
      <c r="O173" s="276">
        <v>45385.708229166667</v>
      </c>
      <c r="P173" s="285">
        <v>172</v>
      </c>
      <c r="Q173" s="262"/>
      <c r="R173" s="692">
        <v>0</v>
      </c>
      <c r="S173" s="719">
        <v>0</v>
      </c>
      <c r="T173" s="245">
        <v>0</v>
      </c>
      <c r="U173" s="499"/>
      <c r="V173" s="370">
        <v>0</v>
      </c>
      <c r="W173" s="403">
        <f t="shared" ref="W173" si="80">V172*(D172/100)</f>
        <v>0</v>
      </c>
      <c r="X173" s="711"/>
      <c r="Y173" s="507">
        <f>IFERROR(INT($Y$1/(F172)),"")</f>
        <v>73</v>
      </c>
      <c r="Z173" s="666"/>
      <c r="AA173" s="667"/>
    </row>
    <row r="174" spans="1:28" ht="12.75" customHeight="1">
      <c r="A174" s="582" t="s">
        <v>646</v>
      </c>
      <c r="B174" s="248"/>
      <c r="C174" s="303"/>
      <c r="D174" s="255"/>
      <c r="E174" s="248"/>
      <c r="F174" s="571"/>
      <c r="G174" s="310"/>
      <c r="H174" s="240"/>
      <c r="I174" s="229"/>
      <c r="J174" s="229"/>
      <c r="K174" s="260">
        <v>1.1000000000000001</v>
      </c>
      <c r="L174" s="247"/>
      <c r="M174" s="233"/>
      <c r="N174" s="247"/>
      <c r="O174" s="277"/>
      <c r="P174" s="286">
        <v>173</v>
      </c>
      <c r="Q174" s="263"/>
      <c r="R174" s="703">
        <v>0</v>
      </c>
      <c r="S174" s="720">
        <v>0</v>
      </c>
      <c r="T174" s="244">
        <v>0</v>
      </c>
      <c r="U174" s="500"/>
      <c r="V174" s="300"/>
      <c r="W174" s="404">
        <f t="shared" ref="W174" si="81">(V174*X174)</f>
        <v>0</v>
      </c>
      <c r="X174" s="716"/>
      <c r="Y174" s="668">
        <f>IF(D174&lt;&gt;0,($C175*(1-$V$1))-$D174,0)</f>
        <v>0</v>
      </c>
      <c r="Z174" s="669" t="str">
        <f>IFERROR(IF(C174&lt;&gt;"",$Y$1/(D172)*(C174),""),"")</f>
        <v/>
      </c>
      <c r="AA174" s="670" t="str">
        <f>IFERROR($AA$1/(D174)*(C172),"")</f>
        <v/>
      </c>
    </row>
    <row r="175" spans="1:28" ht="12.75" customHeight="1">
      <c r="A175" s="583" t="s">
        <v>647</v>
      </c>
      <c r="B175" s="632"/>
      <c r="C175" s="239"/>
      <c r="D175" s="385"/>
      <c r="E175" s="640"/>
      <c r="F175" s="563"/>
      <c r="G175" s="309"/>
      <c r="H175" s="237"/>
      <c r="I175" s="228"/>
      <c r="J175" s="228"/>
      <c r="K175" s="257">
        <v>0.91200000000000003</v>
      </c>
      <c r="L175" s="235"/>
      <c r="M175" s="232"/>
      <c r="N175" s="235"/>
      <c r="O175" s="276"/>
      <c r="P175" s="285">
        <v>174</v>
      </c>
      <c r="Q175" s="262"/>
      <c r="R175" s="692">
        <v>0</v>
      </c>
      <c r="S175" s="719">
        <v>0</v>
      </c>
      <c r="T175" s="245">
        <v>0</v>
      </c>
      <c r="U175" s="499"/>
      <c r="V175" s="299">
        <v>0</v>
      </c>
      <c r="W175" s="405">
        <f t="shared" ref="W175" si="82">V174*(F174/100)</f>
        <v>0</v>
      </c>
      <c r="X175" s="711"/>
      <c r="Y175" s="508" t="str">
        <f>IFERROR(INT($AA$1/(F174/100)),"")</f>
        <v/>
      </c>
      <c r="Z175" s="671" t="str">
        <f>IFERROR(IF(C175&lt;&gt;"",$Y$1/(D173)*(C175),""),"")</f>
        <v/>
      </c>
      <c r="AA175" s="672" t="str">
        <f>IFERROR($AA$1/(D175)*(C173),"")</f>
        <v/>
      </c>
    </row>
    <row r="176" spans="1:28" ht="12.75" customHeight="1">
      <c r="A176" s="582" t="s">
        <v>648</v>
      </c>
      <c r="B176" s="248">
        <v>967</v>
      </c>
      <c r="C176" s="303">
        <v>1.34</v>
      </c>
      <c r="D176" s="255">
        <v>1.36</v>
      </c>
      <c r="E176" s="248">
        <v>1634</v>
      </c>
      <c r="F176" s="571">
        <v>1.36</v>
      </c>
      <c r="G176" s="310">
        <v>1.49E-2</v>
      </c>
      <c r="H176" s="240">
        <v>1.36</v>
      </c>
      <c r="I176" s="229">
        <v>1.37</v>
      </c>
      <c r="J176" s="229">
        <v>1.32</v>
      </c>
      <c r="K176" s="260">
        <v>1.34</v>
      </c>
      <c r="L176" s="247">
        <v>7803</v>
      </c>
      <c r="M176" s="233">
        <v>5811</v>
      </c>
      <c r="N176" s="247">
        <v>95</v>
      </c>
      <c r="O176" s="277">
        <v>45385.685162037036</v>
      </c>
      <c r="P176" s="286">
        <v>175</v>
      </c>
      <c r="Q176" s="263"/>
      <c r="R176" s="703">
        <v>0</v>
      </c>
      <c r="S176" s="720">
        <v>0</v>
      </c>
      <c r="T176" s="244">
        <v>0</v>
      </c>
      <c r="U176" s="500"/>
      <c r="V176" s="368"/>
      <c r="W176" s="406">
        <f t="shared" ref="W176" si="83">(V176*X176)</f>
        <v>0</v>
      </c>
      <c r="X176" s="713"/>
      <c r="Y176" s="673">
        <f>IF(D176&lt;&gt;0,($C177*(1-$V$1))-$D176,0)</f>
        <v>-1.0000000000000009E-2</v>
      </c>
      <c r="Z176" s="674">
        <f>IFERROR(IF(C176&lt;&gt;"",$Y$1/(D172)*(C176),""),"")</f>
        <v>98.343356765419941</v>
      </c>
      <c r="AA176" s="675">
        <f>IFERROR($Z$1/(D176)*(C172),"")</f>
        <v>98529.411764705888</v>
      </c>
    </row>
    <row r="177" spans="1:27" ht="12.75" customHeight="1">
      <c r="A177" s="730" t="s">
        <v>649</v>
      </c>
      <c r="B177" s="389">
        <v>465</v>
      </c>
      <c r="C177" s="354">
        <v>1.35</v>
      </c>
      <c r="D177" s="384">
        <v>1.36</v>
      </c>
      <c r="E177" s="635">
        <v>2152</v>
      </c>
      <c r="F177" s="570">
        <v>1.36</v>
      </c>
      <c r="G177" s="365">
        <v>1.49E-2</v>
      </c>
      <c r="H177" s="356">
        <v>1.39</v>
      </c>
      <c r="I177" s="357">
        <v>1.39</v>
      </c>
      <c r="J177" s="357">
        <v>1.34</v>
      </c>
      <c r="K177" s="366">
        <v>1.34</v>
      </c>
      <c r="L177" s="351">
        <v>42770</v>
      </c>
      <c r="M177" s="359">
        <v>31569</v>
      </c>
      <c r="N177" s="351">
        <v>517</v>
      </c>
      <c r="O177" s="352">
        <v>45385.706631944442</v>
      </c>
      <c r="P177" s="285">
        <v>176</v>
      </c>
      <c r="Q177" s="353"/>
      <c r="R177" s="700">
        <v>0</v>
      </c>
      <c r="S177" s="718">
        <v>0</v>
      </c>
      <c r="T177" s="361">
        <v>0</v>
      </c>
      <c r="U177" s="499"/>
      <c r="V177" s="369">
        <v>0</v>
      </c>
      <c r="W177" s="409">
        <f t="shared" ref="W177" si="84">V176*(C176/100)</f>
        <v>0</v>
      </c>
      <c r="X177" s="715"/>
      <c r="Y177" s="509">
        <f>IFERROR(INT($Z$1/(F176)),"")</f>
        <v>73</v>
      </c>
      <c r="Z177" s="676">
        <f>IFERROR(IF(C177&lt;&gt;"",$Y$1/(D173)*(C177),""),"")</f>
        <v>98.203051273985523</v>
      </c>
      <c r="AA177" s="677">
        <f>IFERROR($Z$1/(D177)*(C173),"")</f>
        <v>99632.352941176476</v>
      </c>
    </row>
    <row r="178" spans="1:27" ht="12.75" customHeight="1">
      <c r="A178" s="732" t="s">
        <v>650</v>
      </c>
      <c r="B178" s="248">
        <v>2</v>
      </c>
      <c r="C178" s="303">
        <v>12709.5</v>
      </c>
      <c r="D178" s="255">
        <v>12787</v>
      </c>
      <c r="E178" s="248">
        <v>2</v>
      </c>
      <c r="F178" s="562">
        <v>12787</v>
      </c>
      <c r="G178" s="307">
        <v>-1.2699999999999999E-2</v>
      </c>
      <c r="H178" s="238">
        <v>13001</v>
      </c>
      <c r="I178" s="230">
        <v>13198.5</v>
      </c>
      <c r="J178" s="230">
        <v>12678</v>
      </c>
      <c r="K178" s="259">
        <v>12952.5</v>
      </c>
      <c r="L178" s="251">
        <v>171146126</v>
      </c>
      <c r="M178" s="234">
        <v>13343</v>
      </c>
      <c r="N178" s="251">
        <v>770</v>
      </c>
      <c r="O178" s="275">
        <v>45385.685219907406</v>
      </c>
      <c r="P178" s="286">
        <v>177</v>
      </c>
      <c r="Q178" s="264"/>
      <c r="R178" s="693">
        <v>0</v>
      </c>
      <c r="S178" s="717">
        <v>0</v>
      </c>
      <c r="T178" s="246">
        <v>0</v>
      </c>
      <c r="U178" s="500"/>
      <c r="V178" s="371"/>
      <c r="W178" s="408">
        <f t="shared" ref="W178" si="85">(V178*X178)</f>
        <v>0</v>
      </c>
      <c r="X178" s="716"/>
      <c r="Y178" s="659">
        <f>IF(D178&lt;&gt;0,($C179*(1-$V$1))-$D178,0)</f>
        <v>13</v>
      </c>
      <c r="Z178" s="678"/>
      <c r="AA178" s="665"/>
    </row>
    <row r="179" spans="1:27" ht="12.75" customHeight="1">
      <c r="A179" s="583" t="s">
        <v>651</v>
      </c>
      <c r="B179" s="632">
        <v>2</v>
      </c>
      <c r="C179" s="239">
        <v>12800</v>
      </c>
      <c r="D179" s="385">
        <v>12840</v>
      </c>
      <c r="E179" s="640">
        <v>5</v>
      </c>
      <c r="F179" s="563">
        <v>12839</v>
      </c>
      <c r="G179" s="309">
        <v>-2.9700000000000001E-2</v>
      </c>
      <c r="H179" s="237">
        <v>13252</v>
      </c>
      <c r="I179" s="228">
        <v>13252</v>
      </c>
      <c r="J179" s="228">
        <v>12752</v>
      </c>
      <c r="K179" s="257">
        <v>13232.5</v>
      </c>
      <c r="L179" s="235">
        <v>3260252634</v>
      </c>
      <c r="M179" s="232">
        <v>253327</v>
      </c>
      <c r="N179" s="235">
        <v>4954</v>
      </c>
      <c r="O179" s="276">
        <v>45385.70815972222</v>
      </c>
      <c r="P179" s="285">
        <v>178</v>
      </c>
      <c r="Q179" s="262"/>
      <c r="R179" s="692">
        <v>0</v>
      </c>
      <c r="S179" s="719">
        <v>0</v>
      </c>
      <c r="T179" s="245">
        <v>0</v>
      </c>
      <c r="U179" s="499"/>
      <c r="V179" s="370">
        <v>0</v>
      </c>
      <c r="W179" s="403">
        <f t="shared" ref="W179" si="86">V178*(D178/100)</f>
        <v>0</v>
      </c>
      <c r="X179" s="711"/>
      <c r="Y179" s="507">
        <f>IFERROR(INT($Y$1/(F178)),"")</f>
        <v>7</v>
      </c>
      <c r="Z179" s="666"/>
      <c r="AA179" s="667"/>
    </row>
    <row r="180" spans="1:27" ht="12.75" customHeight="1">
      <c r="A180" s="582" t="s">
        <v>652</v>
      </c>
      <c r="B180" s="248"/>
      <c r="C180" s="303"/>
      <c r="D180" s="255"/>
      <c r="E180" s="248"/>
      <c r="F180" s="571"/>
      <c r="G180" s="310"/>
      <c r="H180" s="240"/>
      <c r="I180" s="229"/>
      <c r="J180" s="229"/>
      <c r="K180" s="260">
        <v>10.811</v>
      </c>
      <c r="L180" s="247"/>
      <c r="M180" s="233"/>
      <c r="N180" s="247"/>
      <c r="O180" s="277"/>
      <c r="P180" s="286">
        <v>179</v>
      </c>
      <c r="Q180" s="263"/>
      <c r="R180" s="703">
        <v>0</v>
      </c>
      <c r="S180" s="720">
        <v>0</v>
      </c>
      <c r="T180" s="244">
        <v>0</v>
      </c>
      <c r="U180" s="500"/>
      <c r="V180" s="300"/>
      <c r="W180" s="404">
        <f t="shared" ref="W180" si="87">(V180*X180)</f>
        <v>0</v>
      </c>
      <c r="X180" s="716"/>
      <c r="Y180" s="668">
        <f>IF(D180&lt;&gt;0,($C181*(1-$V$1))-$D180,0)</f>
        <v>0</v>
      </c>
      <c r="Z180" s="669" t="str">
        <f>IFERROR(IF(C180&lt;&gt;"",$Y$1/(D178)*(C180),""),"")</f>
        <v/>
      </c>
      <c r="AA180" s="670" t="str">
        <f>IFERROR($AA$1/(D180)*(C178),"")</f>
        <v/>
      </c>
    </row>
    <row r="181" spans="1:27" ht="12.75" customHeight="1">
      <c r="A181" s="583" t="s">
        <v>653</v>
      </c>
      <c r="B181" s="632"/>
      <c r="C181" s="239"/>
      <c r="D181" s="385"/>
      <c r="E181" s="640"/>
      <c r="F181" s="563">
        <v>12.6</v>
      </c>
      <c r="G181" s="309">
        <v>6.7500000000000004E-2</v>
      </c>
      <c r="H181" s="237">
        <v>12.6</v>
      </c>
      <c r="I181" s="228">
        <v>12.6</v>
      </c>
      <c r="J181" s="228">
        <v>12.6</v>
      </c>
      <c r="K181" s="257">
        <v>11.803000000000001</v>
      </c>
      <c r="L181" s="235">
        <v>38</v>
      </c>
      <c r="M181" s="232">
        <v>3</v>
      </c>
      <c r="N181" s="235">
        <v>1</v>
      </c>
      <c r="O181" s="276">
        <v>45385.529791666668</v>
      </c>
      <c r="P181" s="285">
        <v>180</v>
      </c>
      <c r="Q181" s="262"/>
      <c r="R181" s="692">
        <v>0</v>
      </c>
      <c r="S181" s="719">
        <v>0</v>
      </c>
      <c r="T181" s="245">
        <v>0</v>
      </c>
      <c r="U181" s="499"/>
      <c r="V181" s="299">
        <v>0</v>
      </c>
      <c r="W181" s="405">
        <f t="shared" ref="W181" si="88">V180*(F180/100)</f>
        <v>0</v>
      </c>
      <c r="X181" s="711"/>
      <c r="Y181" s="508" t="str">
        <f>IFERROR(INT($AA$1/(F180/100)),"")</f>
        <v/>
      </c>
      <c r="Z181" s="671" t="str">
        <f>IFERROR(IF(C181&lt;&gt;"",$Y$1/(D179)*(C181),""),"")</f>
        <v/>
      </c>
      <c r="AA181" s="672" t="str">
        <f>IFERROR($AA$1/(D181)*(C179),"")</f>
        <v/>
      </c>
    </row>
    <row r="182" spans="1:27" ht="12.75" customHeight="1">
      <c r="A182" s="582" t="s">
        <v>654</v>
      </c>
      <c r="B182" s="248">
        <v>30</v>
      </c>
      <c r="C182" s="303">
        <v>12.8</v>
      </c>
      <c r="D182" s="255">
        <v>12.95</v>
      </c>
      <c r="E182" s="248">
        <v>150</v>
      </c>
      <c r="F182" s="571">
        <v>12.8</v>
      </c>
      <c r="G182" s="310">
        <v>-7.7000000000000002E-3</v>
      </c>
      <c r="H182" s="240">
        <v>12.7</v>
      </c>
      <c r="I182" s="229">
        <v>12.9</v>
      </c>
      <c r="J182" s="229">
        <v>12.65</v>
      </c>
      <c r="K182" s="260">
        <v>12.9</v>
      </c>
      <c r="L182" s="247">
        <v>44868</v>
      </c>
      <c r="M182" s="233">
        <v>3509</v>
      </c>
      <c r="N182" s="247">
        <v>118</v>
      </c>
      <c r="O182" s="277">
        <v>45385.686689814815</v>
      </c>
      <c r="P182" s="286">
        <v>181</v>
      </c>
      <c r="Q182" s="263"/>
      <c r="R182" s="703">
        <v>0</v>
      </c>
      <c r="S182" s="720">
        <v>0</v>
      </c>
      <c r="T182" s="244">
        <v>0</v>
      </c>
      <c r="U182" s="500"/>
      <c r="V182" s="368"/>
      <c r="W182" s="406">
        <f t="shared" ref="W182" si="89">(V182*X182)</f>
        <v>0</v>
      </c>
      <c r="X182" s="713"/>
      <c r="Y182" s="673">
        <f>IF(D182&lt;&gt;0,($C183*(1-$V$1))-$D182,0)</f>
        <v>-0.14999999999999858</v>
      </c>
      <c r="Z182" s="674">
        <f>IFERROR(IF(C182&lt;&gt;"",$Y$1/(D178)*(C182),""),"")</f>
        <v>99.031059703433755</v>
      </c>
      <c r="AA182" s="675">
        <f>IFERROR($Z$1/(D182)*(C178),"")</f>
        <v>98142.857142857145</v>
      </c>
    </row>
    <row r="183" spans="1:27" ht="12.75" customHeight="1">
      <c r="A183" s="730" t="s">
        <v>655</v>
      </c>
      <c r="B183" s="389">
        <v>64</v>
      </c>
      <c r="C183" s="354">
        <v>12.8</v>
      </c>
      <c r="D183" s="384">
        <v>12.85</v>
      </c>
      <c r="E183" s="635">
        <v>100</v>
      </c>
      <c r="F183" s="570">
        <v>12.8</v>
      </c>
      <c r="G183" s="365">
        <v>-1.5300000000000001E-2</v>
      </c>
      <c r="H183" s="356">
        <v>12.95</v>
      </c>
      <c r="I183" s="357">
        <v>12.95</v>
      </c>
      <c r="J183" s="357">
        <v>12.7</v>
      </c>
      <c r="K183" s="366">
        <v>13</v>
      </c>
      <c r="L183" s="351">
        <v>743491</v>
      </c>
      <c r="M183" s="359">
        <v>58144</v>
      </c>
      <c r="N183" s="351">
        <v>628</v>
      </c>
      <c r="O183" s="352">
        <v>45385.708148148151</v>
      </c>
      <c r="P183" s="285">
        <v>182</v>
      </c>
      <c r="Q183" s="353"/>
      <c r="R183" s="700">
        <v>0</v>
      </c>
      <c r="S183" s="718">
        <v>0</v>
      </c>
      <c r="T183" s="361">
        <v>0</v>
      </c>
      <c r="U183" s="499"/>
      <c r="V183" s="369">
        <v>0</v>
      </c>
      <c r="W183" s="409">
        <f t="shared" ref="W183" si="90">V182*(C182/100)</f>
        <v>0</v>
      </c>
      <c r="X183" s="715"/>
      <c r="Y183" s="509">
        <f>IFERROR(INT($Z$1/(F182)),"")</f>
        <v>7</v>
      </c>
      <c r="Z183" s="676">
        <f>IFERROR(IF(C183&lt;&gt;"",$Y$1/(D179)*(C183),""),"")</f>
        <v>98.622286637679693</v>
      </c>
      <c r="AA183" s="677">
        <f>IFERROR($Z$1/(D183)*(C179),"")</f>
        <v>99610.894941634237</v>
      </c>
    </row>
    <row r="184" spans="1:27" ht="12.75" customHeight="1">
      <c r="A184" s="732" t="s">
        <v>656</v>
      </c>
      <c r="B184" s="248">
        <v>98</v>
      </c>
      <c r="C184" s="303">
        <v>2825</v>
      </c>
      <c r="D184" s="255">
        <v>2830</v>
      </c>
      <c r="E184" s="248">
        <v>548</v>
      </c>
      <c r="F184" s="562">
        <v>2830</v>
      </c>
      <c r="G184" s="307">
        <v>2.8500000000000001E-2</v>
      </c>
      <c r="H184" s="238">
        <v>2800</v>
      </c>
      <c r="I184" s="230">
        <v>2895.5</v>
      </c>
      <c r="J184" s="230">
        <v>2800</v>
      </c>
      <c r="K184" s="259">
        <v>2751.5</v>
      </c>
      <c r="L184" s="251">
        <v>60327151</v>
      </c>
      <c r="M184" s="234">
        <v>21230</v>
      </c>
      <c r="N184" s="251">
        <v>1060</v>
      </c>
      <c r="O184" s="275">
        <v>45385.686956018515</v>
      </c>
      <c r="P184" s="286">
        <v>183</v>
      </c>
      <c r="Q184" s="264"/>
      <c r="R184" s="693">
        <v>0</v>
      </c>
      <c r="S184" s="717">
        <v>0</v>
      </c>
      <c r="T184" s="246">
        <v>0</v>
      </c>
      <c r="U184" s="500"/>
      <c r="V184" s="371"/>
      <c r="W184" s="408">
        <f t="shared" ref="W184" si="91">(V184*X184)</f>
        <v>0</v>
      </c>
      <c r="X184" s="716"/>
      <c r="Y184" s="659">
        <f>IF(D184&lt;&gt;0,($C185*(1-$V$1))-$D184,0)</f>
        <v>22</v>
      </c>
      <c r="Z184" s="678"/>
      <c r="AA184" s="665"/>
    </row>
    <row r="185" spans="1:27" ht="12.75" customHeight="1">
      <c r="A185" s="583" t="s">
        <v>657</v>
      </c>
      <c r="B185" s="632">
        <v>8</v>
      </c>
      <c r="C185" s="239">
        <v>2852</v>
      </c>
      <c r="D185" s="385">
        <v>2854</v>
      </c>
      <c r="E185" s="640">
        <v>49</v>
      </c>
      <c r="F185" s="563">
        <v>2854</v>
      </c>
      <c r="G185" s="309">
        <v>1.0800000000000001E-2</v>
      </c>
      <c r="H185" s="237">
        <v>2824</v>
      </c>
      <c r="I185" s="228">
        <v>2897</v>
      </c>
      <c r="J185" s="228">
        <v>2824</v>
      </c>
      <c r="K185" s="257">
        <v>2823.5</v>
      </c>
      <c r="L185" s="235">
        <v>476297853</v>
      </c>
      <c r="M185" s="232">
        <v>166664</v>
      </c>
      <c r="N185" s="235">
        <v>5284</v>
      </c>
      <c r="O185" s="276">
        <v>45385.708148148151</v>
      </c>
      <c r="P185" s="285">
        <v>184</v>
      </c>
      <c r="Q185" s="262"/>
      <c r="R185" s="692">
        <v>0</v>
      </c>
      <c r="S185" s="719">
        <v>0</v>
      </c>
      <c r="T185" s="245">
        <v>0</v>
      </c>
      <c r="U185" s="499"/>
      <c r="V185" s="370">
        <v>0</v>
      </c>
      <c r="W185" s="403">
        <f t="shared" ref="W185" si="92">V184*(D184/100)</f>
        <v>0</v>
      </c>
      <c r="X185" s="711"/>
      <c r="Y185" s="507">
        <f>IFERROR(INT($Y$1/(F184)),"")</f>
        <v>34</v>
      </c>
      <c r="Z185" s="666"/>
      <c r="AA185" s="667"/>
    </row>
    <row r="186" spans="1:27" ht="12.75" customHeight="1">
      <c r="A186" s="582" t="s">
        <v>658</v>
      </c>
      <c r="B186" s="248"/>
      <c r="C186" s="303"/>
      <c r="D186" s="255"/>
      <c r="E186" s="248"/>
      <c r="F186" s="571"/>
      <c r="G186" s="310"/>
      <c r="H186" s="240"/>
      <c r="I186" s="229"/>
      <c r="J186" s="229"/>
      <c r="K186" s="260">
        <v>2.23</v>
      </c>
      <c r="L186" s="247"/>
      <c r="M186" s="233"/>
      <c r="N186" s="247"/>
      <c r="O186" s="277"/>
      <c r="P186" s="286">
        <v>185</v>
      </c>
      <c r="Q186" s="263"/>
      <c r="R186" s="703">
        <v>0</v>
      </c>
      <c r="S186" s="720">
        <v>0</v>
      </c>
      <c r="T186" s="244">
        <v>0</v>
      </c>
      <c r="U186" s="500"/>
      <c r="V186" s="300"/>
      <c r="W186" s="404">
        <f t="shared" ref="W186" si="93">(V186*X186)</f>
        <v>0</v>
      </c>
      <c r="X186" s="716"/>
      <c r="Y186" s="668">
        <f>IF(D186&lt;&gt;0,($C187*(1-$V$1))-$D186,0)</f>
        <v>0</v>
      </c>
      <c r="Z186" s="669" t="str">
        <f>IFERROR(IF(C186&lt;&gt;"",$Y$1/(D184)*(C186),""),"")</f>
        <v/>
      </c>
      <c r="AA186" s="670" t="str">
        <f>IFERROR($AA$1/(D186)*(C184),"")</f>
        <v/>
      </c>
    </row>
    <row r="187" spans="1:27" ht="12.75" customHeight="1">
      <c r="A187" s="583" t="s">
        <v>659</v>
      </c>
      <c r="B187" s="632"/>
      <c r="C187" s="239"/>
      <c r="D187" s="385"/>
      <c r="E187" s="640"/>
      <c r="F187" s="563"/>
      <c r="G187" s="309"/>
      <c r="H187" s="237"/>
      <c r="I187" s="228"/>
      <c r="J187" s="228"/>
      <c r="K187" s="257">
        <v>1.885</v>
      </c>
      <c r="L187" s="235"/>
      <c r="M187" s="232"/>
      <c r="N187" s="235"/>
      <c r="O187" s="276"/>
      <c r="P187" s="285">
        <v>186</v>
      </c>
      <c r="Q187" s="262"/>
      <c r="R187" s="692">
        <v>0</v>
      </c>
      <c r="S187" s="719">
        <v>0</v>
      </c>
      <c r="T187" s="245">
        <v>0</v>
      </c>
      <c r="U187" s="499"/>
      <c r="V187" s="299">
        <v>0</v>
      </c>
      <c r="W187" s="405">
        <f t="shared" ref="W187" si="94">V186*(F186/100)</f>
        <v>0</v>
      </c>
      <c r="X187" s="711"/>
      <c r="Y187" s="508" t="str">
        <f>IFERROR(INT($AA$1/(F186/100)),"")</f>
        <v/>
      </c>
      <c r="Z187" s="671" t="str">
        <f>IFERROR(IF(C187&lt;&gt;"",$Y$1/(D185)*(C187),""),"")</f>
        <v/>
      </c>
      <c r="AA187" s="672" t="str">
        <f>IFERROR($AA$1/(D187)*(C185),"")</f>
        <v/>
      </c>
    </row>
    <row r="188" spans="1:27" ht="12.75" customHeight="1">
      <c r="A188" s="582" t="s">
        <v>660</v>
      </c>
      <c r="B188" s="248">
        <v>150</v>
      </c>
      <c r="C188" s="303">
        <v>2.82</v>
      </c>
      <c r="D188" s="255">
        <v>2.85</v>
      </c>
      <c r="E188" s="248">
        <v>183</v>
      </c>
      <c r="F188" s="571">
        <v>2.82</v>
      </c>
      <c r="G188" s="310">
        <v>2.1700000000000001E-2</v>
      </c>
      <c r="H188" s="240">
        <v>2.75</v>
      </c>
      <c r="I188" s="229">
        <v>2.84</v>
      </c>
      <c r="J188" s="229">
        <v>2.69</v>
      </c>
      <c r="K188" s="260">
        <v>2.76</v>
      </c>
      <c r="L188" s="247">
        <v>9691</v>
      </c>
      <c r="M188" s="233">
        <v>3443</v>
      </c>
      <c r="N188" s="247">
        <v>87</v>
      </c>
      <c r="O188" s="277">
        <v>45385.685752314814</v>
      </c>
      <c r="P188" s="286">
        <v>187</v>
      </c>
      <c r="Q188" s="263"/>
      <c r="R188" s="703">
        <v>0</v>
      </c>
      <c r="S188" s="720">
        <v>0</v>
      </c>
      <c r="T188" s="244">
        <v>0</v>
      </c>
      <c r="U188" s="500"/>
      <c r="V188" s="368"/>
      <c r="W188" s="406">
        <f t="shared" ref="W188" si="95">(V188*X188)</f>
        <v>0</v>
      </c>
      <c r="X188" s="713"/>
      <c r="Y188" s="673">
        <f>IF(D188&lt;&gt;0,($C189*(1-$V$1))-$D188,0)</f>
        <v>0</v>
      </c>
      <c r="Z188" s="674">
        <f>IFERROR(IF(C188&lt;&gt;"",$Y$1/(D184)*(C188),""),"")</f>
        <v>98.580903611042842</v>
      </c>
      <c r="AA188" s="675">
        <f>IFERROR($Z$1/(D188)*(C184),"")</f>
        <v>99122.807017543848</v>
      </c>
    </row>
    <row r="189" spans="1:27" ht="12.75" customHeight="1">
      <c r="A189" s="730" t="s">
        <v>661</v>
      </c>
      <c r="B189" s="389">
        <v>1</v>
      </c>
      <c r="C189" s="354">
        <v>2.85</v>
      </c>
      <c r="D189" s="384">
        <v>2.86</v>
      </c>
      <c r="E189" s="635">
        <v>195</v>
      </c>
      <c r="F189" s="570">
        <v>2.86</v>
      </c>
      <c r="G189" s="365">
        <v>2.87E-2</v>
      </c>
      <c r="H189" s="356">
        <v>2.84</v>
      </c>
      <c r="I189" s="357">
        <v>2.86</v>
      </c>
      <c r="J189" s="357">
        <v>2.78</v>
      </c>
      <c r="K189" s="366">
        <v>2.78</v>
      </c>
      <c r="L189" s="351">
        <v>46723</v>
      </c>
      <c r="M189" s="359">
        <v>16517</v>
      </c>
      <c r="N189" s="351">
        <v>432</v>
      </c>
      <c r="O189" s="352">
        <v>45385.707372685189</v>
      </c>
      <c r="P189" s="285">
        <v>188</v>
      </c>
      <c r="Q189" s="353"/>
      <c r="R189" s="700">
        <v>0</v>
      </c>
      <c r="S189" s="718">
        <v>0</v>
      </c>
      <c r="T189" s="361">
        <v>0</v>
      </c>
      <c r="U189" s="499"/>
      <c r="V189" s="369">
        <v>0</v>
      </c>
      <c r="W189" s="409">
        <f t="shared" ref="W189" si="96">V188*(C188/100)</f>
        <v>0</v>
      </c>
      <c r="X189" s="715"/>
      <c r="Y189" s="509">
        <f>IFERROR(INT($Z$1/(F188)),"")</f>
        <v>35</v>
      </c>
      <c r="Z189" s="676">
        <f>IFERROR(IF(C189&lt;&gt;"",$Y$1/(D185)*(C189),""),"")</f>
        <v>98.791826088911705</v>
      </c>
      <c r="AA189" s="677">
        <f>IFERROR($Z$1/(D189)*(C185),"")</f>
        <v>99720.279720279723</v>
      </c>
    </row>
    <row r="190" spans="1:27" ht="12.75" customHeight="1">
      <c r="A190" s="732" t="s">
        <v>662</v>
      </c>
      <c r="B190" s="248">
        <v>10</v>
      </c>
      <c r="C190" s="303">
        <v>13120</v>
      </c>
      <c r="D190" s="255">
        <v>13400</v>
      </c>
      <c r="E190" s="248">
        <v>1</v>
      </c>
      <c r="F190" s="562">
        <v>13130</v>
      </c>
      <c r="G190" s="307">
        <v>-2.2200000000000001E-2</v>
      </c>
      <c r="H190" s="238">
        <v>13780</v>
      </c>
      <c r="I190" s="230">
        <v>13789</v>
      </c>
      <c r="J190" s="230">
        <v>13000</v>
      </c>
      <c r="K190" s="259">
        <v>13428.5</v>
      </c>
      <c r="L190" s="251">
        <v>87322650</v>
      </c>
      <c r="M190" s="234">
        <v>6465</v>
      </c>
      <c r="N190" s="251">
        <v>705</v>
      </c>
      <c r="O190" s="275">
        <v>45385.687442129631</v>
      </c>
      <c r="P190" s="286">
        <v>189</v>
      </c>
      <c r="Q190" s="264"/>
      <c r="R190" s="693">
        <v>0</v>
      </c>
      <c r="S190" s="717">
        <v>0</v>
      </c>
      <c r="T190" s="246">
        <v>0</v>
      </c>
      <c r="U190" s="500"/>
      <c r="V190" s="371"/>
      <c r="W190" s="408">
        <f t="shared" ref="W190" si="97">(V190*X190)</f>
        <v>0</v>
      </c>
      <c r="X190" s="716"/>
      <c r="Y190" s="659">
        <f>IF(D190&lt;&gt;0,($C191*(1-$V$1))-$D190,0)</f>
        <v>43</v>
      </c>
      <c r="Z190" s="678"/>
      <c r="AA190" s="665"/>
    </row>
    <row r="191" spans="1:27" ht="12.75" customHeight="1">
      <c r="A191" s="583" t="s">
        <v>663</v>
      </c>
      <c r="B191" s="632">
        <v>7</v>
      </c>
      <c r="C191" s="239">
        <v>13443</v>
      </c>
      <c r="D191" s="385">
        <v>13506</v>
      </c>
      <c r="E191" s="640">
        <v>47</v>
      </c>
      <c r="F191" s="563">
        <v>13500</v>
      </c>
      <c r="G191" s="309">
        <v>-2.0099999999999996E-2</v>
      </c>
      <c r="H191" s="237">
        <v>13788</v>
      </c>
      <c r="I191" s="228">
        <v>13788</v>
      </c>
      <c r="J191" s="228">
        <v>13400</v>
      </c>
      <c r="K191" s="257">
        <v>13777</v>
      </c>
      <c r="L191" s="235">
        <v>853019955</v>
      </c>
      <c r="M191" s="232">
        <v>62957</v>
      </c>
      <c r="N191" s="235">
        <v>3029</v>
      </c>
      <c r="O191" s="276">
        <v>45385.708043981482</v>
      </c>
      <c r="P191" s="285">
        <v>190</v>
      </c>
      <c r="Q191" s="262"/>
      <c r="R191" s="692">
        <v>0</v>
      </c>
      <c r="S191" s="719">
        <v>0</v>
      </c>
      <c r="T191" s="245">
        <v>0</v>
      </c>
      <c r="U191" s="499"/>
      <c r="V191" s="370">
        <v>0</v>
      </c>
      <c r="W191" s="403">
        <f t="shared" ref="W191" si="98">V190*(D190/100)</f>
        <v>0</v>
      </c>
      <c r="X191" s="711"/>
      <c r="Y191" s="507">
        <f>IFERROR(INT($Y$1/(F190)),"")</f>
        <v>7</v>
      </c>
      <c r="Z191" s="666"/>
      <c r="AA191" s="667"/>
    </row>
    <row r="192" spans="1:27" ht="12.75" customHeight="1">
      <c r="A192" s="582" t="s">
        <v>664</v>
      </c>
      <c r="B192" s="248"/>
      <c r="C192" s="303"/>
      <c r="D192" s="255"/>
      <c r="E192" s="248"/>
      <c r="F192" s="571"/>
      <c r="G192" s="310"/>
      <c r="H192" s="240"/>
      <c r="I192" s="229"/>
      <c r="J192" s="229"/>
      <c r="K192" s="260">
        <v>13</v>
      </c>
      <c r="L192" s="247"/>
      <c r="M192" s="233"/>
      <c r="N192" s="247"/>
      <c r="O192" s="277"/>
      <c r="P192" s="286">
        <v>191</v>
      </c>
      <c r="Q192" s="263"/>
      <c r="R192" s="703">
        <v>0</v>
      </c>
      <c r="S192" s="720">
        <v>0</v>
      </c>
      <c r="T192" s="244">
        <v>0</v>
      </c>
      <c r="U192" s="500"/>
      <c r="V192" s="300"/>
      <c r="W192" s="404">
        <f t="shared" ref="W192" si="99">(V192*X192)</f>
        <v>0</v>
      </c>
      <c r="X192" s="716"/>
      <c r="Y192" s="668">
        <f>IF(D192&lt;&gt;0,($C193*(1-$V$1))-$D192,0)</f>
        <v>0</v>
      </c>
      <c r="Z192" s="669" t="str">
        <f>IFERROR(IF(C192&lt;&gt;"",$Y$1/(D190)*(C192),""),"")</f>
        <v/>
      </c>
      <c r="AA192" s="670" t="str">
        <f>IFERROR($AA$1/(D192)*(C190),"")</f>
        <v/>
      </c>
    </row>
    <row r="193" spans="1:27" ht="12.75" customHeight="1">
      <c r="A193" s="583" t="s">
        <v>665</v>
      </c>
      <c r="B193" s="632"/>
      <c r="C193" s="239"/>
      <c r="D193" s="385"/>
      <c r="E193" s="640"/>
      <c r="F193" s="563"/>
      <c r="G193" s="309"/>
      <c r="H193" s="237"/>
      <c r="I193" s="228"/>
      <c r="J193" s="228"/>
      <c r="K193" s="257">
        <v>9</v>
      </c>
      <c r="L193" s="235"/>
      <c r="M193" s="232"/>
      <c r="N193" s="235"/>
      <c r="O193" s="276"/>
      <c r="P193" s="285">
        <v>192</v>
      </c>
      <c r="Q193" s="262"/>
      <c r="R193" s="692">
        <v>0</v>
      </c>
      <c r="S193" s="719">
        <v>0</v>
      </c>
      <c r="T193" s="245">
        <v>0</v>
      </c>
      <c r="U193" s="499"/>
      <c r="V193" s="299">
        <v>0</v>
      </c>
      <c r="W193" s="405">
        <f t="shared" ref="W193" si="100">V192*(F192/100)</f>
        <v>0</v>
      </c>
      <c r="X193" s="711"/>
      <c r="Y193" s="508" t="str">
        <f>IFERROR(INT($AA$1/(F192/100)),"")</f>
        <v/>
      </c>
      <c r="Z193" s="671" t="str">
        <f>IFERROR(IF(C193&lt;&gt;"",$Y$1/(D191)*(C193),""),"")</f>
        <v/>
      </c>
      <c r="AA193" s="672" t="str">
        <f>IFERROR($AA$1/(D193)*(C191),"")</f>
        <v/>
      </c>
    </row>
    <row r="194" spans="1:27" ht="12.75" customHeight="1">
      <c r="A194" s="582" t="s">
        <v>666</v>
      </c>
      <c r="B194" s="248">
        <v>21</v>
      </c>
      <c r="C194" s="303">
        <v>13.5</v>
      </c>
      <c r="D194" s="255">
        <v>13.75</v>
      </c>
      <c r="E194" s="248">
        <v>303</v>
      </c>
      <c r="F194" s="571">
        <v>13.5</v>
      </c>
      <c r="G194" s="310">
        <v>-2.1700000000000001E-2</v>
      </c>
      <c r="H194" s="240">
        <v>14</v>
      </c>
      <c r="I194" s="229">
        <v>14</v>
      </c>
      <c r="J194" s="229">
        <v>13.2</v>
      </c>
      <c r="K194" s="260">
        <v>13.8</v>
      </c>
      <c r="L194" s="247">
        <v>13660</v>
      </c>
      <c r="M194" s="233">
        <v>1009</v>
      </c>
      <c r="N194" s="247">
        <v>93</v>
      </c>
      <c r="O194" s="277">
        <v>45385.685740740744</v>
      </c>
      <c r="P194" s="286">
        <v>193</v>
      </c>
      <c r="Q194" s="263"/>
      <c r="R194" s="703">
        <v>0</v>
      </c>
      <c r="S194" s="720">
        <v>0</v>
      </c>
      <c r="T194" s="244">
        <v>0</v>
      </c>
      <c r="U194" s="500"/>
      <c r="V194" s="368"/>
      <c r="W194" s="406">
        <f t="shared" ref="W194" si="101">(V194*X194)</f>
        <v>0</v>
      </c>
      <c r="X194" s="713"/>
      <c r="Y194" s="673">
        <f>IF(D194&lt;&gt;0,($C195*(1-$V$1))-$D194,0)</f>
        <v>-0.19999999999999929</v>
      </c>
      <c r="Z194" s="674">
        <f>IFERROR(IF(C194&lt;&gt;"",$Y$1/(D190)*(C194),""),"")</f>
        <v>99.668768457179326</v>
      </c>
      <c r="AA194" s="675">
        <f>IFERROR($Z$1/(D194)*(C190),"")</f>
        <v>95418.181818181809</v>
      </c>
    </row>
    <row r="195" spans="1:27" ht="12.75" customHeight="1">
      <c r="A195" s="730" t="s">
        <v>667</v>
      </c>
      <c r="B195" s="389">
        <v>7</v>
      </c>
      <c r="C195" s="354">
        <v>13.55</v>
      </c>
      <c r="D195" s="384">
        <v>13.6</v>
      </c>
      <c r="E195" s="635">
        <v>2</v>
      </c>
      <c r="F195" s="570">
        <v>13.55</v>
      </c>
      <c r="G195" s="365">
        <v>-2.86E-2</v>
      </c>
      <c r="H195" s="356">
        <v>14</v>
      </c>
      <c r="I195" s="357">
        <v>14</v>
      </c>
      <c r="J195" s="357">
        <v>13.35</v>
      </c>
      <c r="K195" s="366">
        <v>13.95</v>
      </c>
      <c r="L195" s="351">
        <v>77175</v>
      </c>
      <c r="M195" s="359">
        <v>5707</v>
      </c>
      <c r="N195" s="351">
        <v>360</v>
      </c>
      <c r="O195" s="352">
        <v>45385.704675925925</v>
      </c>
      <c r="P195" s="285">
        <v>194</v>
      </c>
      <c r="Q195" s="353"/>
      <c r="R195" s="700">
        <v>0</v>
      </c>
      <c r="S195" s="718">
        <v>0</v>
      </c>
      <c r="T195" s="361">
        <v>0</v>
      </c>
      <c r="U195" s="499"/>
      <c r="V195" s="369">
        <v>0</v>
      </c>
      <c r="W195" s="409">
        <f t="shared" ref="W195" si="102">V194*(C194/100)</f>
        <v>0</v>
      </c>
      <c r="X195" s="715"/>
      <c r="Y195" s="509">
        <f>IFERROR(INT($Z$1/(F194)),"")</f>
        <v>7</v>
      </c>
      <c r="Z195" s="676">
        <f>IFERROR(IF(C195&lt;&gt;"",$Y$1/(D191)*(C195),""),"")</f>
        <v>99.252778127526597</v>
      </c>
      <c r="AA195" s="677">
        <f>IFERROR($Z$1/(D195)*(C191),"")</f>
        <v>98845.588235294126</v>
      </c>
    </row>
    <row r="196" spans="1:27" ht="12.75" customHeight="1">
      <c r="A196" s="732" t="s">
        <v>668</v>
      </c>
      <c r="B196" s="248">
        <v>1</v>
      </c>
      <c r="C196" s="303">
        <v>11928</v>
      </c>
      <c r="D196" s="255">
        <v>12048</v>
      </c>
      <c r="E196" s="248">
        <v>56</v>
      </c>
      <c r="F196" s="562">
        <v>12048</v>
      </c>
      <c r="G196" s="307">
        <v>-6.1600000000000002E-2</v>
      </c>
      <c r="H196" s="238">
        <v>12606</v>
      </c>
      <c r="I196" s="230">
        <v>12606</v>
      </c>
      <c r="J196" s="230">
        <v>11750</v>
      </c>
      <c r="K196" s="259">
        <v>12840</v>
      </c>
      <c r="L196" s="251">
        <v>126059534</v>
      </c>
      <c r="M196" s="234">
        <v>10535</v>
      </c>
      <c r="N196" s="251">
        <v>703</v>
      </c>
      <c r="O196" s="275">
        <v>45385.686550925922</v>
      </c>
      <c r="P196" s="286">
        <v>195</v>
      </c>
      <c r="Q196" s="264"/>
      <c r="R196" s="693">
        <v>0</v>
      </c>
      <c r="S196" s="717">
        <v>0</v>
      </c>
      <c r="T196" s="246">
        <v>0</v>
      </c>
      <c r="U196" s="500"/>
      <c r="V196" s="371"/>
      <c r="W196" s="408">
        <f t="shared" ref="W196" si="103">(V196*X196)</f>
        <v>0</v>
      </c>
      <c r="X196" s="716"/>
      <c r="Y196" s="659">
        <f>IF(D196&lt;&gt;0,($C197*(1-$V$1))-$D196,0)</f>
        <v>-31</v>
      </c>
      <c r="Z196" s="678"/>
      <c r="AA196" s="665"/>
    </row>
    <row r="197" spans="1:27" ht="12.75" customHeight="1">
      <c r="A197" s="583" t="s">
        <v>669</v>
      </c>
      <c r="B197" s="632">
        <v>1</v>
      </c>
      <c r="C197" s="239">
        <v>12017</v>
      </c>
      <c r="D197" s="385">
        <v>12030</v>
      </c>
      <c r="E197" s="640">
        <v>17</v>
      </c>
      <c r="F197" s="563">
        <v>12029.5</v>
      </c>
      <c r="G197" s="309">
        <v>-7.5600000000000001E-2</v>
      </c>
      <c r="H197" s="237">
        <v>12434.5</v>
      </c>
      <c r="I197" s="228">
        <v>12549</v>
      </c>
      <c r="J197" s="228">
        <v>11870</v>
      </c>
      <c r="K197" s="257">
        <v>13014.5</v>
      </c>
      <c r="L197" s="235">
        <v>919945625</v>
      </c>
      <c r="M197" s="232">
        <v>76706</v>
      </c>
      <c r="N197" s="235">
        <v>3730</v>
      </c>
      <c r="O197" s="276">
        <v>45385.70815972222</v>
      </c>
      <c r="P197" s="285">
        <v>196</v>
      </c>
      <c r="Q197" s="262"/>
      <c r="R197" s="692">
        <v>0</v>
      </c>
      <c r="S197" s="719">
        <v>0</v>
      </c>
      <c r="T197" s="245">
        <v>0</v>
      </c>
      <c r="U197" s="499"/>
      <c r="V197" s="370">
        <v>0</v>
      </c>
      <c r="W197" s="403">
        <f t="shared" ref="W197" si="104">V196*(D196/100)</f>
        <v>0</v>
      </c>
      <c r="X197" s="711"/>
      <c r="Y197" s="507">
        <f>IFERROR(INT($Y$1/(F196)),"")</f>
        <v>8</v>
      </c>
      <c r="Z197" s="666"/>
      <c r="AA197" s="667"/>
    </row>
    <row r="198" spans="1:27" ht="12.75" customHeight="1">
      <c r="A198" s="582" t="s">
        <v>672</v>
      </c>
      <c r="B198" s="248"/>
      <c r="C198" s="303"/>
      <c r="D198" s="255"/>
      <c r="E198" s="248"/>
      <c r="F198" s="571"/>
      <c r="G198" s="310"/>
      <c r="H198" s="240"/>
      <c r="I198" s="229"/>
      <c r="J198" s="229"/>
      <c r="K198" s="260">
        <v>24.332999999999998</v>
      </c>
      <c r="L198" s="247"/>
      <c r="M198" s="233"/>
      <c r="N198" s="247"/>
      <c r="O198" s="277"/>
      <c r="P198" s="286">
        <v>197</v>
      </c>
      <c r="Q198" s="263"/>
      <c r="R198" s="703">
        <v>0</v>
      </c>
      <c r="S198" s="720">
        <v>0</v>
      </c>
      <c r="T198" s="244">
        <v>0</v>
      </c>
      <c r="U198" s="500"/>
      <c r="V198" s="300"/>
      <c r="W198" s="404">
        <f t="shared" ref="W198" si="105">(V198*X198)</f>
        <v>0</v>
      </c>
      <c r="X198" s="716"/>
      <c r="Y198" s="668">
        <f>IF(D198&lt;&gt;0,($C199*(1-$V$1))-$D198,0)</f>
        <v>0</v>
      </c>
      <c r="Z198" s="669" t="str">
        <f>IFERROR(IF(C198&lt;&gt;"",$Y$1/(D196)*(C198),""),"")</f>
        <v/>
      </c>
      <c r="AA198" s="670" t="str">
        <f>IFERROR($AA$1/(D198)*(C196),"")</f>
        <v/>
      </c>
    </row>
    <row r="199" spans="1:27" ht="12.75" customHeight="1">
      <c r="A199" s="583" t="s">
        <v>673</v>
      </c>
      <c r="B199" s="632"/>
      <c r="C199" s="239"/>
      <c r="D199" s="385"/>
      <c r="E199" s="640"/>
      <c r="F199" s="563"/>
      <c r="G199" s="309"/>
      <c r="H199" s="237"/>
      <c r="I199" s="228"/>
      <c r="J199" s="228"/>
      <c r="K199" s="257">
        <v>16.2</v>
      </c>
      <c r="L199" s="235"/>
      <c r="M199" s="232"/>
      <c r="N199" s="235"/>
      <c r="O199" s="276"/>
      <c r="P199" s="285">
        <v>198</v>
      </c>
      <c r="Q199" s="262"/>
      <c r="R199" s="692">
        <v>0</v>
      </c>
      <c r="S199" s="719">
        <v>0</v>
      </c>
      <c r="T199" s="245">
        <v>0</v>
      </c>
      <c r="U199" s="499"/>
      <c r="V199" s="299">
        <v>0</v>
      </c>
      <c r="W199" s="405">
        <f t="shared" ref="W199" si="106">V198*(F198/100)</f>
        <v>0</v>
      </c>
      <c r="X199" s="711"/>
      <c r="Y199" s="508" t="str">
        <f>IFERROR(INT($AA$1/(F198/100)),"")</f>
        <v/>
      </c>
      <c r="Z199" s="671" t="str">
        <f>IFERROR(IF(C199&lt;&gt;"",$Y$1/(D197)*(C199),""),"")</f>
        <v/>
      </c>
      <c r="AA199" s="672" t="str">
        <f>IFERROR($AA$1/(D199)*(C197),"")</f>
        <v/>
      </c>
    </row>
    <row r="200" spans="1:27" ht="12.75" customHeight="1">
      <c r="A200" s="582" t="s">
        <v>670</v>
      </c>
      <c r="B200" s="248">
        <v>179</v>
      </c>
      <c r="C200" s="303">
        <v>12.05</v>
      </c>
      <c r="D200" s="255">
        <v>12.3</v>
      </c>
      <c r="E200" s="248">
        <v>32</v>
      </c>
      <c r="F200" s="571">
        <v>12.05</v>
      </c>
      <c r="G200" s="310">
        <v>-7.6600000000000001E-2</v>
      </c>
      <c r="H200" s="240">
        <v>12.25</v>
      </c>
      <c r="I200" s="229">
        <v>12.4</v>
      </c>
      <c r="J200" s="229">
        <v>11.8</v>
      </c>
      <c r="K200" s="260">
        <v>13.05</v>
      </c>
      <c r="L200" s="247">
        <v>25285</v>
      </c>
      <c r="M200" s="233">
        <v>2097</v>
      </c>
      <c r="N200" s="247">
        <v>129</v>
      </c>
      <c r="O200" s="277">
        <v>45385.684803240743</v>
      </c>
      <c r="P200" s="286">
        <v>199</v>
      </c>
      <c r="Q200" s="263"/>
      <c r="R200" s="703">
        <v>0</v>
      </c>
      <c r="S200" s="720">
        <v>0</v>
      </c>
      <c r="T200" s="244">
        <v>0</v>
      </c>
      <c r="U200" s="500"/>
      <c r="V200" s="368"/>
      <c r="W200" s="406">
        <f t="shared" ref="W200" si="107">(V200*X200)</f>
        <v>0</v>
      </c>
      <c r="X200" s="713"/>
      <c r="Y200" s="673">
        <f>IF(D200&lt;&gt;0,($C201*(1-$V$1))-$D200,0)</f>
        <v>-0.25</v>
      </c>
      <c r="Z200" s="674">
        <f>IFERROR(IF(C200&lt;&gt;"",$Y$1/(D196)*(C200),""),"")</f>
        <v>98.946904006079052</v>
      </c>
      <c r="AA200" s="675">
        <f>IFERROR($Z$1/(D200)*(C196),"")</f>
        <v>96975.609756097547</v>
      </c>
    </row>
    <row r="201" spans="1:27" ht="12.75" customHeight="1">
      <c r="A201" s="730" t="s">
        <v>671</v>
      </c>
      <c r="B201" s="389">
        <v>62</v>
      </c>
      <c r="C201" s="354">
        <v>12.05</v>
      </c>
      <c r="D201" s="384">
        <v>12.35</v>
      </c>
      <c r="E201" s="635">
        <v>50</v>
      </c>
      <c r="F201" s="570">
        <v>12.5</v>
      </c>
      <c r="G201" s="365">
        <v>-2.7200000000000002E-2</v>
      </c>
      <c r="H201" s="356">
        <v>12.35</v>
      </c>
      <c r="I201" s="357">
        <v>12.5</v>
      </c>
      <c r="J201" s="357">
        <v>11.75</v>
      </c>
      <c r="K201" s="366">
        <v>12.85</v>
      </c>
      <c r="L201" s="351">
        <v>79578</v>
      </c>
      <c r="M201" s="359">
        <v>6580</v>
      </c>
      <c r="N201" s="351">
        <v>394</v>
      </c>
      <c r="O201" s="352">
        <v>45385.705347222225</v>
      </c>
      <c r="P201" s="285">
        <v>200</v>
      </c>
      <c r="Q201" s="353"/>
      <c r="R201" s="700">
        <v>0</v>
      </c>
      <c r="S201" s="718">
        <v>0</v>
      </c>
      <c r="T201" s="361">
        <v>0</v>
      </c>
      <c r="U201" s="499"/>
      <c r="V201" s="369">
        <v>0</v>
      </c>
      <c r="W201" s="409">
        <f t="shared" ref="W201" si="108">V200*(C200/100)</f>
        <v>0</v>
      </c>
      <c r="X201" s="715"/>
      <c r="Y201" s="509">
        <f>IFERROR(INT($Z$1/(F200)),"")</f>
        <v>8</v>
      </c>
      <c r="Z201" s="676">
        <f>IFERROR(IF(C201&lt;&gt;"",$Y$1/(D197)*(C201),""),"")</f>
        <v>99.094954236512095</v>
      </c>
      <c r="AA201" s="677">
        <f>IFERROR($Z$1/(D201)*(C197),"")</f>
        <v>97303.643724696361</v>
      </c>
    </row>
  </sheetData>
  <sortState xmlns:xlrd2="http://schemas.microsoft.com/office/spreadsheetml/2017/richdata2" ref="A15">
    <sortCondition descending="1" ref="A14:A15"/>
  </sortState>
  <mergeCells count="17">
    <mergeCell ref="AA12:AA13"/>
    <mergeCell ref="AA62:AA63"/>
    <mergeCell ref="AA60:AA61"/>
    <mergeCell ref="AA14:AA15"/>
    <mergeCell ref="AA16:AA17"/>
    <mergeCell ref="AA18:AA19"/>
    <mergeCell ref="AA20:AA21"/>
    <mergeCell ref="AA2:AA3"/>
    <mergeCell ref="AA6:AA7"/>
    <mergeCell ref="AA10:AA11"/>
    <mergeCell ref="AA8:AA9"/>
    <mergeCell ref="AA4:AA5"/>
    <mergeCell ref="AA22:AA23"/>
    <mergeCell ref="AA24:AA25"/>
    <mergeCell ref="AC159:AF159"/>
    <mergeCell ref="AC69:AF69"/>
    <mergeCell ref="AC75:AF75"/>
  </mergeCells>
  <phoneticPr fontId="16" type="noConversion"/>
  <conditionalFormatting sqref="G70:G159 G60:G63 G2:G29">
    <cfRule type="cellIs" dxfId="2176" priority="14785" operator="lessThan">
      <formula>0</formula>
    </cfRule>
  </conditionalFormatting>
  <conditionalFormatting sqref="Q60:T159">
    <cfRule type="cellIs" dxfId="2175" priority="14294" operator="equal">
      <formula>0</formula>
    </cfRule>
  </conditionalFormatting>
  <conditionalFormatting sqref="V60:V81 V2:V41">
    <cfRule type="cellIs" dxfId="2174" priority="14787" operator="lessThan">
      <formula>0</formula>
    </cfRule>
    <cfRule type="cellIs" dxfId="2173" priority="14788" operator="equal">
      <formula>0</formula>
    </cfRule>
  </conditionalFormatting>
  <conditionalFormatting sqref="Y66 Y68">
    <cfRule type="cellIs" dxfId="2172" priority="10390" operator="lessThanOrEqual">
      <formula>0</formula>
    </cfRule>
  </conditionalFormatting>
  <conditionalFormatting sqref="Z30:Z34 W62:X63 Z37:Z41">
    <cfRule type="cellIs" dxfId="2171" priority="15037" operator="equal">
      <formula>0</formula>
    </cfRule>
  </conditionalFormatting>
  <conditionalFormatting sqref="W65">
    <cfRule type="cellIs" dxfId="2170" priority="10344" operator="equal">
      <formula>0</formula>
    </cfRule>
  </conditionalFormatting>
  <conditionalFormatting sqref="W64">
    <cfRule type="cellIs" dxfId="2169" priority="5454" operator="equal">
      <formula>0</formula>
    </cfRule>
    <cfRule type="cellIs" dxfId="2168" priority="5456" operator="lessThan">
      <formula>W65</formula>
    </cfRule>
    <cfRule type="cellIs" dxfId="2167" priority="10343" operator="lessThan">
      <formula>0</formula>
    </cfRule>
  </conditionalFormatting>
  <conditionalFormatting sqref="W67">
    <cfRule type="cellIs" dxfId="2166" priority="10342" operator="equal">
      <formula>0</formula>
    </cfRule>
  </conditionalFormatting>
  <conditionalFormatting sqref="W66">
    <cfRule type="cellIs" dxfId="2165" priority="5452" operator="equal">
      <formula>0</formula>
    </cfRule>
    <cfRule type="cellIs" dxfId="2164" priority="5453" operator="lessThan">
      <formula>W67</formula>
    </cfRule>
    <cfRule type="cellIs" dxfId="2163" priority="10341" operator="lessThan">
      <formula>0</formula>
    </cfRule>
  </conditionalFormatting>
  <conditionalFormatting sqref="W68">
    <cfRule type="cellIs" dxfId="2162" priority="5451" operator="equal">
      <formula>0</formula>
    </cfRule>
    <cfRule type="cellIs" dxfId="2161" priority="5457" operator="lessThan">
      <formula>W69</formula>
    </cfRule>
  </conditionalFormatting>
  <conditionalFormatting sqref="Z2 Z6 Z10 Z14 Z18 Z22">
    <cfRule type="cellIs" dxfId="2160" priority="10011" operator="equal">
      <formula>0</formula>
    </cfRule>
  </conditionalFormatting>
  <conditionalFormatting sqref="Z3 Z7 Z11 Z15 Z19 Z23">
    <cfRule type="cellIs" dxfId="2159" priority="10010" operator="equal">
      <formula>0</formula>
    </cfRule>
  </conditionalFormatting>
  <conditionalFormatting sqref="Z4 Z8 Z12 Z16 Z20 Z24">
    <cfRule type="cellIs" dxfId="2158" priority="10009" operator="equal">
      <formula>0</formula>
    </cfRule>
  </conditionalFormatting>
  <conditionalFormatting sqref="Z5 Z9 Z13 Z17 Z21 Z25">
    <cfRule type="cellIs" dxfId="2157" priority="10008" operator="equal">
      <formula>0</formula>
    </cfRule>
  </conditionalFormatting>
  <conditionalFormatting sqref="G64:G69">
    <cfRule type="cellIs" dxfId="2156" priority="9143" operator="lessThan">
      <formula>0</formula>
    </cfRule>
  </conditionalFormatting>
  <conditionalFormatting sqref="G18">
    <cfRule type="cellIs" dxfId="2155" priority="9142" operator="equal">
      <formula>0</formula>
    </cfRule>
  </conditionalFormatting>
  <conditionalFormatting sqref="G19">
    <cfRule type="cellIs" dxfId="2154" priority="9141" operator="equal">
      <formula>0</formula>
    </cfRule>
  </conditionalFormatting>
  <conditionalFormatting sqref="G20">
    <cfRule type="cellIs" dxfId="2153" priority="9140" operator="equal">
      <formula>0</formula>
    </cfRule>
  </conditionalFormatting>
  <conditionalFormatting sqref="G21">
    <cfRule type="cellIs" dxfId="2152" priority="9139" operator="equal">
      <formula>0</formula>
    </cfRule>
  </conditionalFormatting>
  <conditionalFormatting sqref="G22">
    <cfRule type="cellIs" dxfId="2151" priority="9138" operator="equal">
      <formula>0</formula>
    </cfRule>
  </conditionalFormatting>
  <conditionalFormatting sqref="G23">
    <cfRule type="cellIs" dxfId="2150" priority="9137" operator="equal">
      <formula>0</formula>
    </cfRule>
  </conditionalFormatting>
  <conditionalFormatting sqref="G24">
    <cfRule type="cellIs" dxfId="2149" priority="9136" operator="equal">
      <formula>0</formula>
    </cfRule>
  </conditionalFormatting>
  <conditionalFormatting sqref="G25">
    <cfRule type="cellIs" dxfId="2148" priority="9135" operator="equal">
      <formula>0</formula>
    </cfRule>
  </conditionalFormatting>
  <conditionalFormatting sqref="G2">
    <cfRule type="cellIs" dxfId="2147" priority="9134" operator="equal">
      <formula>0</formula>
    </cfRule>
  </conditionalFormatting>
  <conditionalFormatting sqref="G3">
    <cfRule type="cellIs" dxfId="2146" priority="9133" operator="equal">
      <formula>0</formula>
    </cfRule>
  </conditionalFormatting>
  <conditionalFormatting sqref="G4">
    <cfRule type="cellIs" dxfId="2145" priority="9132" operator="equal">
      <formula>0</formula>
    </cfRule>
  </conditionalFormatting>
  <conditionalFormatting sqref="G5">
    <cfRule type="cellIs" dxfId="2144" priority="9131" operator="equal">
      <formula>0</formula>
    </cfRule>
  </conditionalFormatting>
  <conditionalFormatting sqref="G6">
    <cfRule type="cellIs" dxfId="2143" priority="9130" operator="equal">
      <formula>0</formula>
    </cfRule>
  </conditionalFormatting>
  <conditionalFormatting sqref="G7">
    <cfRule type="cellIs" dxfId="2142" priority="9129" operator="equal">
      <formula>0</formula>
    </cfRule>
  </conditionalFormatting>
  <conditionalFormatting sqref="G8">
    <cfRule type="cellIs" dxfId="2141" priority="9128" operator="equal">
      <formula>0</formula>
    </cfRule>
  </conditionalFormatting>
  <conditionalFormatting sqref="G9">
    <cfRule type="cellIs" dxfId="2140" priority="9127" operator="equal">
      <formula>0</formula>
    </cfRule>
  </conditionalFormatting>
  <conditionalFormatting sqref="G10">
    <cfRule type="cellIs" dxfId="2139" priority="9126" operator="equal">
      <formula>0</formula>
    </cfRule>
  </conditionalFormatting>
  <conditionalFormatting sqref="G11">
    <cfRule type="cellIs" dxfId="2138" priority="9125" operator="equal">
      <formula>0</formula>
    </cfRule>
  </conditionalFormatting>
  <conditionalFormatting sqref="G12">
    <cfRule type="cellIs" dxfId="2137" priority="9124" operator="equal">
      <formula>0</formula>
    </cfRule>
  </conditionalFormatting>
  <conditionalFormatting sqref="G13">
    <cfRule type="cellIs" dxfId="2136" priority="9123" operator="equal">
      <formula>0</formula>
    </cfRule>
  </conditionalFormatting>
  <conditionalFormatting sqref="G14 G26">
    <cfRule type="cellIs" dxfId="2135" priority="9122" operator="equal">
      <formula>0</formula>
    </cfRule>
  </conditionalFormatting>
  <conditionalFormatting sqref="G15 G27">
    <cfRule type="cellIs" dxfId="2134" priority="9121" operator="equal">
      <formula>0</formula>
    </cfRule>
  </conditionalFormatting>
  <conditionalFormatting sqref="G16 G28">
    <cfRule type="cellIs" dxfId="2133" priority="9120" operator="equal">
      <formula>0</formula>
    </cfRule>
  </conditionalFormatting>
  <conditionalFormatting sqref="G17:G25 G29">
    <cfRule type="cellIs" dxfId="2132" priority="9119" operator="equal">
      <formula>0</formula>
    </cfRule>
  </conditionalFormatting>
  <conditionalFormatting sqref="Y3">
    <cfRule type="cellIs" dxfId="2131" priority="9064" operator="equal">
      <formula>0</formula>
    </cfRule>
  </conditionalFormatting>
  <conditionalFormatting sqref="Y4">
    <cfRule type="cellIs" dxfId="2130" priority="9063" operator="equal">
      <formula>0</formula>
    </cfRule>
  </conditionalFormatting>
  <conditionalFormatting sqref="Y7">
    <cfRule type="cellIs" dxfId="2129" priority="9058" operator="equal">
      <formula>0</formula>
    </cfRule>
  </conditionalFormatting>
  <conditionalFormatting sqref="Y8">
    <cfRule type="cellIs" dxfId="2128" priority="9057" operator="equal">
      <formula>0</formula>
    </cfRule>
  </conditionalFormatting>
  <conditionalFormatting sqref="Y11 Y15 Y19 Y23">
    <cfRule type="cellIs" dxfId="2127" priority="9052" operator="equal">
      <formula>0</formula>
    </cfRule>
  </conditionalFormatting>
  <conditionalFormatting sqref="Y12 Y16 Y20 Y24">
    <cfRule type="cellIs" dxfId="2126" priority="9051" operator="equal">
      <formula>0</formula>
    </cfRule>
  </conditionalFormatting>
  <conditionalFormatting sqref="B2 B6 B10 B14">
    <cfRule type="expression" dxfId="2125" priority="18249">
      <formula>IF($Y5&gt;$Y2,AND(MID($A2,5,1)=" "))</formula>
    </cfRule>
    <cfRule type="expression" dxfId="2124" priority="18250">
      <formula>IF($Y5&gt;$Y2,AND(MID($A2,5,1)="C"))</formula>
    </cfRule>
    <cfRule type="expression" dxfId="2123" priority="18251">
      <formula>IF($Y5&gt;$Y2,AND(MID($A2,5,1)="D"))</formula>
    </cfRule>
  </conditionalFormatting>
  <conditionalFormatting sqref="E3 E7 E11 E15">
    <cfRule type="expression" dxfId="2122" priority="18264">
      <formula>IF($Y5&gt;$Y2,AND(MID($A3,5,1)=" "))</formula>
    </cfRule>
    <cfRule type="expression" dxfId="2121" priority="18265">
      <formula>IF($Y5&gt;$Y2,AND(MID($A3,5,1)="C"))</formula>
    </cfRule>
    <cfRule type="expression" dxfId="2120" priority="18266">
      <formula>IF($Y5&gt;$Y2,AND(MID($A3,5,1)="D"))</formula>
    </cfRule>
  </conditionalFormatting>
  <conditionalFormatting sqref="B4 B8 B16">
    <cfRule type="expression" dxfId="2119" priority="18279">
      <formula>IF($Y5&gt;$Y2,AND(MID($A4,5,1)=" "))</formula>
    </cfRule>
    <cfRule type="expression" dxfId="2118" priority="18280">
      <formula>IF($Y5&gt;$Y2,AND(MID($A4,5,1)="C"))</formula>
    </cfRule>
    <cfRule type="expression" dxfId="2117" priority="18281">
      <formula>IF($Y5&gt;$Y2,AND(MID($A4,5,1)="D"))</formula>
    </cfRule>
  </conditionalFormatting>
  <conditionalFormatting sqref="E5 E9 E13 E17">
    <cfRule type="expression" dxfId="2116" priority="18294">
      <formula>IF($Y5&gt;$Y2,AND(MID($A5,5,1)=" "))</formula>
    </cfRule>
    <cfRule type="expression" dxfId="2115" priority="18295">
      <formula>IF($Y5&gt;$Y2,AND(MID($A5,5,1)="C"))</formula>
    </cfRule>
    <cfRule type="expression" dxfId="2114" priority="18296">
      <formula>IF($Y5&gt;$Y2,AND(MID($A5,5,1)="D"))</formula>
    </cfRule>
  </conditionalFormatting>
  <conditionalFormatting sqref="C2 C6 C10 C14">
    <cfRule type="expression" dxfId="2113" priority="18309">
      <formula>IF($Y5&gt;$Y2,AND(MID($A2,5,1)=" "))</formula>
    </cfRule>
    <cfRule type="expression" dxfId="2112" priority="18310">
      <formula>IF($Y5&gt;$Y2,AND(MID($A2,5,1)="C"))</formula>
    </cfRule>
    <cfRule type="expression" dxfId="2111" priority="18311">
      <formula>IF($Y5&gt;$Y2,AND(MID($A2,5,1)="D"))</formula>
    </cfRule>
  </conditionalFormatting>
  <conditionalFormatting sqref="D3 D7 D11 D15">
    <cfRule type="expression" dxfId="2110" priority="18324">
      <formula>IF($Y5&gt;$Y2,AND(MID($A3,5,1)=" "))</formula>
    </cfRule>
    <cfRule type="expression" dxfId="2109" priority="18325">
      <formula>IF($Y5&gt;$Y2,AND(MID($A3,5,1)="C"))</formula>
    </cfRule>
    <cfRule type="expression" dxfId="2108" priority="18326">
      <formula>IF($Y5&gt;$Y2,AND(MID($A3,5,1)="D"))</formula>
    </cfRule>
  </conditionalFormatting>
  <conditionalFormatting sqref="D5 D9 D13 D17">
    <cfRule type="expression" dxfId="2107" priority="18339">
      <formula>IF($Y5&gt;$Y2,AND(MID($A5,5,1)=" "))</formula>
    </cfRule>
    <cfRule type="expression" dxfId="2106" priority="18340">
      <formula>IF($Y5&gt;$Y2,AND(MID($A5,5,1)="C"))</formula>
    </cfRule>
    <cfRule type="expression" dxfId="2105" priority="18341">
      <formula>IF($Y5&gt;$Y2,AND(MID($A5,5,1)="D"))</formula>
    </cfRule>
  </conditionalFormatting>
  <conditionalFormatting sqref="C4 C8 C16">
    <cfRule type="expression" dxfId="2104" priority="18354">
      <formula>IF($Y5&gt;$Y2,AND(MID($A4,5,1)=" "))</formula>
    </cfRule>
    <cfRule type="expression" dxfId="2103" priority="18355">
      <formula>IF($Y5&gt;$Y2,AND(MID($A4,5,1)="C"))</formula>
    </cfRule>
    <cfRule type="expression" dxfId="2102" priority="18356">
      <formula>IF($Y5&gt;$Y2,AND(MID($A4,5,1)="D"))</formula>
    </cfRule>
  </conditionalFormatting>
  <conditionalFormatting sqref="G160:G201">
    <cfRule type="cellIs" dxfId="2101" priority="8210" operator="lessThan">
      <formula>0</formula>
    </cfRule>
  </conditionalFormatting>
  <conditionalFormatting sqref="Q160:T201">
    <cfRule type="cellIs" dxfId="2100" priority="8207" operator="equal">
      <formula>0</formula>
    </cfRule>
  </conditionalFormatting>
  <conditionalFormatting sqref="Z66">
    <cfRule type="cellIs" dxfId="2099" priority="8184" operator="equal">
      <formula>0</formula>
    </cfRule>
  </conditionalFormatting>
  <conditionalFormatting sqref="AA66">
    <cfRule type="cellIs" dxfId="2098" priority="8183" operator="equal">
      <formula>0</formula>
    </cfRule>
  </conditionalFormatting>
  <conditionalFormatting sqref="Z67 Z69">
    <cfRule type="cellIs" dxfId="2097" priority="8181" operator="equal">
      <formula>0</formula>
    </cfRule>
  </conditionalFormatting>
  <conditionalFormatting sqref="AA67:AA69">
    <cfRule type="cellIs" dxfId="2096" priority="8180" operator="equal">
      <formula>0</formula>
    </cfRule>
  </conditionalFormatting>
  <conditionalFormatting sqref="Z72">
    <cfRule type="cellIs" dxfId="2095" priority="8179" operator="equal">
      <formula>0</formula>
    </cfRule>
  </conditionalFormatting>
  <conditionalFormatting sqref="AA72">
    <cfRule type="cellIs" dxfId="2094" priority="8178" operator="equal">
      <formula>0</formula>
    </cfRule>
  </conditionalFormatting>
  <conditionalFormatting sqref="Z73:Z75">
    <cfRule type="cellIs" dxfId="2093" priority="8176" operator="equal">
      <formula>0</formula>
    </cfRule>
  </conditionalFormatting>
  <conditionalFormatting sqref="AA73:AA75">
    <cfRule type="cellIs" dxfId="2092" priority="8175" operator="equal">
      <formula>0</formula>
    </cfRule>
  </conditionalFormatting>
  <conditionalFormatting sqref="Z78">
    <cfRule type="cellIs" dxfId="2091" priority="8174" operator="equal">
      <formula>0</formula>
    </cfRule>
  </conditionalFormatting>
  <conditionalFormatting sqref="AA78">
    <cfRule type="cellIs" dxfId="2090" priority="8173" operator="equal">
      <formula>0</formula>
    </cfRule>
  </conditionalFormatting>
  <conditionalFormatting sqref="Z79:Z81">
    <cfRule type="cellIs" dxfId="2089" priority="8171" operator="equal">
      <formula>0</formula>
    </cfRule>
  </conditionalFormatting>
  <conditionalFormatting sqref="AA79:AA81">
    <cfRule type="cellIs" dxfId="2088" priority="8170" operator="equal">
      <formula>0</formula>
    </cfRule>
  </conditionalFormatting>
  <conditionalFormatting sqref="Z84">
    <cfRule type="cellIs" dxfId="2087" priority="8169" operator="equal">
      <formula>0</formula>
    </cfRule>
  </conditionalFormatting>
  <conditionalFormatting sqref="AA84">
    <cfRule type="cellIs" dxfId="2086" priority="8168" operator="equal">
      <formula>0</formula>
    </cfRule>
  </conditionalFormatting>
  <conditionalFormatting sqref="Z85:Z87">
    <cfRule type="cellIs" dxfId="2085" priority="8166" operator="equal">
      <formula>0</formula>
    </cfRule>
  </conditionalFormatting>
  <conditionalFormatting sqref="AA85:AA87">
    <cfRule type="cellIs" dxfId="2084" priority="8165" operator="equal">
      <formula>0</formula>
    </cfRule>
  </conditionalFormatting>
  <conditionalFormatting sqref="Z90">
    <cfRule type="cellIs" dxfId="2083" priority="8164" operator="equal">
      <formula>0</formula>
    </cfRule>
  </conditionalFormatting>
  <conditionalFormatting sqref="AA90">
    <cfRule type="cellIs" dxfId="2082" priority="8163" operator="equal">
      <formula>0</formula>
    </cfRule>
  </conditionalFormatting>
  <conditionalFormatting sqref="Z91:Z93">
    <cfRule type="cellIs" dxfId="2081" priority="8161" operator="equal">
      <formula>0</formula>
    </cfRule>
  </conditionalFormatting>
  <conditionalFormatting sqref="AA91:AA93">
    <cfRule type="cellIs" dxfId="2080" priority="8160" operator="equal">
      <formula>0</formula>
    </cfRule>
  </conditionalFormatting>
  <conditionalFormatting sqref="Z96">
    <cfRule type="cellIs" dxfId="2079" priority="8159" operator="equal">
      <formula>0</formula>
    </cfRule>
  </conditionalFormatting>
  <conditionalFormatting sqref="AA96">
    <cfRule type="cellIs" dxfId="2078" priority="8158" operator="equal">
      <formula>0</formula>
    </cfRule>
  </conditionalFormatting>
  <conditionalFormatting sqref="Z97:Z99">
    <cfRule type="cellIs" dxfId="2077" priority="8156" operator="equal">
      <formula>0</formula>
    </cfRule>
  </conditionalFormatting>
  <conditionalFormatting sqref="AA97:AA99">
    <cfRule type="cellIs" dxfId="2076" priority="8155" operator="equal">
      <formula>0</formula>
    </cfRule>
  </conditionalFormatting>
  <conditionalFormatting sqref="Z102">
    <cfRule type="cellIs" dxfId="2075" priority="8154" operator="equal">
      <formula>0</formula>
    </cfRule>
  </conditionalFormatting>
  <conditionalFormatting sqref="AA102">
    <cfRule type="cellIs" dxfId="2074" priority="8153" operator="equal">
      <formula>0</formula>
    </cfRule>
  </conditionalFormatting>
  <conditionalFormatting sqref="Z103:Z105">
    <cfRule type="cellIs" dxfId="2073" priority="8151" operator="equal">
      <formula>0</formula>
    </cfRule>
  </conditionalFormatting>
  <conditionalFormatting sqref="AA103:AA105">
    <cfRule type="cellIs" dxfId="2072" priority="8150" operator="equal">
      <formula>0</formula>
    </cfRule>
  </conditionalFormatting>
  <conditionalFormatting sqref="Z108">
    <cfRule type="cellIs" dxfId="2071" priority="8149" operator="equal">
      <formula>0</formula>
    </cfRule>
  </conditionalFormatting>
  <conditionalFormatting sqref="AA108">
    <cfRule type="cellIs" dxfId="2070" priority="8148" operator="equal">
      <formula>0</formula>
    </cfRule>
  </conditionalFormatting>
  <conditionalFormatting sqref="Z109:Z111">
    <cfRule type="cellIs" dxfId="2069" priority="8146" operator="equal">
      <formula>0</formula>
    </cfRule>
  </conditionalFormatting>
  <conditionalFormatting sqref="AA109:AA111">
    <cfRule type="cellIs" dxfId="2068" priority="8145" operator="equal">
      <formula>0</formula>
    </cfRule>
  </conditionalFormatting>
  <conditionalFormatting sqref="Z114">
    <cfRule type="cellIs" dxfId="2067" priority="8144" operator="equal">
      <formula>0</formula>
    </cfRule>
  </conditionalFormatting>
  <conditionalFormatting sqref="AA114">
    <cfRule type="cellIs" dxfId="2066" priority="8143" operator="equal">
      <formula>0</formula>
    </cfRule>
  </conditionalFormatting>
  <conditionalFormatting sqref="Z138">
    <cfRule type="cellIs" dxfId="2065" priority="8124" operator="equal">
      <formula>0</formula>
    </cfRule>
  </conditionalFormatting>
  <conditionalFormatting sqref="Z115:Z117">
    <cfRule type="cellIs" dxfId="2064" priority="8141" operator="equal">
      <formula>0</formula>
    </cfRule>
  </conditionalFormatting>
  <conditionalFormatting sqref="AA115:AA117">
    <cfRule type="cellIs" dxfId="2063" priority="8140" operator="equal">
      <formula>0</formula>
    </cfRule>
  </conditionalFormatting>
  <conditionalFormatting sqref="Z120">
    <cfRule type="cellIs" dxfId="2062" priority="8139" operator="equal">
      <formula>0</formula>
    </cfRule>
  </conditionalFormatting>
  <conditionalFormatting sqref="AA120">
    <cfRule type="cellIs" dxfId="2061" priority="8138" operator="equal">
      <formula>0</formula>
    </cfRule>
  </conditionalFormatting>
  <conditionalFormatting sqref="Z139:Z141">
    <cfRule type="cellIs" dxfId="2060" priority="8121" operator="equal">
      <formula>0</formula>
    </cfRule>
  </conditionalFormatting>
  <conditionalFormatting sqref="Z121:Z123">
    <cfRule type="cellIs" dxfId="2059" priority="8136" operator="equal">
      <formula>0</formula>
    </cfRule>
  </conditionalFormatting>
  <conditionalFormatting sqref="AA121:AA123">
    <cfRule type="cellIs" dxfId="2058" priority="8135" operator="equal">
      <formula>0</formula>
    </cfRule>
  </conditionalFormatting>
  <conditionalFormatting sqref="Z126">
    <cfRule type="cellIs" dxfId="2057" priority="8134" operator="equal">
      <formula>0</formula>
    </cfRule>
  </conditionalFormatting>
  <conditionalFormatting sqref="AA126">
    <cfRule type="cellIs" dxfId="2056" priority="8133" operator="equal">
      <formula>0</formula>
    </cfRule>
  </conditionalFormatting>
  <conditionalFormatting sqref="AA144">
    <cfRule type="cellIs" dxfId="2055" priority="8118" operator="equal">
      <formula>0</formula>
    </cfRule>
  </conditionalFormatting>
  <conditionalFormatting sqref="Z127:Z129">
    <cfRule type="cellIs" dxfId="2054" priority="8131" operator="equal">
      <formula>0</formula>
    </cfRule>
  </conditionalFormatting>
  <conditionalFormatting sqref="AA127:AA129">
    <cfRule type="cellIs" dxfId="2053" priority="8130" operator="equal">
      <formula>0</formula>
    </cfRule>
  </conditionalFormatting>
  <conditionalFormatting sqref="Z132">
    <cfRule type="cellIs" dxfId="2052" priority="8129" operator="equal">
      <formula>0</formula>
    </cfRule>
  </conditionalFormatting>
  <conditionalFormatting sqref="AA132">
    <cfRule type="cellIs" dxfId="2051" priority="8128" operator="equal">
      <formula>0</formula>
    </cfRule>
  </conditionalFormatting>
  <conditionalFormatting sqref="AA145:AA147">
    <cfRule type="cellIs" dxfId="2050" priority="8115" operator="equal">
      <formula>0</formula>
    </cfRule>
  </conditionalFormatting>
  <conditionalFormatting sqref="Z133:Z135">
    <cfRule type="cellIs" dxfId="2049" priority="8126" operator="equal">
      <formula>0</formula>
    </cfRule>
  </conditionalFormatting>
  <conditionalFormatting sqref="AA133:AA135">
    <cfRule type="cellIs" dxfId="2048" priority="8125" operator="equal">
      <formula>0</formula>
    </cfRule>
  </conditionalFormatting>
  <conditionalFormatting sqref="AA138">
    <cfRule type="cellIs" dxfId="2047" priority="8123" operator="equal">
      <formula>0</formula>
    </cfRule>
  </conditionalFormatting>
  <conditionalFormatting sqref="AA139:AA141">
    <cfRule type="cellIs" dxfId="2046" priority="8120" operator="equal">
      <formula>0</formula>
    </cfRule>
  </conditionalFormatting>
  <conditionalFormatting sqref="Z144">
    <cfRule type="cellIs" dxfId="2045" priority="8119" operator="equal">
      <formula>0</formula>
    </cfRule>
  </conditionalFormatting>
  <conditionalFormatting sqref="Z156">
    <cfRule type="cellIs" dxfId="2044" priority="8109" operator="equal">
      <formula>0</formula>
    </cfRule>
  </conditionalFormatting>
  <conditionalFormatting sqref="Z145:Z147">
    <cfRule type="cellIs" dxfId="2043" priority="8116" operator="equal">
      <formula>0</formula>
    </cfRule>
  </conditionalFormatting>
  <conditionalFormatting sqref="Z150">
    <cfRule type="cellIs" dxfId="2042" priority="8114" operator="equal">
      <formula>0</formula>
    </cfRule>
  </conditionalFormatting>
  <conditionalFormatting sqref="AA150">
    <cfRule type="cellIs" dxfId="2041" priority="8113" operator="equal">
      <formula>0</formula>
    </cfRule>
  </conditionalFormatting>
  <conditionalFormatting sqref="Z157:Z159">
    <cfRule type="cellIs" dxfId="2040" priority="8106" operator="equal">
      <formula>0</formula>
    </cfRule>
  </conditionalFormatting>
  <conditionalFormatting sqref="Z151:Z153">
    <cfRule type="cellIs" dxfId="2039" priority="8111" operator="equal">
      <formula>0</formula>
    </cfRule>
  </conditionalFormatting>
  <conditionalFormatting sqref="AA151:AA153">
    <cfRule type="cellIs" dxfId="2038" priority="8110" operator="equal">
      <formula>0</formula>
    </cfRule>
  </conditionalFormatting>
  <conditionalFormatting sqref="AA156">
    <cfRule type="cellIs" dxfId="2037" priority="8108" operator="equal">
      <formula>0</formula>
    </cfRule>
  </conditionalFormatting>
  <conditionalFormatting sqref="AA162 AA168 AA174 AA180 AA186 AA192 AA198">
    <cfRule type="cellIs" dxfId="2036" priority="8103" operator="equal">
      <formula>0</formula>
    </cfRule>
  </conditionalFormatting>
  <conditionalFormatting sqref="AA157:AA159">
    <cfRule type="cellIs" dxfId="2035" priority="8105" operator="equal">
      <formula>0</formula>
    </cfRule>
  </conditionalFormatting>
  <conditionalFormatting sqref="Z162 Z168 Z174 Z180 Z186 Z192 Z198">
    <cfRule type="cellIs" dxfId="2034" priority="8104" operator="equal">
      <formula>0</formula>
    </cfRule>
  </conditionalFormatting>
  <conditionalFormatting sqref="AA163:AA165 AA169:AA171 AA175:AA177 AA181:AA183 AA187:AA189 AA193:AA195 AA199:AA201">
    <cfRule type="cellIs" dxfId="2033" priority="8100" operator="equal">
      <formula>0</formula>
    </cfRule>
  </conditionalFormatting>
  <conditionalFormatting sqref="Z163:Z165 Z169:Z171 Z175:Z177 Z181:Z183 Z187:Z189 Z193:Z195 Z199:Z201">
    <cfRule type="cellIs" dxfId="2032" priority="8101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031" priority="8094" operator="equal">
      <formula>0</formula>
    </cfRule>
  </conditionalFormatting>
  <conditionalFormatting sqref="Y62">
    <cfRule type="cellIs" dxfId="2030" priority="7871" operator="greaterThan">
      <formula>Z62</formula>
    </cfRule>
    <cfRule type="cellIs" dxfId="2029" priority="7872" operator="lessThanOrEqual">
      <formula>0</formula>
    </cfRule>
  </conditionalFormatting>
  <conditionalFormatting sqref="W69">
    <cfRule type="cellIs" dxfId="2028" priority="5439" operator="equal">
      <formula>0</formula>
    </cfRule>
    <cfRule type="cellIs" dxfId="2027" priority="6916" operator="greaterThan">
      <formula>W68</formula>
    </cfRule>
  </conditionalFormatting>
  <conditionalFormatting sqref="Y67">
    <cfRule type="cellIs" dxfId="2026" priority="5579" operator="equal">
      <formula>0</formula>
    </cfRule>
  </conditionalFormatting>
  <conditionalFormatting sqref="Y69">
    <cfRule type="cellIs" dxfId="2025" priority="5578" operator="equal">
      <formula>0</formula>
    </cfRule>
  </conditionalFormatting>
  <conditionalFormatting sqref="W71">
    <cfRule type="cellIs" dxfId="2024" priority="5000" operator="lessThan">
      <formula>W70</formula>
    </cfRule>
    <cfRule type="cellIs" dxfId="2023" priority="5426" operator="equal">
      <formula>0</formula>
    </cfRule>
  </conditionalFormatting>
  <conditionalFormatting sqref="W70">
    <cfRule type="cellIs" dxfId="2022" priority="5001" operator="lessThan">
      <formula>W71</formula>
    </cfRule>
    <cfRule type="cellIs" dxfId="2021" priority="5419" operator="equal">
      <formula>0</formula>
    </cfRule>
    <cfRule type="cellIs" dxfId="2020" priority="5420" operator="lessThan">
      <formula>W71</formula>
    </cfRule>
    <cfRule type="cellIs" dxfId="2019" priority="5425" operator="lessThan">
      <formula>0</formula>
    </cfRule>
  </conditionalFormatting>
  <conditionalFormatting sqref="W73">
    <cfRule type="cellIs" dxfId="2018" priority="5424" operator="equal">
      <formula>0</formula>
    </cfRule>
  </conditionalFormatting>
  <conditionalFormatting sqref="W72">
    <cfRule type="cellIs" dxfId="2017" priority="5417" operator="equal">
      <formula>0</formula>
    </cfRule>
    <cfRule type="cellIs" dxfId="2016" priority="5418" operator="lessThan">
      <formula>W73</formula>
    </cfRule>
    <cfRule type="cellIs" dxfId="2015" priority="5423" operator="lessThan">
      <formula>0</formula>
    </cfRule>
  </conditionalFormatting>
  <conditionalFormatting sqref="W74">
    <cfRule type="cellIs" dxfId="2014" priority="5416" operator="equal">
      <formula>0</formula>
    </cfRule>
    <cfRule type="cellIs" dxfId="2013" priority="5421" operator="lessThan">
      <formula>W75</formula>
    </cfRule>
  </conditionalFormatting>
  <conditionalFormatting sqref="W79">
    <cfRule type="cellIs" dxfId="2012" priority="5412" operator="equal">
      <formula>0</formula>
    </cfRule>
  </conditionalFormatting>
  <conditionalFormatting sqref="W78">
    <cfRule type="cellIs" dxfId="2011" priority="5405" operator="equal">
      <formula>0</formula>
    </cfRule>
    <cfRule type="cellIs" dxfId="2010" priority="5406" operator="lessThan">
      <formula>W79</formula>
    </cfRule>
    <cfRule type="cellIs" dxfId="2009" priority="5411" operator="lessThan">
      <formula>0</formula>
    </cfRule>
  </conditionalFormatting>
  <conditionalFormatting sqref="W80">
    <cfRule type="cellIs" dxfId="2008" priority="5404" operator="equal">
      <formula>0</formula>
    </cfRule>
    <cfRule type="cellIs" dxfId="2007" priority="5409" operator="lessThan">
      <formula>W81</formula>
    </cfRule>
  </conditionalFormatting>
  <conditionalFormatting sqref="W85">
    <cfRule type="cellIs" dxfId="2006" priority="5400" operator="equal">
      <formula>0</formula>
    </cfRule>
  </conditionalFormatting>
  <conditionalFormatting sqref="W84">
    <cfRule type="cellIs" dxfId="2005" priority="5393" operator="equal">
      <formula>0</formula>
    </cfRule>
    <cfRule type="cellIs" dxfId="2004" priority="5394" operator="lessThan">
      <formula>W85</formula>
    </cfRule>
    <cfRule type="cellIs" dxfId="2003" priority="5399" operator="lessThan">
      <formula>0</formula>
    </cfRule>
  </conditionalFormatting>
  <conditionalFormatting sqref="W86">
    <cfRule type="cellIs" dxfId="2002" priority="5392" operator="equal">
      <formula>0</formula>
    </cfRule>
    <cfRule type="cellIs" dxfId="2001" priority="5397" operator="lessThan">
      <formula>W87</formula>
    </cfRule>
  </conditionalFormatting>
  <conditionalFormatting sqref="W87">
    <cfRule type="cellIs" dxfId="2000" priority="5391" operator="equal">
      <formula>0</formula>
    </cfRule>
    <cfRule type="cellIs" dxfId="1999" priority="5398" operator="greaterThan">
      <formula>W86</formula>
    </cfRule>
  </conditionalFormatting>
  <conditionalFormatting sqref="W91">
    <cfRule type="cellIs" dxfId="1998" priority="5388" operator="equal">
      <formula>0</formula>
    </cfRule>
  </conditionalFormatting>
  <conditionalFormatting sqref="W90">
    <cfRule type="cellIs" dxfId="1997" priority="5381" operator="equal">
      <formula>0</formula>
    </cfRule>
    <cfRule type="cellIs" dxfId="1996" priority="5382" operator="lessThan">
      <formula>W91</formula>
    </cfRule>
    <cfRule type="cellIs" dxfId="1995" priority="5387" operator="lessThan">
      <formula>0</formula>
    </cfRule>
  </conditionalFormatting>
  <conditionalFormatting sqref="W92">
    <cfRule type="cellIs" dxfId="1994" priority="5380" operator="equal">
      <formula>0</formula>
    </cfRule>
    <cfRule type="cellIs" dxfId="1993" priority="5385" operator="lessThan">
      <formula>W93</formula>
    </cfRule>
  </conditionalFormatting>
  <conditionalFormatting sqref="W93">
    <cfRule type="cellIs" dxfId="1992" priority="5379" operator="equal">
      <formula>0</formula>
    </cfRule>
    <cfRule type="cellIs" dxfId="1991" priority="5386" operator="greaterThan">
      <formula>W92</formula>
    </cfRule>
  </conditionalFormatting>
  <conditionalFormatting sqref="W97">
    <cfRule type="cellIs" dxfId="1990" priority="5376" operator="equal">
      <formula>0</formula>
    </cfRule>
  </conditionalFormatting>
  <conditionalFormatting sqref="W96">
    <cfRule type="cellIs" dxfId="1989" priority="5369" operator="equal">
      <formula>0</formula>
    </cfRule>
    <cfRule type="cellIs" dxfId="1988" priority="5370" operator="lessThan">
      <formula>W97</formula>
    </cfRule>
    <cfRule type="cellIs" dxfId="1987" priority="5375" operator="lessThan">
      <formula>0</formula>
    </cfRule>
  </conditionalFormatting>
  <conditionalFormatting sqref="W98">
    <cfRule type="cellIs" dxfId="1986" priority="5368" operator="equal">
      <formula>0</formula>
    </cfRule>
    <cfRule type="cellIs" dxfId="1985" priority="5373" operator="lessThan">
      <formula>W99</formula>
    </cfRule>
  </conditionalFormatting>
  <conditionalFormatting sqref="W99">
    <cfRule type="cellIs" dxfId="1984" priority="5367" operator="equal">
      <formula>0</formula>
    </cfRule>
    <cfRule type="cellIs" dxfId="1983" priority="5374" operator="greaterThan">
      <formula>W98</formula>
    </cfRule>
  </conditionalFormatting>
  <conditionalFormatting sqref="W103">
    <cfRule type="cellIs" dxfId="1982" priority="5364" operator="equal">
      <formula>0</formula>
    </cfRule>
  </conditionalFormatting>
  <conditionalFormatting sqref="W102">
    <cfRule type="cellIs" dxfId="1981" priority="5357" operator="equal">
      <formula>0</formula>
    </cfRule>
    <cfRule type="cellIs" dxfId="1980" priority="5358" operator="lessThan">
      <formula>W103</formula>
    </cfRule>
    <cfRule type="cellIs" dxfId="1979" priority="5363" operator="lessThan">
      <formula>0</formula>
    </cfRule>
  </conditionalFormatting>
  <conditionalFormatting sqref="W104">
    <cfRule type="cellIs" dxfId="1978" priority="5356" operator="equal">
      <formula>0</formula>
    </cfRule>
    <cfRule type="cellIs" dxfId="1977" priority="5361" operator="lessThan">
      <formula>W105</formula>
    </cfRule>
  </conditionalFormatting>
  <conditionalFormatting sqref="W105">
    <cfRule type="cellIs" dxfId="1976" priority="5355" operator="equal">
      <formula>0</formula>
    </cfRule>
    <cfRule type="cellIs" dxfId="1975" priority="5362" operator="greaterThan">
      <formula>W104</formula>
    </cfRule>
  </conditionalFormatting>
  <conditionalFormatting sqref="W109">
    <cfRule type="cellIs" dxfId="1974" priority="5352" operator="equal">
      <formula>0</formula>
    </cfRule>
  </conditionalFormatting>
  <conditionalFormatting sqref="W108">
    <cfRule type="cellIs" dxfId="1973" priority="5345" operator="equal">
      <formula>0</formula>
    </cfRule>
    <cfRule type="cellIs" dxfId="1972" priority="5346" operator="lessThan">
      <formula>W109</formula>
    </cfRule>
    <cfRule type="cellIs" dxfId="1971" priority="5351" operator="lessThan">
      <formula>0</formula>
    </cfRule>
  </conditionalFormatting>
  <conditionalFormatting sqref="W110">
    <cfRule type="cellIs" dxfId="1970" priority="5344" operator="equal">
      <formula>0</formula>
    </cfRule>
    <cfRule type="cellIs" dxfId="1969" priority="5349" operator="lessThan">
      <formula>W111</formula>
    </cfRule>
  </conditionalFormatting>
  <conditionalFormatting sqref="W111">
    <cfRule type="cellIs" dxfId="1968" priority="5343" operator="equal">
      <formula>0</formula>
    </cfRule>
    <cfRule type="cellIs" dxfId="1967" priority="5350" operator="greaterThan">
      <formula>W110</formula>
    </cfRule>
  </conditionalFormatting>
  <conditionalFormatting sqref="W115">
    <cfRule type="cellIs" dxfId="1966" priority="5340" operator="equal">
      <formula>0</formula>
    </cfRule>
  </conditionalFormatting>
  <conditionalFormatting sqref="W114">
    <cfRule type="cellIs" dxfId="1965" priority="5333" operator="equal">
      <formula>0</formula>
    </cfRule>
    <cfRule type="cellIs" dxfId="1964" priority="5334" operator="lessThan">
      <formula>W115</formula>
    </cfRule>
    <cfRule type="cellIs" dxfId="1963" priority="5339" operator="lessThan">
      <formula>0</formula>
    </cfRule>
  </conditionalFormatting>
  <conditionalFormatting sqref="W116">
    <cfRule type="cellIs" dxfId="1962" priority="5332" operator="equal">
      <formula>0</formula>
    </cfRule>
    <cfRule type="cellIs" dxfId="1961" priority="5337" operator="lessThan">
      <formula>W117</formula>
    </cfRule>
  </conditionalFormatting>
  <conditionalFormatting sqref="W117">
    <cfRule type="cellIs" dxfId="1960" priority="5331" operator="equal">
      <formula>0</formula>
    </cfRule>
    <cfRule type="cellIs" dxfId="1959" priority="5338" operator="greaterThan">
      <formula>W116</formula>
    </cfRule>
  </conditionalFormatting>
  <conditionalFormatting sqref="W121">
    <cfRule type="cellIs" dxfId="1958" priority="5328" operator="equal">
      <formula>0</formula>
    </cfRule>
  </conditionalFormatting>
  <conditionalFormatting sqref="W120">
    <cfRule type="cellIs" dxfId="1957" priority="5321" operator="equal">
      <formula>0</formula>
    </cfRule>
    <cfRule type="cellIs" dxfId="1956" priority="5322" operator="lessThan">
      <formula>W121</formula>
    </cfRule>
    <cfRule type="cellIs" dxfId="1955" priority="5327" operator="lessThan">
      <formula>0</formula>
    </cfRule>
  </conditionalFormatting>
  <conditionalFormatting sqref="W122">
    <cfRule type="cellIs" dxfId="1954" priority="5320" operator="equal">
      <formula>0</formula>
    </cfRule>
    <cfRule type="cellIs" dxfId="1953" priority="5325" operator="lessThan">
      <formula>W123</formula>
    </cfRule>
  </conditionalFormatting>
  <conditionalFormatting sqref="W123">
    <cfRule type="cellIs" dxfId="1952" priority="5319" operator="equal">
      <formula>0</formula>
    </cfRule>
    <cfRule type="cellIs" dxfId="1951" priority="5326" operator="greaterThan">
      <formula>W122</formula>
    </cfRule>
  </conditionalFormatting>
  <conditionalFormatting sqref="W127">
    <cfRule type="cellIs" dxfId="1950" priority="5316" operator="equal">
      <formula>0</formula>
    </cfRule>
  </conditionalFormatting>
  <conditionalFormatting sqref="W126">
    <cfRule type="cellIs" dxfId="1949" priority="5309" operator="equal">
      <formula>0</formula>
    </cfRule>
    <cfRule type="cellIs" dxfId="1948" priority="5310" operator="lessThan">
      <formula>W127</formula>
    </cfRule>
    <cfRule type="cellIs" dxfId="1947" priority="5315" operator="lessThan">
      <formula>0</formula>
    </cfRule>
  </conditionalFormatting>
  <conditionalFormatting sqref="W128">
    <cfRule type="cellIs" dxfId="1946" priority="5308" operator="equal">
      <formula>0</formula>
    </cfRule>
    <cfRule type="cellIs" dxfId="1945" priority="5313" operator="lessThan">
      <formula>W129</formula>
    </cfRule>
  </conditionalFormatting>
  <conditionalFormatting sqref="W129">
    <cfRule type="cellIs" dxfId="1944" priority="5307" operator="equal">
      <formula>0</formula>
    </cfRule>
    <cfRule type="cellIs" dxfId="1943" priority="5314" operator="greaterThan">
      <formula>W128</formula>
    </cfRule>
  </conditionalFormatting>
  <conditionalFormatting sqref="W133">
    <cfRule type="cellIs" dxfId="1942" priority="5304" operator="equal">
      <formula>0</formula>
    </cfRule>
  </conditionalFormatting>
  <conditionalFormatting sqref="W132">
    <cfRule type="cellIs" dxfId="1941" priority="5297" operator="equal">
      <formula>0</formula>
    </cfRule>
    <cfRule type="cellIs" dxfId="1940" priority="5298" operator="lessThan">
      <formula>W133</formula>
    </cfRule>
    <cfRule type="cellIs" dxfId="1939" priority="5303" operator="lessThan">
      <formula>0</formula>
    </cfRule>
  </conditionalFormatting>
  <conditionalFormatting sqref="W134">
    <cfRule type="cellIs" dxfId="1938" priority="5296" operator="equal">
      <formula>0</formula>
    </cfRule>
    <cfRule type="cellIs" dxfId="1937" priority="5301" operator="lessThan">
      <formula>W135</formula>
    </cfRule>
  </conditionalFormatting>
  <conditionalFormatting sqref="W135">
    <cfRule type="cellIs" dxfId="1936" priority="5295" operator="equal">
      <formula>0</formula>
    </cfRule>
    <cfRule type="cellIs" dxfId="1935" priority="5302" operator="greaterThan">
      <formula>W134</formula>
    </cfRule>
  </conditionalFormatting>
  <conditionalFormatting sqref="W139">
    <cfRule type="cellIs" dxfId="1934" priority="5292" operator="equal">
      <formula>0</formula>
    </cfRule>
  </conditionalFormatting>
  <conditionalFormatting sqref="W138">
    <cfRule type="cellIs" dxfId="1933" priority="5285" operator="equal">
      <formula>0</formula>
    </cfRule>
    <cfRule type="cellIs" dxfId="1932" priority="5286" operator="lessThan">
      <formula>W139</formula>
    </cfRule>
    <cfRule type="cellIs" dxfId="1931" priority="5291" operator="lessThan">
      <formula>0</formula>
    </cfRule>
  </conditionalFormatting>
  <conditionalFormatting sqref="W140">
    <cfRule type="cellIs" dxfId="1930" priority="5284" operator="equal">
      <formula>0</formula>
    </cfRule>
    <cfRule type="cellIs" dxfId="1929" priority="5289" operator="lessThan">
      <formula>W141</formula>
    </cfRule>
  </conditionalFormatting>
  <conditionalFormatting sqref="W141">
    <cfRule type="cellIs" dxfId="1928" priority="5283" operator="equal">
      <formula>0</formula>
    </cfRule>
    <cfRule type="cellIs" dxfId="1927" priority="5290" operator="greaterThan">
      <formula>W140</formula>
    </cfRule>
  </conditionalFormatting>
  <conditionalFormatting sqref="W145">
    <cfRule type="cellIs" dxfId="1926" priority="5280" operator="equal">
      <formula>0</formula>
    </cfRule>
  </conditionalFormatting>
  <conditionalFormatting sqref="W144">
    <cfRule type="cellIs" dxfId="1925" priority="5273" operator="equal">
      <formula>0</formula>
    </cfRule>
    <cfRule type="cellIs" dxfId="1924" priority="5274" operator="lessThan">
      <formula>W145</formula>
    </cfRule>
    <cfRule type="cellIs" dxfId="1923" priority="5279" operator="lessThan">
      <formula>0</formula>
    </cfRule>
  </conditionalFormatting>
  <conditionalFormatting sqref="W146">
    <cfRule type="cellIs" dxfId="1922" priority="5272" operator="equal">
      <formula>0</formula>
    </cfRule>
    <cfRule type="cellIs" dxfId="1921" priority="5277" operator="lessThan">
      <formula>W147</formula>
    </cfRule>
  </conditionalFormatting>
  <conditionalFormatting sqref="W147">
    <cfRule type="cellIs" dxfId="1920" priority="5271" operator="equal">
      <formula>0</formula>
    </cfRule>
    <cfRule type="cellIs" dxfId="1919" priority="5278" operator="greaterThan">
      <formula>W146</formula>
    </cfRule>
  </conditionalFormatting>
  <conditionalFormatting sqref="W151">
    <cfRule type="cellIs" dxfId="1918" priority="5268" operator="equal">
      <formula>0</formula>
    </cfRule>
  </conditionalFormatting>
  <conditionalFormatting sqref="W150">
    <cfRule type="cellIs" dxfId="1917" priority="5261" operator="equal">
      <formula>0</formula>
    </cfRule>
    <cfRule type="cellIs" dxfId="1916" priority="5262" operator="lessThan">
      <formula>W151</formula>
    </cfRule>
    <cfRule type="cellIs" dxfId="1915" priority="5267" operator="lessThan">
      <formula>0</formula>
    </cfRule>
  </conditionalFormatting>
  <conditionalFormatting sqref="W152">
    <cfRule type="cellIs" dxfId="1914" priority="5260" operator="equal">
      <formula>0</formula>
    </cfRule>
    <cfRule type="cellIs" dxfId="1913" priority="5265" operator="lessThan">
      <formula>W153</formula>
    </cfRule>
  </conditionalFormatting>
  <conditionalFormatting sqref="W153">
    <cfRule type="cellIs" dxfId="1912" priority="5259" operator="equal">
      <formula>0</formula>
    </cfRule>
    <cfRule type="cellIs" dxfId="1911" priority="5266" operator="greaterThan">
      <formula>W152</formula>
    </cfRule>
  </conditionalFormatting>
  <conditionalFormatting sqref="W155">
    <cfRule type="cellIs" dxfId="1910" priority="5258" operator="equal">
      <formula>0</formula>
    </cfRule>
  </conditionalFormatting>
  <conditionalFormatting sqref="W154">
    <cfRule type="cellIs" dxfId="1909" priority="5251" operator="equal">
      <formula>0</formula>
    </cfRule>
    <cfRule type="cellIs" dxfId="1908" priority="5252" operator="lessThan">
      <formula>W155</formula>
    </cfRule>
    <cfRule type="cellIs" dxfId="1907" priority="5257" operator="lessThan">
      <formula>0</formula>
    </cfRule>
  </conditionalFormatting>
  <conditionalFormatting sqref="W157">
    <cfRule type="cellIs" dxfId="1906" priority="5256" operator="equal">
      <formula>0</formula>
    </cfRule>
  </conditionalFormatting>
  <conditionalFormatting sqref="W156">
    <cfRule type="cellIs" dxfId="1905" priority="5249" operator="equal">
      <formula>0</formula>
    </cfRule>
    <cfRule type="cellIs" dxfId="1904" priority="5250" operator="lessThan">
      <formula>W157</formula>
    </cfRule>
    <cfRule type="cellIs" dxfId="1903" priority="5255" operator="lessThan">
      <formula>0</formula>
    </cfRule>
  </conditionalFormatting>
  <conditionalFormatting sqref="W158">
    <cfRule type="cellIs" dxfId="1902" priority="5248" operator="equal">
      <formula>0</formula>
    </cfRule>
    <cfRule type="cellIs" dxfId="1901" priority="5253" operator="lessThan">
      <formula>W159</formula>
    </cfRule>
  </conditionalFormatting>
  <conditionalFormatting sqref="W159">
    <cfRule type="cellIs" dxfId="1900" priority="5247" operator="equal">
      <formula>0</formula>
    </cfRule>
    <cfRule type="cellIs" dxfId="1899" priority="5254" operator="greaterThan">
      <formula>W158</formula>
    </cfRule>
  </conditionalFormatting>
  <conditionalFormatting sqref="W161">
    <cfRule type="cellIs" dxfId="1898" priority="5246" operator="equal">
      <formula>0</formula>
    </cfRule>
  </conditionalFormatting>
  <conditionalFormatting sqref="W160">
    <cfRule type="cellIs" dxfId="1897" priority="5239" operator="equal">
      <formula>0</formula>
    </cfRule>
    <cfRule type="cellIs" dxfId="1896" priority="5240" operator="lessThan">
      <formula>W161</formula>
    </cfRule>
    <cfRule type="cellIs" dxfId="1895" priority="5245" operator="lessThan">
      <formula>0</formula>
    </cfRule>
  </conditionalFormatting>
  <conditionalFormatting sqref="W163">
    <cfRule type="cellIs" dxfId="1894" priority="5244" operator="equal">
      <formula>0</formula>
    </cfRule>
  </conditionalFormatting>
  <conditionalFormatting sqref="W162">
    <cfRule type="cellIs" dxfId="1893" priority="5237" operator="equal">
      <formula>0</formula>
    </cfRule>
    <cfRule type="cellIs" dxfId="1892" priority="5238" operator="lessThan">
      <formula>W163</formula>
    </cfRule>
    <cfRule type="cellIs" dxfId="1891" priority="5243" operator="lessThan">
      <formula>0</formula>
    </cfRule>
  </conditionalFormatting>
  <conditionalFormatting sqref="W164">
    <cfRule type="cellIs" dxfId="1890" priority="5236" operator="equal">
      <formula>0</formula>
    </cfRule>
    <cfRule type="cellIs" dxfId="1889" priority="5241" operator="lessThan">
      <formula>W165</formula>
    </cfRule>
  </conditionalFormatting>
  <conditionalFormatting sqref="W165">
    <cfRule type="cellIs" dxfId="1888" priority="5235" operator="equal">
      <formula>0</formula>
    </cfRule>
    <cfRule type="cellIs" dxfId="1887" priority="5242" operator="greaterThan">
      <formula>W164</formula>
    </cfRule>
  </conditionalFormatting>
  <conditionalFormatting sqref="W167 W173 W179 W185 W191 W197">
    <cfRule type="cellIs" dxfId="1886" priority="5234" operator="equal">
      <formula>0</formula>
    </cfRule>
  </conditionalFormatting>
  <conditionalFormatting sqref="W166 W172 W178 W184 W190 W196">
    <cfRule type="cellIs" dxfId="1885" priority="5227" operator="equal">
      <formula>0</formula>
    </cfRule>
    <cfRule type="cellIs" dxfId="1884" priority="5228" operator="lessThan">
      <formula>W167</formula>
    </cfRule>
    <cfRule type="cellIs" dxfId="1883" priority="5233" operator="lessThan">
      <formula>0</formula>
    </cfRule>
  </conditionalFormatting>
  <conditionalFormatting sqref="W169 W175 W181 W187 W193 W199">
    <cfRule type="cellIs" dxfId="1882" priority="5232" operator="equal">
      <formula>0</formula>
    </cfRule>
  </conditionalFormatting>
  <conditionalFormatting sqref="W168 W174 W180 W186 W192 W198">
    <cfRule type="cellIs" dxfId="1881" priority="5225" operator="equal">
      <formula>0</formula>
    </cfRule>
    <cfRule type="cellIs" dxfId="1880" priority="5226" operator="lessThan">
      <formula>W169</formula>
    </cfRule>
    <cfRule type="cellIs" dxfId="1879" priority="5231" operator="lessThan">
      <formula>0</formula>
    </cfRule>
  </conditionalFormatting>
  <conditionalFormatting sqref="W170 W176 W182 W188 W194 W200">
    <cfRule type="cellIs" dxfId="1878" priority="5224" operator="equal">
      <formula>0</formula>
    </cfRule>
    <cfRule type="cellIs" dxfId="1877" priority="5229" operator="lessThan">
      <formula>W171</formula>
    </cfRule>
  </conditionalFormatting>
  <conditionalFormatting sqref="W171 W177 W183 W189 W195 W201">
    <cfRule type="cellIs" dxfId="1876" priority="5223" operator="equal">
      <formula>0</formula>
    </cfRule>
    <cfRule type="cellIs" dxfId="1875" priority="5230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874" priority="4994" operator="lessThan">
      <formula>W76</formula>
    </cfRule>
    <cfRule type="cellIs" dxfId="1873" priority="4999" operator="equal">
      <formula>0</formula>
    </cfRule>
  </conditionalFormatting>
  <conditionalFormatting sqref="W76">
    <cfRule type="cellIs" dxfId="1872" priority="4995" operator="lessThan">
      <formula>W77</formula>
    </cfRule>
    <cfRule type="cellIs" dxfId="1871" priority="4996" operator="equal">
      <formula>0</formula>
    </cfRule>
    <cfRule type="cellIs" dxfId="1870" priority="4997" operator="lessThan">
      <formula>W77</formula>
    </cfRule>
    <cfRule type="cellIs" dxfId="1869" priority="4998" operator="lessThan">
      <formula>0</formula>
    </cfRule>
  </conditionalFormatting>
  <conditionalFormatting sqref="W83">
    <cfRule type="cellIs" dxfId="1868" priority="4988" operator="lessThan">
      <formula>W82</formula>
    </cfRule>
    <cfRule type="cellIs" dxfId="1867" priority="4993" operator="equal">
      <formula>0</formula>
    </cfRule>
  </conditionalFormatting>
  <conditionalFormatting sqref="W82">
    <cfRule type="cellIs" dxfId="1866" priority="4989" operator="lessThan">
      <formula>W83</formula>
    </cfRule>
    <cfRule type="cellIs" dxfId="1865" priority="4990" operator="equal">
      <formula>0</formula>
    </cfRule>
    <cfRule type="cellIs" dxfId="1864" priority="4991" operator="lessThan">
      <formula>W83</formula>
    </cfRule>
    <cfRule type="cellIs" dxfId="1863" priority="4992" operator="lessThan">
      <formula>0</formula>
    </cfRule>
  </conditionalFormatting>
  <conditionalFormatting sqref="W89">
    <cfRule type="cellIs" dxfId="1862" priority="4982" operator="lessThan">
      <formula>W88</formula>
    </cfRule>
    <cfRule type="cellIs" dxfId="1861" priority="4987" operator="equal">
      <formula>0</formula>
    </cfRule>
  </conditionalFormatting>
  <conditionalFormatting sqref="W88">
    <cfRule type="cellIs" dxfId="1860" priority="4983" operator="lessThan">
      <formula>W89</formula>
    </cfRule>
    <cfRule type="cellIs" dxfId="1859" priority="4984" operator="equal">
      <formula>0</formula>
    </cfRule>
    <cfRule type="cellIs" dxfId="1858" priority="4985" operator="lessThan">
      <formula>W89</formula>
    </cfRule>
    <cfRule type="cellIs" dxfId="1857" priority="4986" operator="lessThan">
      <formula>0</formula>
    </cfRule>
  </conditionalFormatting>
  <conditionalFormatting sqref="W95">
    <cfRule type="cellIs" dxfId="1856" priority="4976" operator="lessThan">
      <formula>W94</formula>
    </cfRule>
    <cfRule type="cellIs" dxfId="1855" priority="4981" operator="equal">
      <formula>0</formula>
    </cfRule>
  </conditionalFormatting>
  <conditionalFormatting sqref="W94">
    <cfRule type="cellIs" dxfId="1854" priority="4977" operator="lessThan">
      <formula>W95</formula>
    </cfRule>
    <cfRule type="cellIs" dxfId="1853" priority="4978" operator="equal">
      <formula>0</formula>
    </cfRule>
    <cfRule type="cellIs" dxfId="1852" priority="4979" operator="lessThan">
      <formula>W95</formula>
    </cfRule>
    <cfRule type="cellIs" dxfId="1851" priority="4980" operator="lessThan">
      <formula>0</formula>
    </cfRule>
  </conditionalFormatting>
  <conditionalFormatting sqref="W101">
    <cfRule type="cellIs" dxfId="1850" priority="4970" operator="lessThan">
      <formula>W100</formula>
    </cfRule>
    <cfRule type="cellIs" dxfId="1849" priority="4975" operator="equal">
      <formula>0</formula>
    </cfRule>
  </conditionalFormatting>
  <conditionalFormatting sqref="W100">
    <cfRule type="cellIs" dxfId="1848" priority="4971" operator="lessThan">
      <formula>W101</formula>
    </cfRule>
    <cfRule type="cellIs" dxfId="1847" priority="4972" operator="equal">
      <formula>0</formula>
    </cfRule>
    <cfRule type="cellIs" dxfId="1846" priority="4973" operator="lessThan">
      <formula>W101</formula>
    </cfRule>
    <cfRule type="cellIs" dxfId="1845" priority="4974" operator="lessThan">
      <formula>0</formula>
    </cfRule>
  </conditionalFormatting>
  <conditionalFormatting sqref="W107">
    <cfRule type="cellIs" dxfId="1844" priority="4964" operator="lessThan">
      <formula>W106</formula>
    </cfRule>
    <cfRule type="cellIs" dxfId="1843" priority="4969" operator="equal">
      <formula>0</formula>
    </cfRule>
  </conditionalFormatting>
  <conditionalFormatting sqref="W106">
    <cfRule type="cellIs" dxfId="1842" priority="4965" operator="lessThan">
      <formula>W107</formula>
    </cfRule>
    <cfRule type="cellIs" dxfId="1841" priority="4966" operator="equal">
      <formula>0</formula>
    </cfRule>
    <cfRule type="cellIs" dxfId="1840" priority="4967" operator="lessThan">
      <formula>W107</formula>
    </cfRule>
    <cfRule type="cellIs" dxfId="1839" priority="4968" operator="lessThan">
      <formula>0</formula>
    </cfRule>
  </conditionalFormatting>
  <conditionalFormatting sqref="W113">
    <cfRule type="cellIs" dxfId="1838" priority="4958" operator="lessThan">
      <formula>W112</formula>
    </cfRule>
    <cfRule type="cellIs" dxfId="1837" priority="4963" operator="equal">
      <formula>0</formula>
    </cfRule>
  </conditionalFormatting>
  <conditionalFormatting sqref="W112">
    <cfRule type="cellIs" dxfId="1836" priority="4959" operator="lessThan">
      <formula>W113</formula>
    </cfRule>
    <cfRule type="cellIs" dxfId="1835" priority="4960" operator="equal">
      <formula>0</formula>
    </cfRule>
    <cfRule type="cellIs" dxfId="1834" priority="4961" operator="lessThan">
      <formula>W113</formula>
    </cfRule>
    <cfRule type="cellIs" dxfId="1833" priority="4962" operator="lessThan">
      <formula>0</formula>
    </cfRule>
  </conditionalFormatting>
  <conditionalFormatting sqref="W119">
    <cfRule type="cellIs" dxfId="1832" priority="4952" operator="lessThan">
      <formula>W118</formula>
    </cfRule>
    <cfRule type="cellIs" dxfId="1831" priority="4957" operator="equal">
      <formula>0</formula>
    </cfRule>
  </conditionalFormatting>
  <conditionalFormatting sqref="W118">
    <cfRule type="cellIs" dxfId="1830" priority="4953" operator="lessThan">
      <formula>W119</formula>
    </cfRule>
    <cfRule type="cellIs" dxfId="1829" priority="4954" operator="equal">
      <formula>0</formula>
    </cfRule>
    <cfRule type="cellIs" dxfId="1828" priority="4955" operator="lessThan">
      <formula>W119</formula>
    </cfRule>
    <cfRule type="cellIs" dxfId="1827" priority="4956" operator="lessThan">
      <formula>0</formula>
    </cfRule>
  </conditionalFormatting>
  <conditionalFormatting sqref="W125">
    <cfRule type="cellIs" dxfId="1826" priority="4946" operator="lessThan">
      <formula>W124</formula>
    </cfRule>
    <cfRule type="cellIs" dxfId="1825" priority="4951" operator="equal">
      <formula>0</formula>
    </cfRule>
  </conditionalFormatting>
  <conditionalFormatting sqref="W124">
    <cfRule type="cellIs" dxfId="1824" priority="4947" operator="lessThan">
      <formula>W125</formula>
    </cfRule>
    <cfRule type="cellIs" dxfId="1823" priority="4948" operator="equal">
      <formula>0</formula>
    </cfRule>
    <cfRule type="cellIs" dxfId="1822" priority="4949" operator="lessThan">
      <formula>W125</formula>
    </cfRule>
    <cfRule type="cellIs" dxfId="1821" priority="4950" operator="lessThan">
      <formula>0</formula>
    </cfRule>
  </conditionalFormatting>
  <conditionalFormatting sqref="W131">
    <cfRule type="cellIs" dxfId="1820" priority="4940" operator="lessThan">
      <formula>W130</formula>
    </cfRule>
    <cfRule type="cellIs" dxfId="1819" priority="4945" operator="equal">
      <formula>0</formula>
    </cfRule>
  </conditionalFormatting>
  <conditionalFormatting sqref="W130">
    <cfRule type="cellIs" dxfId="1818" priority="4941" operator="lessThan">
      <formula>W131</formula>
    </cfRule>
    <cfRule type="cellIs" dxfId="1817" priority="4942" operator="equal">
      <formula>0</formula>
    </cfRule>
    <cfRule type="cellIs" dxfId="1816" priority="4943" operator="lessThan">
      <formula>W131</formula>
    </cfRule>
    <cfRule type="cellIs" dxfId="1815" priority="4944" operator="lessThan">
      <formula>0</formula>
    </cfRule>
  </conditionalFormatting>
  <conditionalFormatting sqref="W137">
    <cfRule type="cellIs" dxfId="1814" priority="4934" operator="lessThan">
      <formula>W136</formula>
    </cfRule>
    <cfRule type="cellIs" dxfId="1813" priority="4939" operator="equal">
      <formula>0</formula>
    </cfRule>
  </conditionalFormatting>
  <conditionalFormatting sqref="W136">
    <cfRule type="cellIs" dxfId="1812" priority="4935" operator="lessThan">
      <formula>W137</formula>
    </cfRule>
    <cfRule type="cellIs" dxfId="1811" priority="4936" operator="equal">
      <formula>0</formula>
    </cfRule>
    <cfRule type="cellIs" dxfId="1810" priority="4937" operator="lessThan">
      <formula>W137</formula>
    </cfRule>
    <cfRule type="cellIs" dxfId="1809" priority="4938" operator="lessThan">
      <formula>0</formula>
    </cfRule>
  </conditionalFormatting>
  <conditionalFormatting sqref="W143">
    <cfRule type="cellIs" dxfId="1808" priority="4928" operator="lessThan">
      <formula>W142</formula>
    </cfRule>
    <cfRule type="cellIs" dxfId="1807" priority="4933" operator="equal">
      <formula>0</formula>
    </cfRule>
  </conditionalFormatting>
  <conditionalFormatting sqref="W142">
    <cfRule type="cellIs" dxfId="1806" priority="4929" operator="lessThan">
      <formula>W143</formula>
    </cfRule>
    <cfRule type="cellIs" dxfId="1805" priority="4930" operator="equal">
      <formula>0</formula>
    </cfRule>
    <cfRule type="cellIs" dxfId="1804" priority="4931" operator="lessThan">
      <formula>W143</formula>
    </cfRule>
    <cfRule type="cellIs" dxfId="1803" priority="4932" operator="lessThan">
      <formula>0</formula>
    </cfRule>
  </conditionalFormatting>
  <conditionalFormatting sqref="W149">
    <cfRule type="cellIs" dxfId="1802" priority="4922" operator="lessThan">
      <formula>W148</formula>
    </cfRule>
    <cfRule type="cellIs" dxfId="1801" priority="4927" operator="equal">
      <formula>0</formula>
    </cfRule>
  </conditionalFormatting>
  <conditionalFormatting sqref="W148">
    <cfRule type="cellIs" dxfId="1800" priority="4923" operator="lessThan">
      <formula>W149</formula>
    </cfRule>
    <cfRule type="cellIs" dxfId="1799" priority="4924" operator="equal">
      <formula>0</formula>
    </cfRule>
    <cfRule type="cellIs" dxfId="1798" priority="4925" operator="lessThan">
      <formula>W149</formula>
    </cfRule>
    <cfRule type="cellIs" dxfId="1797" priority="4926" operator="lessThan">
      <formula>0</formula>
    </cfRule>
  </conditionalFormatting>
  <conditionalFormatting sqref="V82:V87">
    <cfRule type="cellIs" dxfId="1796" priority="4920" operator="lessThan">
      <formula>0</formula>
    </cfRule>
    <cfRule type="cellIs" dxfId="1795" priority="4921" operator="equal">
      <formula>0</formula>
    </cfRule>
  </conditionalFormatting>
  <conditionalFormatting sqref="V88:V93">
    <cfRule type="cellIs" dxfId="1794" priority="4918" operator="lessThan">
      <formula>0</formula>
    </cfRule>
    <cfRule type="cellIs" dxfId="1793" priority="4919" operator="equal">
      <formula>0</formula>
    </cfRule>
  </conditionalFormatting>
  <conditionalFormatting sqref="V94:V99">
    <cfRule type="cellIs" dxfId="1792" priority="4916" operator="lessThan">
      <formula>0</formula>
    </cfRule>
    <cfRule type="cellIs" dxfId="1791" priority="4917" operator="equal">
      <formula>0</formula>
    </cfRule>
  </conditionalFormatting>
  <conditionalFormatting sqref="V100:V105">
    <cfRule type="cellIs" dxfId="1790" priority="4914" operator="lessThan">
      <formula>0</formula>
    </cfRule>
    <cfRule type="cellIs" dxfId="1789" priority="4915" operator="equal">
      <formula>0</formula>
    </cfRule>
  </conditionalFormatting>
  <conditionalFormatting sqref="V106:V111">
    <cfRule type="cellIs" dxfId="1788" priority="4912" operator="lessThan">
      <formula>0</formula>
    </cfRule>
    <cfRule type="cellIs" dxfId="1787" priority="4913" operator="equal">
      <formula>0</formula>
    </cfRule>
  </conditionalFormatting>
  <conditionalFormatting sqref="V112:V117">
    <cfRule type="cellIs" dxfId="1786" priority="4910" operator="lessThan">
      <formula>0</formula>
    </cfRule>
    <cfRule type="cellIs" dxfId="1785" priority="4911" operator="equal">
      <formula>0</formula>
    </cfRule>
  </conditionalFormatting>
  <conditionalFormatting sqref="V118:V123">
    <cfRule type="cellIs" dxfId="1784" priority="4908" operator="lessThan">
      <formula>0</formula>
    </cfRule>
    <cfRule type="cellIs" dxfId="1783" priority="4909" operator="equal">
      <formula>0</formula>
    </cfRule>
  </conditionalFormatting>
  <conditionalFormatting sqref="V124:V129">
    <cfRule type="cellIs" dxfId="1782" priority="4906" operator="lessThan">
      <formula>0</formula>
    </cfRule>
    <cfRule type="cellIs" dxfId="1781" priority="4907" operator="equal">
      <formula>0</formula>
    </cfRule>
  </conditionalFormatting>
  <conditionalFormatting sqref="V130:V135">
    <cfRule type="cellIs" dxfId="1780" priority="4904" operator="lessThan">
      <formula>0</formula>
    </cfRule>
    <cfRule type="cellIs" dxfId="1779" priority="4905" operator="equal">
      <formula>0</formula>
    </cfRule>
  </conditionalFormatting>
  <conditionalFormatting sqref="V136:V141">
    <cfRule type="cellIs" dxfId="1778" priority="4902" operator="lessThan">
      <formula>0</formula>
    </cfRule>
    <cfRule type="cellIs" dxfId="1777" priority="4903" operator="equal">
      <formula>0</formula>
    </cfRule>
  </conditionalFormatting>
  <conditionalFormatting sqref="V142:V147">
    <cfRule type="cellIs" dxfId="1776" priority="4900" operator="lessThan">
      <formula>0</formula>
    </cfRule>
    <cfRule type="cellIs" dxfId="1775" priority="4901" operator="equal">
      <formula>0</formula>
    </cfRule>
  </conditionalFormatting>
  <conditionalFormatting sqref="V148:V153">
    <cfRule type="cellIs" dxfId="1774" priority="4898" operator="lessThan">
      <formula>0</formula>
    </cfRule>
    <cfRule type="cellIs" dxfId="1773" priority="4899" operator="equal">
      <formula>0</formula>
    </cfRule>
  </conditionalFormatting>
  <conditionalFormatting sqref="V154:V159">
    <cfRule type="cellIs" dxfId="1772" priority="4896" operator="lessThan">
      <formula>0</formula>
    </cfRule>
    <cfRule type="cellIs" dxfId="1771" priority="4897" operator="equal">
      <formula>0</formula>
    </cfRule>
  </conditionalFormatting>
  <conditionalFormatting sqref="V160:V165">
    <cfRule type="cellIs" dxfId="1770" priority="4894" operator="lessThan">
      <formula>0</formula>
    </cfRule>
    <cfRule type="cellIs" dxfId="1769" priority="4895" operator="equal">
      <formula>0</formula>
    </cfRule>
  </conditionalFormatting>
  <conditionalFormatting sqref="V166:V201">
    <cfRule type="cellIs" dxfId="1768" priority="4892" operator="lessThan">
      <formula>0</formula>
    </cfRule>
    <cfRule type="cellIs" dxfId="1767" priority="4893" operator="equal">
      <formula>0</formula>
    </cfRule>
  </conditionalFormatting>
  <conditionalFormatting sqref="W75">
    <cfRule type="cellIs" dxfId="1766" priority="4851" operator="equal">
      <formula>0</formula>
    </cfRule>
    <cfRule type="cellIs" dxfId="1765" priority="4852" operator="greaterThan">
      <formula>W74</formula>
    </cfRule>
  </conditionalFormatting>
  <conditionalFormatting sqref="W81">
    <cfRule type="cellIs" dxfId="1764" priority="4849" operator="equal">
      <formula>0</formula>
    </cfRule>
    <cfRule type="cellIs" dxfId="1763" priority="4850" operator="greaterThan">
      <formula>W80</formula>
    </cfRule>
  </conditionalFormatting>
  <conditionalFormatting sqref="V45:V56">
    <cfRule type="cellIs" dxfId="1762" priority="3170" operator="lessThan">
      <formula>0</formula>
    </cfRule>
    <cfRule type="cellIs" dxfId="1761" priority="3171" operator="equal">
      <formula>0</formula>
    </cfRule>
  </conditionalFormatting>
  <conditionalFormatting sqref="G30">
    <cfRule type="cellIs" dxfId="1760" priority="3151" operator="lessThan">
      <formula>0</formula>
    </cfRule>
  </conditionalFormatting>
  <conditionalFormatting sqref="D30">
    <cfRule type="expression" dxfId="1759" priority="3149">
      <formula>E30&gt;B30</formula>
    </cfRule>
  </conditionalFormatting>
  <conditionalFormatting sqref="C30">
    <cfRule type="expression" dxfId="1758" priority="3148">
      <formula>B30&gt;E30</formula>
    </cfRule>
  </conditionalFormatting>
  <conditionalFormatting sqref="G31">
    <cfRule type="cellIs" dxfId="1757" priority="3142" operator="lessThan">
      <formula>0</formula>
    </cfRule>
  </conditionalFormatting>
  <conditionalFormatting sqref="G32">
    <cfRule type="cellIs" dxfId="1756" priority="3086" operator="lessThan">
      <formula>0</formula>
    </cfRule>
  </conditionalFormatting>
  <conditionalFormatting sqref="G33">
    <cfRule type="cellIs" dxfId="1755" priority="3080" operator="lessThan">
      <formula>0</formula>
    </cfRule>
  </conditionalFormatting>
  <conditionalFormatting sqref="G34 G36 G38 G40 G45 G47 G49 G51 G53 G55">
    <cfRule type="cellIs" dxfId="1754" priority="3072" operator="lessThan">
      <formula>0</formula>
    </cfRule>
  </conditionalFormatting>
  <conditionalFormatting sqref="G35 G37 G39 G41 G46 G48 G50 G52 G54 G56">
    <cfRule type="cellIs" dxfId="1753" priority="3066" operator="lessThan">
      <formula>0</formula>
    </cfRule>
  </conditionalFormatting>
  <conditionalFormatting sqref="D31">
    <cfRule type="expression" dxfId="1752" priority="2942">
      <formula>E31&gt;B31</formula>
    </cfRule>
  </conditionalFormatting>
  <conditionalFormatting sqref="C31">
    <cfRule type="expression" dxfId="1751" priority="2941">
      <formula>B31&gt;E31</formula>
    </cfRule>
  </conditionalFormatting>
  <conditionalFormatting sqref="D32 D34 D36 D38 D40 D45 D47 D49 D51 D53 D55">
    <cfRule type="expression" dxfId="1750" priority="2940">
      <formula>E32&gt;B32</formula>
    </cfRule>
  </conditionalFormatting>
  <conditionalFormatting sqref="C32 C34 C36 C38 C40 C45 C47 C49 C51 C53 C55">
    <cfRule type="expression" dxfId="1749" priority="2939">
      <formula>B32&gt;E32</formula>
    </cfRule>
  </conditionalFormatting>
  <conditionalFormatting sqref="D33 D35 D37 D39 D41 D46 D48 D50 D52 D54 D56">
    <cfRule type="expression" dxfId="1748" priority="2938">
      <formula>E33&gt;B33</formula>
    </cfRule>
  </conditionalFormatting>
  <conditionalFormatting sqref="C33 C35 C37 C39 C41 C46 C48 C50 C52 C54 C56">
    <cfRule type="expression" dxfId="1747" priority="2937">
      <formula>B33&gt;E33</formula>
    </cfRule>
  </conditionalFormatting>
  <conditionalFormatting sqref="Y30:Y34 Y37:Y41">
    <cfRule type="cellIs" dxfId="1746" priority="2894" operator="equal">
      <formula>0</formula>
    </cfRule>
  </conditionalFormatting>
  <conditionalFormatting sqref="W26:W29">
    <cfRule type="cellIs" dxfId="1745" priority="2847" operator="equal">
      <formula>0</formula>
    </cfRule>
  </conditionalFormatting>
  <conditionalFormatting sqref="W27">
    <cfRule type="cellIs" dxfId="1744" priority="2661" operator="equal">
      <formula>"STOP"</formula>
    </cfRule>
    <cfRule type="cellIs" dxfId="1743" priority="2662" operator="equal">
      <formula>"TRAILING"</formula>
    </cfRule>
  </conditionalFormatting>
  <conditionalFormatting sqref="X60">
    <cfRule type="cellIs" dxfId="1742" priority="2782" operator="equal">
      <formula>0</formula>
    </cfRule>
    <cfRule type="expression" dxfId="1741" priority="2783">
      <formula>F60*100&lt;X60</formula>
    </cfRule>
    <cfRule type="expression" dxfId="1740" priority="2784">
      <formula>X60&lt;F60*100</formula>
    </cfRule>
  </conditionalFormatting>
  <conditionalFormatting sqref="X61">
    <cfRule type="cellIs" dxfId="1739" priority="2779" operator="equal">
      <formula>0</formula>
    </cfRule>
    <cfRule type="expression" dxfId="1738" priority="2780">
      <formula>F61*100&lt;X61</formula>
    </cfRule>
    <cfRule type="expression" dxfId="1737" priority="2781">
      <formula>X61&lt;F61*100</formula>
    </cfRule>
  </conditionalFormatting>
  <conditionalFormatting sqref="W60:W61">
    <cfRule type="cellIs" dxfId="1736" priority="2778" operator="equal">
      <formula>0</formula>
    </cfRule>
  </conditionalFormatting>
  <conditionalFormatting sqref="W60">
    <cfRule type="containsText" dxfId="1735" priority="2776" operator="containsText" text="STOP">
      <formula>NOT(ISERROR(SEARCH("STOP",W60)))</formula>
    </cfRule>
    <cfRule type="containsText" dxfId="1734" priority="2777" operator="containsText" text="TRAILING">
      <formula>NOT(ISERROR(SEARCH("TRAILING",W60)))</formula>
    </cfRule>
  </conditionalFormatting>
  <conditionalFormatting sqref="W61">
    <cfRule type="containsText" dxfId="1733" priority="2774" operator="containsText" text="STOP">
      <formula>NOT(ISERROR(SEARCH("STOP",W61)))</formula>
    </cfRule>
    <cfRule type="containsText" dxfId="1732" priority="2775" operator="containsText" text="TRAILING">
      <formula>NOT(ISERROR(SEARCH("TRAILING",W61)))</formula>
    </cfRule>
  </conditionalFormatting>
  <conditionalFormatting sqref="V42:V43">
    <cfRule type="cellIs" dxfId="1731" priority="2771" operator="lessThan">
      <formula>0</formula>
    </cfRule>
    <cfRule type="cellIs" dxfId="1730" priority="2772" operator="equal">
      <formula>0</formula>
    </cfRule>
  </conditionalFormatting>
  <conditionalFormatting sqref="G43">
    <cfRule type="cellIs" dxfId="1729" priority="2768" operator="lessThan">
      <formula>0</formula>
    </cfRule>
  </conditionalFormatting>
  <conditionalFormatting sqref="G42">
    <cfRule type="cellIs" dxfId="1728" priority="2766" operator="lessThan">
      <formula>0</formula>
    </cfRule>
  </conditionalFormatting>
  <conditionalFormatting sqref="D43">
    <cfRule type="expression" dxfId="1727" priority="2764">
      <formula>E43&gt;B43</formula>
    </cfRule>
  </conditionalFormatting>
  <conditionalFormatting sqref="C43">
    <cfRule type="expression" dxfId="1726" priority="2763">
      <formula>B43&gt;E43</formula>
    </cfRule>
  </conditionalFormatting>
  <conditionalFormatting sqref="D42">
    <cfRule type="expression" dxfId="1725" priority="2762">
      <formula>E42&gt;B42</formula>
    </cfRule>
  </conditionalFormatting>
  <conditionalFormatting sqref="C42">
    <cfRule type="expression" dxfId="1724" priority="2761">
      <formula>B42&gt;E42</formula>
    </cfRule>
  </conditionalFormatting>
  <conditionalFormatting sqref="V57:V59">
    <cfRule type="cellIs" dxfId="1723" priority="2742" operator="lessThan">
      <formula>0</formula>
    </cfRule>
    <cfRule type="cellIs" dxfId="1722" priority="2743" operator="equal">
      <formula>0</formula>
    </cfRule>
  </conditionalFormatting>
  <conditionalFormatting sqref="G58">
    <cfRule type="cellIs" dxfId="1721" priority="2739" operator="lessThan">
      <formula>0</formula>
    </cfRule>
  </conditionalFormatting>
  <conditionalFormatting sqref="G57 G59">
    <cfRule type="cellIs" dxfId="1720" priority="2737" operator="lessThan">
      <formula>0</formula>
    </cfRule>
  </conditionalFormatting>
  <conditionalFormatting sqref="D58">
    <cfRule type="expression" dxfId="1719" priority="2735">
      <formula>E58&gt;B58</formula>
    </cfRule>
  </conditionalFormatting>
  <conditionalFormatting sqref="C58">
    <cfRule type="expression" dxfId="1718" priority="2734">
      <formula>B58&gt;E58</formula>
    </cfRule>
  </conditionalFormatting>
  <conditionalFormatting sqref="D57 D59">
    <cfRule type="expression" dxfId="1717" priority="2733">
      <formula>E57&gt;B57</formula>
    </cfRule>
  </conditionalFormatting>
  <conditionalFormatting sqref="C57 C59">
    <cfRule type="expression" dxfId="1716" priority="2732">
      <formula>B57&gt;E57</formula>
    </cfRule>
  </conditionalFormatting>
  <conditionalFormatting sqref="B45">
    <cfRule type="cellIs" dxfId="1715" priority="2713" operator="greaterThan">
      <formula>E45</formula>
    </cfRule>
  </conditionalFormatting>
  <conditionalFormatting sqref="B46">
    <cfRule type="cellIs" dxfId="1714" priority="2712" operator="greaterThan">
      <formula>E46</formula>
    </cfRule>
  </conditionalFormatting>
  <conditionalFormatting sqref="B47 B49 B51 B53 B55 B57 B59">
    <cfRule type="cellIs" dxfId="1713" priority="2711" operator="greaterThan">
      <formula>E47</formula>
    </cfRule>
  </conditionalFormatting>
  <conditionalFormatting sqref="B48 B50 B52 B54 B56 B58">
    <cfRule type="cellIs" dxfId="1712" priority="2710" operator="greaterThan">
      <formula>E48</formula>
    </cfRule>
  </conditionalFormatting>
  <conditionalFormatting sqref="E45">
    <cfRule type="cellIs" dxfId="1711" priority="2709" operator="greaterThan">
      <formula>B45</formula>
    </cfRule>
  </conditionalFormatting>
  <conditionalFormatting sqref="E46">
    <cfRule type="cellIs" dxfId="1710" priority="2708" operator="greaterThan">
      <formula>B46</formula>
    </cfRule>
  </conditionalFormatting>
  <conditionalFormatting sqref="E47 E49 E51 E55 E57 E59">
    <cfRule type="cellIs" dxfId="1709" priority="2707" operator="greaterThan">
      <formula>B47</formula>
    </cfRule>
  </conditionalFormatting>
  <conditionalFormatting sqref="E48 E50 E52 E54 E56 E58">
    <cfRule type="cellIs" dxfId="1708" priority="2706" operator="greaterThan">
      <formula>B48</formula>
    </cfRule>
  </conditionalFormatting>
  <conditionalFormatting sqref="E53">
    <cfRule type="cellIs" dxfId="1707" priority="2705" operator="greaterThan">
      <formula>H53</formula>
    </cfRule>
  </conditionalFormatting>
  <conditionalFormatting sqref="B30">
    <cfRule type="cellIs" dxfId="1706" priority="2704" operator="greaterThan">
      <formula>E30</formula>
    </cfRule>
  </conditionalFormatting>
  <conditionalFormatting sqref="B31">
    <cfRule type="cellIs" dxfId="1705" priority="2703" operator="greaterThan">
      <formula>E31</formula>
    </cfRule>
  </conditionalFormatting>
  <conditionalFormatting sqref="B32 B34 B36 B38 B40 B42">
    <cfRule type="cellIs" dxfId="1704" priority="2702" operator="greaterThan">
      <formula>E32</formula>
    </cfRule>
  </conditionalFormatting>
  <conditionalFormatting sqref="B33 B35 B37 B39 B41 B43">
    <cfRule type="cellIs" dxfId="1703" priority="2701" operator="greaterThan">
      <formula>E33</formula>
    </cfRule>
  </conditionalFormatting>
  <conditionalFormatting sqref="E30">
    <cfRule type="cellIs" dxfId="1702" priority="2700" operator="greaterThan">
      <formula>B30</formula>
    </cfRule>
  </conditionalFormatting>
  <conditionalFormatting sqref="E31">
    <cfRule type="cellIs" dxfId="1701" priority="2699" operator="greaterThan">
      <formula>B31</formula>
    </cfRule>
  </conditionalFormatting>
  <conditionalFormatting sqref="E32 E34 E36 E40 E42">
    <cfRule type="cellIs" dxfId="1700" priority="2698" operator="greaterThan">
      <formula>B32</formula>
    </cfRule>
  </conditionalFormatting>
  <conditionalFormatting sqref="E33 E35 E37 E39 E41 E43">
    <cfRule type="cellIs" dxfId="1699" priority="2697" operator="greaterThan">
      <formula>B33</formula>
    </cfRule>
  </conditionalFormatting>
  <conditionalFormatting sqref="E38">
    <cfRule type="cellIs" dxfId="1698" priority="2696" operator="greaterThan">
      <formula>H38</formula>
    </cfRule>
  </conditionalFormatting>
  <conditionalFormatting sqref="Y35:Z35">
    <cfRule type="cellIs" dxfId="1697" priority="2685" operator="equal">
      <formula>0</formula>
    </cfRule>
    <cfRule type="expression" dxfId="1696" priority="2686">
      <formula>G35*100&lt;Y35</formula>
    </cfRule>
    <cfRule type="expression" dxfId="1695" priority="2687">
      <formula>Y35&lt;G35*100</formula>
    </cfRule>
  </conditionalFormatting>
  <conditionalFormatting sqref="Y36:Z36">
    <cfRule type="cellIs" dxfId="1694" priority="2679" operator="equal">
      <formula>0</formula>
    </cfRule>
  </conditionalFormatting>
  <conditionalFormatting sqref="Y43:Z43">
    <cfRule type="cellIs" dxfId="1693" priority="2671" operator="equal">
      <formula>0</formula>
    </cfRule>
    <cfRule type="expression" dxfId="1692" priority="2672">
      <formula>G43*100&lt;Y43</formula>
    </cfRule>
    <cfRule type="expression" dxfId="1691" priority="2673">
      <formula>Y43&lt;G43*100</formula>
    </cfRule>
  </conditionalFormatting>
  <conditionalFormatting sqref="Y42:Z42">
    <cfRule type="cellIs" dxfId="1690" priority="2668" operator="equal">
      <formula>0</formula>
    </cfRule>
    <cfRule type="expression" dxfId="1689" priority="2669">
      <formula>G42*100&lt;Y42</formula>
    </cfRule>
    <cfRule type="expression" dxfId="1688" priority="2670">
      <formula>Y42&lt;G42*100</formula>
    </cfRule>
  </conditionalFormatting>
  <conditionalFormatting sqref="W26">
    <cfRule type="cellIs" dxfId="1687" priority="2655" operator="equal">
      <formula>"STOP"</formula>
    </cfRule>
    <cfRule type="cellIs" dxfId="1686" priority="2656" operator="equal">
      <formula>"TRAILING"</formula>
    </cfRule>
  </conditionalFormatting>
  <conditionalFormatting sqref="W29">
    <cfRule type="cellIs" dxfId="1685" priority="2653" operator="equal">
      <formula>"STOP"</formula>
    </cfRule>
    <cfRule type="cellIs" dxfId="1684" priority="2654" operator="equal">
      <formula>"TRAILING"</formula>
    </cfRule>
  </conditionalFormatting>
  <conditionalFormatting sqref="W28">
    <cfRule type="cellIs" dxfId="1683" priority="2651" operator="equal">
      <formula>"STOP"</formula>
    </cfRule>
    <cfRule type="cellIs" dxfId="1682" priority="2652" operator="equal">
      <formula>"TRAILING"</formula>
    </cfRule>
  </conditionalFormatting>
  <conditionalFormatting sqref="W29">
    <cfRule type="cellIs" dxfId="1681" priority="2612" operator="equal">
      <formula>"STOP"</formula>
    </cfRule>
    <cfRule type="cellIs" dxfId="1680" priority="2613" operator="equal">
      <formula>"TRAILING"</formula>
    </cfRule>
  </conditionalFormatting>
  <conditionalFormatting sqref="W28">
    <cfRule type="cellIs" dxfId="1679" priority="2610" operator="equal">
      <formula>"STOP"</formula>
    </cfRule>
    <cfRule type="cellIs" dxfId="1678" priority="2611" operator="equal">
      <formula>"TRAILING"</formula>
    </cfRule>
  </conditionalFormatting>
  <conditionalFormatting sqref="W30:W31">
    <cfRule type="cellIs" dxfId="1677" priority="2593" operator="equal">
      <formula>0</formula>
    </cfRule>
  </conditionalFormatting>
  <conditionalFormatting sqref="W31">
    <cfRule type="cellIs" dxfId="1676" priority="2591" operator="equal">
      <formula>"STOP"</formula>
    </cfRule>
    <cfRule type="cellIs" dxfId="1675" priority="2592" operator="equal">
      <formula>"TRAILING"</formula>
    </cfRule>
  </conditionalFormatting>
  <conditionalFormatting sqref="W30">
    <cfRule type="cellIs" dxfId="1674" priority="2589" operator="equal">
      <formula>"STOP"</formula>
    </cfRule>
    <cfRule type="cellIs" dxfId="1673" priority="2590" operator="equal">
      <formula>"TRAILING"</formula>
    </cfRule>
  </conditionalFormatting>
  <conditionalFormatting sqref="W31">
    <cfRule type="cellIs" dxfId="1672" priority="2587" operator="equal">
      <formula>"STOP"</formula>
    </cfRule>
    <cfRule type="cellIs" dxfId="1671" priority="2588" operator="equal">
      <formula>"TRAILING"</formula>
    </cfRule>
  </conditionalFormatting>
  <conditionalFormatting sqref="W30">
    <cfRule type="cellIs" dxfId="1670" priority="2585" operator="equal">
      <formula>"STOP"</formula>
    </cfRule>
    <cfRule type="cellIs" dxfId="1669" priority="2586" operator="equal">
      <formula>"TRAILING"</formula>
    </cfRule>
  </conditionalFormatting>
  <conditionalFormatting sqref="W32:W33">
    <cfRule type="cellIs" dxfId="1668" priority="2584" operator="equal">
      <formula>0</formula>
    </cfRule>
  </conditionalFormatting>
  <conditionalFormatting sqref="W33">
    <cfRule type="cellIs" dxfId="1667" priority="2582" operator="equal">
      <formula>"STOP"</formula>
    </cfRule>
    <cfRule type="cellIs" dxfId="1666" priority="2583" operator="equal">
      <formula>"TRAILING"</formula>
    </cfRule>
  </conditionalFormatting>
  <conditionalFormatting sqref="W32">
    <cfRule type="cellIs" dxfId="1665" priority="2580" operator="equal">
      <formula>"STOP"</formula>
    </cfRule>
    <cfRule type="cellIs" dxfId="1664" priority="2581" operator="equal">
      <formula>"TRAILING"</formula>
    </cfRule>
  </conditionalFormatting>
  <conditionalFormatting sqref="W33">
    <cfRule type="cellIs" dxfId="1663" priority="2578" operator="equal">
      <formula>"STOP"</formula>
    </cfRule>
    <cfRule type="cellIs" dxfId="1662" priority="2579" operator="equal">
      <formula>"TRAILING"</formula>
    </cfRule>
  </conditionalFormatting>
  <conditionalFormatting sqref="W32">
    <cfRule type="cellIs" dxfId="1661" priority="2576" operator="equal">
      <formula>"STOP"</formula>
    </cfRule>
    <cfRule type="cellIs" dxfId="1660" priority="2577" operator="equal">
      <formula>"TRAILING"</formula>
    </cfRule>
  </conditionalFormatting>
  <conditionalFormatting sqref="W34:W35">
    <cfRule type="cellIs" dxfId="1659" priority="2575" operator="equal">
      <formula>0</formula>
    </cfRule>
  </conditionalFormatting>
  <conditionalFormatting sqref="W35">
    <cfRule type="cellIs" dxfId="1658" priority="2573" operator="equal">
      <formula>"STOP"</formula>
    </cfRule>
    <cfRule type="cellIs" dxfId="1657" priority="2574" operator="equal">
      <formula>"TRAILING"</formula>
    </cfRule>
  </conditionalFormatting>
  <conditionalFormatting sqref="W34">
    <cfRule type="cellIs" dxfId="1656" priority="2571" operator="equal">
      <formula>"STOP"</formula>
    </cfRule>
    <cfRule type="cellIs" dxfId="1655" priority="2572" operator="equal">
      <formula>"TRAILING"</formula>
    </cfRule>
  </conditionalFormatting>
  <conditionalFormatting sqref="W35">
    <cfRule type="cellIs" dxfId="1654" priority="2569" operator="equal">
      <formula>"STOP"</formula>
    </cfRule>
    <cfRule type="cellIs" dxfId="1653" priority="2570" operator="equal">
      <formula>"TRAILING"</formula>
    </cfRule>
  </conditionalFormatting>
  <conditionalFormatting sqref="W34">
    <cfRule type="cellIs" dxfId="1652" priority="2567" operator="equal">
      <formula>"STOP"</formula>
    </cfRule>
    <cfRule type="cellIs" dxfId="1651" priority="2568" operator="equal">
      <formula>"TRAILING"</formula>
    </cfRule>
  </conditionalFormatting>
  <conditionalFormatting sqref="W36:W37">
    <cfRule type="cellIs" dxfId="1650" priority="2566" operator="equal">
      <formula>0</formula>
    </cfRule>
  </conditionalFormatting>
  <conditionalFormatting sqref="W37">
    <cfRule type="cellIs" dxfId="1649" priority="2564" operator="equal">
      <formula>"STOP"</formula>
    </cfRule>
    <cfRule type="cellIs" dxfId="1648" priority="2565" operator="equal">
      <formula>"TRAILING"</formula>
    </cfRule>
  </conditionalFormatting>
  <conditionalFormatting sqref="W36">
    <cfRule type="cellIs" dxfId="1647" priority="2562" operator="equal">
      <formula>"STOP"</formula>
    </cfRule>
    <cfRule type="cellIs" dxfId="1646" priority="2563" operator="equal">
      <formula>"TRAILING"</formula>
    </cfRule>
  </conditionalFormatting>
  <conditionalFormatting sqref="W37">
    <cfRule type="cellIs" dxfId="1645" priority="2560" operator="equal">
      <formula>"STOP"</formula>
    </cfRule>
    <cfRule type="cellIs" dxfId="1644" priority="2561" operator="equal">
      <formula>"TRAILING"</formula>
    </cfRule>
  </conditionalFormatting>
  <conditionalFormatting sqref="W36">
    <cfRule type="cellIs" dxfId="1643" priority="2558" operator="equal">
      <formula>"STOP"</formula>
    </cfRule>
    <cfRule type="cellIs" dxfId="1642" priority="2559" operator="equal">
      <formula>"TRAILING"</formula>
    </cfRule>
  </conditionalFormatting>
  <conditionalFormatting sqref="W38:W39">
    <cfRule type="cellIs" dxfId="1641" priority="2557" operator="equal">
      <formula>0</formula>
    </cfRule>
  </conditionalFormatting>
  <conditionalFormatting sqref="W39">
    <cfRule type="cellIs" dxfId="1640" priority="2555" operator="equal">
      <formula>"STOP"</formula>
    </cfRule>
    <cfRule type="cellIs" dxfId="1639" priority="2556" operator="equal">
      <formula>"TRAILING"</formula>
    </cfRule>
  </conditionalFormatting>
  <conditionalFormatting sqref="W38">
    <cfRule type="cellIs" dxfId="1638" priority="2553" operator="equal">
      <formula>"STOP"</formula>
    </cfRule>
    <cfRule type="cellIs" dxfId="1637" priority="2554" operator="equal">
      <formula>"TRAILING"</formula>
    </cfRule>
  </conditionalFormatting>
  <conditionalFormatting sqref="W39">
    <cfRule type="cellIs" dxfId="1636" priority="2551" operator="equal">
      <formula>"STOP"</formula>
    </cfRule>
    <cfRule type="cellIs" dxfId="1635" priority="2552" operator="equal">
      <formula>"TRAILING"</formula>
    </cfRule>
  </conditionalFormatting>
  <conditionalFormatting sqref="W38">
    <cfRule type="cellIs" dxfId="1634" priority="2549" operator="equal">
      <formula>"STOP"</formula>
    </cfRule>
    <cfRule type="cellIs" dxfId="1633" priority="2550" operator="equal">
      <formula>"TRAILING"</formula>
    </cfRule>
  </conditionalFormatting>
  <conditionalFormatting sqref="W40:W41">
    <cfRule type="cellIs" dxfId="1632" priority="2548" operator="equal">
      <formula>0</formula>
    </cfRule>
  </conditionalFormatting>
  <conditionalFormatting sqref="W41">
    <cfRule type="cellIs" dxfId="1631" priority="2546" operator="equal">
      <formula>"STOP"</formula>
    </cfRule>
    <cfRule type="cellIs" dxfId="1630" priority="2547" operator="equal">
      <formula>"TRAILING"</formula>
    </cfRule>
  </conditionalFormatting>
  <conditionalFormatting sqref="W40">
    <cfRule type="cellIs" dxfId="1629" priority="2544" operator="equal">
      <formula>"STOP"</formula>
    </cfRule>
    <cfRule type="cellIs" dxfId="1628" priority="2545" operator="equal">
      <formula>"TRAILING"</formula>
    </cfRule>
  </conditionalFormatting>
  <conditionalFormatting sqref="W41">
    <cfRule type="cellIs" dxfId="1627" priority="2542" operator="equal">
      <formula>"STOP"</formula>
    </cfRule>
    <cfRule type="cellIs" dxfId="1626" priority="2543" operator="equal">
      <formula>"TRAILING"</formula>
    </cfRule>
  </conditionalFormatting>
  <conditionalFormatting sqref="W40">
    <cfRule type="cellIs" dxfId="1625" priority="2540" operator="equal">
      <formula>"STOP"</formula>
    </cfRule>
    <cfRule type="cellIs" dxfId="1624" priority="2541" operator="equal">
      <formula>"TRAILING"</formula>
    </cfRule>
  </conditionalFormatting>
  <conditionalFormatting sqref="W42:W43">
    <cfRule type="cellIs" dxfId="1623" priority="2539" operator="equal">
      <formula>0</formula>
    </cfRule>
  </conditionalFormatting>
  <conditionalFormatting sqref="W43">
    <cfRule type="cellIs" dxfId="1622" priority="2537" operator="equal">
      <formula>"STOP"</formula>
    </cfRule>
    <cfRule type="cellIs" dxfId="1621" priority="2538" operator="equal">
      <formula>"TRAILING"</formula>
    </cfRule>
  </conditionalFormatting>
  <conditionalFormatting sqref="W42">
    <cfRule type="cellIs" dxfId="1620" priority="2535" operator="equal">
      <formula>"STOP"</formula>
    </cfRule>
    <cfRule type="cellIs" dxfId="1619" priority="2536" operator="equal">
      <formula>"TRAILING"</formula>
    </cfRule>
  </conditionalFormatting>
  <conditionalFormatting sqref="W43">
    <cfRule type="cellIs" dxfId="1618" priority="2533" operator="equal">
      <formula>"STOP"</formula>
    </cfRule>
    <cfRule type="cellIs" dxfId="1617" priority="2534" operator="equal">
      <formula>"TRAILING"</formula>
    </cfRule>
  </conditionalFormatting>
  <conditionalFormatting sqref="W42">
    <cfRule type="cellIs" dxfId="1616" priority="2531" operator="equal">
      <formula>"STOP"</formula>
    </cfRule>
    <cfRule type="cellIs" dxfId="1615" priority="2532" operator="equal">
      <formula>"TRAILING"</formula>
    </cfRule>
  </conditionalFormatting>
  <conditionalFormatting sqref="X26">
    <cfRule type="expression" dxfId="1614" priority="2365">
      <formula>X26*100&lt;C26</formula>
    </cfRule>
    <cfRule type="cellIs" dxfId="1613" priority="2366" operator="equal">
      <formula>0</formula>
    </cfRule>
  </conditionalFormatting>
  <conditionalFormatting sqref="X27">
    <cfRule type="expression" dxfId="1612" priority="2363">
      <formula>X27*100&lt;C27</formula>
    </cfRule>
    <cfRule type="cellIs" dxfId="1611" priority="2364" operator="equal">
      <formula>0</formula>
    </cfRule>
  </conditionalFormatting>
  <conditionalFormatting sqref="X28">
    <cfRule type="expression" dxfId="1610" priority="2361">
      <formula>X28*100&lt;C28</formula>
    </cfRule>
    <cfRule type="cellIs" dxfId="1609" priority="2362" operator="equal">
      <formula>0</formula>
    </cfRule>
  </conditionalFormatting>
  <conditionalFormatting sqref="X29">
    <cfRule type="expression" dxfId="1608" priority="2359">
      <formula>X29*100&lt;C29</formula>
    </cfRule>
    <cfRule type="cellIs" dxfId="1607" priority="2360" operator="equal">
      <formula>0</formula>
    </cfRule>
  </conditionalFormatting>
  <conditionalFormatting sqref="X64">
    <cfRule type="expression" dxfId="1606" priority="2261">
      <formula>X64*100&lt;C64</formula>
    </cfRule>
    <cfRule type="cellIs" dxfId="1605" priority="2262" operator="equal">
      <formula>0</formula>
    </cfRule>
  </conditionalFormatting>
  <conditionalFormatting sqref="X65">
    <cfRule type="expression" dxfId="1604" priority="2259">
      <formula>X65*100&lt;C65</formula>
    </cfRule>
    <cfRule type="cellIs" dxfId="1603" priority="2260" operator="equal">
      <formula>0</formula>
    </cfRule>
  </conditionalFormatting>
  <conditionalFormatting sqref="X66">
    <cfRule type="expression" dxfId="1602" priority="2257">
      <formula>X66*100&lt;C66</formula>
    </cfRule>
    <cfRule type="cellIs" dxfId="1601" priority="2258" operator="equal">
      <formula>0</formula>
    </cfRule>
  </conditionalFormatting>
  <conditionalFormatting sqref="X67">
    <cfRule type="expression" dxfId="1600" priority="2255">
      <formula>X67*100&lt;C67</formula>
    </cfRule>
    <cfRule type="cellIs" dxfId="1599" priority="2256" operator="equal">
      <formula>0</formula>
    </cfRule>
  </conditionalFormatting>
  <conditionalFormatting sqref="X68">
    <cfRule type="expression" dxfId="1598" priority="2253">
      <formula>X68*100&lt;C68</formula>
    </cfRule>
    <cfRule type="cellIs" dxfId="1597" priority="2254" operator="equal">
      <formula>0</formula>
    </cfRule>
  </conditionalFormatting>
  <conditionalFormatting sqref="X69">
    <cfRule type="expression" dxfId="1596" priority="2251">
      <formula>X69*100&lt;C69</formula>
    </cfRule>
    <cfRule type="cellIs" dxfId="1595" priority="2252" operator="equal">
      <formula>0</formula>
    </cfRule>
  </conditionalFormatting>
  <conditionalFormatting sqref="X70">
    <cfRule type="expression" dxfId="1594" priority="2249">
      <formula>X70*100&lt;C70</formula>
    </cfRule>
    <cfRule type="cellIs" dxfId="1593" priority="2250" operator="equal">
      <formula>0</formula>
    </cfRule>
  </conditionalFormatting>
  <conditionalFormatting sqref="X71">
    <cfRule type="expression" dxfId="1592" priority="2247">
      <formula>X71*100&lt;C71</formula>
    </cfRule>
    <cfRule type="cellIs" dxfId="1591" priority="2248" operator="equal">
      <formula>0</formula>
    </cfRule>
  </conditionalFormatting>
  <conditionalFormatting sqref="X72">
    <cfRule type="expression" dxfId="1590" priority="2245">
      <formula>X72*100&lt;C72</formula>
    </cfRule>
    <cfRule type="cellIs" dxfId="1589" priority="2246" operator="equal">
      <formula>0</formula>
    </cfRule>
  </conditionalFormatting>
  <conditionalFormatting sqref="X73">
    <cfRule type="expression" dxfId="1588" priority="2243">
      <formula>X73*100&lt;C73</formula>
    </cfRule>
    <cfRule type="cellIs" dxfId="1587" priority="2244" operator="equal">
      <formula>0</formula>
    </cfRule>
  </conditionalFormatting>
  <conditionalFormatting sqref="X74">
    <cfRule type="expression" dxfId="1586" priority="2241">
      <formula>X74*100&lt;C74</formula>
    </cfRule>
    <cfRule type="cellIs" dxfId="1585" priority="2242" operator="equal">
      <formula>0</formula>
    </cfRule>
  </conditionalFormatting>
  <conditionalFormatting sqref="X75">
    <cfRule type="expression" dxfId="1584" priority="2239">
      <formula>X75*100&lt;C75</formula>
    </cfRule>
    <cfRule type="cellIs" dxfId="1583" priority="2240" operator="equal">
      <formula>0</formula>
    </cfRule>
  </conditionalFormatting>
  <conditionalFormatting sqref="X76">
    <cfRule type="expression" dxfId="1582" priority="2237">
      <formula>X76*100&lt;C76</formula>
    </cfRule>
    <cfRule type="cellIs" dxfId="1581" priority="2238" operator="equal">
      <formula>0</formula>
    </cfRule>
  </conditionalFormatting>
  <conditionalFormatting sqref="X77">
    <cfRule type="expression" dxfId="1580" priority="2235">
      <formula>X77*100&lt;C77</formula>
    </cfRule>
    <cfRule type="cellIs" dxfId="1579" priority="2236" operator="equal">
      <formula>0</formula>
    </cfRule>
  </conditionalFormatting>
  <conditionalFormatting sqref="X78">
    <cfRule type="expression" dxfId="1578" priority="2233">
      <formula>X78*100&lt;C78</formula>
    </cfRule>
    <cfRule type="cellIs" dxfId="1577" priority="2234" operator="equal">
      <formula>0</formula>
    </cfRule>
  </conditionalFormatting>
  <conditionalFormatting sqref="X79">
    <cfRule type="expression" dxfId="1576" priority="2231">
      <formula>X79*100&lt;C79</formula>
    </cfRule>
    <cfRule type="cellIs" dxfId="1575" priority="2232" operator="equal">
      <formula>0</formula>
    </cfRule>
  </conditionalFormatting>
  <conditionalFormatting sqref="X80">
    <cfRule type="expression" dxfId="1574" priority="2229">
      <formula>X80*100&lt;C80</formula>
    </cfRule>
    <cfRule type="cellIs" dxfId="1573" priority="2230" operator="equal">
      <formula>0</formula>
    </cfRule>
  </conditionalFormatting>
  <conditionalFormatting sqref="X81">
    <cfRule type="expression" dxfId="1572" priority="2227">
      <formula>X81*100&lt;C81</formula>
    </cfRule>
    <cfRule type="cellIs" dxfId="1571" priority="2228" operator="equal">
      <formula>0</formula>
    </cfRule>
  </conditionalFormatting>
  <conditionalFormatting sqref="X82">
    <cfRule type="expression" dxfId="1570" priority="2225">
      <formula>X82*100&lt;C82</formula>
    </cfRule>
    <cfRule type="cellIs" dxfId="1569" priority="2226" operator="equal">
      <formula>0</formula>
    </cfRule>
  </conditionalFormatting>
  <conditionalFormatting sqref="X83">
    <cfRule type="expression" dxfId="1568" priority="2223">
      <formula>X83*100&lt;C83</formula>
    </cfRule>
    <cfRule type="cellIs" dxfId="1567" priority="2224" operator="equal">
      <formula>0</formula>
    </cfRule>
  </conditionalFormatting>
  <conditionalFormatting sqref="X84">
    <cfRule type="expression" dxfId="1566" priority="2221">
      <formula>X84*100&lt;C84</formula>
    </cfRule>
    <cfRule type="cellIs" dxfId="1565" priority="2222" operator="equal">
      <formula>0</formula>
    </cfRule>
  </conditionalFormatting>
  <conditionalFormatting sqref="X85">
    <cfRule type="expression" dxfId="1564" priority="2219">
      <formula>X85*100&lt;C85</formula>
    </cfRule>
    <cfRule type="cellIs" dxfId="1563" priority="2220" operator="equal">
      <formula>0</formula>
    </cfRule>
  </conditionalFormatting>
  <conditionalFormatting sqref="X86">
    <cfRule type="expression" dxfId="1562" priority="2217">
      <formula>X86*100&lt;C86</formula>
    </cfRule>
    <cfRule type="cellIs" dxfId="1561" priority="2218" operator="equal">
      <formula>0</formula>
    </cfRule>
  </conditionalFormatting>
  <conditionalFormatting sqref="X87">
    <cfRule type="expression" dxfId="1560" priority="2215">
      <formula>X87*100&lt;C87</formula>
    </cfRule>
    <cfRule type="cellIs" dxfId="1559" priority="2216" operator="equal">
      <formula>0</formula>
    </cfRule>
  </conditionalFormatting>
  <conditionalFormatting sqref="X88">
    <cfRule type="expression" dxfId="1558" priority="2213">
      <formula>X88*100&lt;C88</formula>
    </cfRule>
    <cfRule type="cellIs" dxfId="1557" priority="2214" operator="equal">
      <formula>0</formula>
    </cfRule>
  </conditionalFormatting>
  <conditionalFormatting sqref="X89">
    <cfRule type="expression" dxfId="1556" priority="2211">
      <formula>X89*100&lt;C89</formula>
    </cfRule>
    <cfRule type="cellIs" dxfId="1555" priority="2212" operator="equal">
      <formula>0</formula>
    </cfRule>
  </conditionalFormatting>
  <conditionalFormatting sqref="X90">
    <cfRule type="expression" dxfId="1554" priority="2209">
      <formula>X90*100&lt;C90</formula>
    </cfRule>
    <cfRule type="cellIs" dxfId="1553" priority="2210" operator="equal">
      <formula>0</formula>
    </cfRule>
  </conditionalFormatting>
  <conditionalFormatting sqref="X91">
    <cfRule type="expression" dxfId="1552" priority="2207">
      <formula>X91*100&lt;C91</formula>
    </cfRule>
    <cfRule type="cellIs" dxfId="1551" priority="2208" operator="equal">
      <formula>0</formula>
    </cfRule>
  </conditionalFormatting>
  <conditionalFormatting sqref="X92">
    <cfRule type="expression" dxfId="1550" priority="2205">
      <formula>X92*100&lt;C92</formula>
    </cfRule>
    <cfRule type="cellIs" dxfId="1549" priority="2206" operator="equal">
      <formula>0</formula>
    </cfRule>
  </conditionalFormatting>
  <conditionalFormatting sqref="X93">
    <cfRule type="expression" dxfId="1548" priority="2203">
      <formula>X93*100&lt;C93</formula>
    </cfRule>
    <cfRule type="cellIs" dxfId="1547" priority="2204" operator="equal">
      <formula>0</formula>
    </cfRule>
  </conditionalFormatting>
  <conditionalFormatting sqref="X94">
    <cfRule type="expression" dxfId="1546" priority="2201">
      <formula>X94*100&lt;C94</formula>
    </cfRule>
    <cfRule type="cellIs" dxfId="1545" priority="2202" operator="equal">
      <formula>0</formula>
    </cfRule>
  </conditionalFormatting>
  <conditionalFormatting sqref="X95">
    <cfRule type="expression" dxfId="1544" priority="2199">
      <formula>X95*100&lt;C95</formula>
    </cfRule>
    <cfRule type="cellIs" dxfId="1543" priority="2200" operator="equal">
      <formula>0</formula>
    </cfRule>
  </conditionalFormatting>
  <conditionalFormatting sqref="X96">
    <cfRule type="expression" dxfId="1542" priority="2197">
      <formula>X96*100&lt;C96</formula>
    </cfRule>
    <cfRule type="cellIs" dxfId="1541" priority="2198" operator="equal">
      <formula>0</formula>
    </cfRule>
  </conditionalFormatting>
  <conditionalFormatting sqref="X97">
    <cfRule type="expression" dxfId="1540" priority="2195">
      <formula>X97*100&lt;C97</formula>
    </cfRule>
    <cfRule type="cellIs" dxfId="1539" priority="2196" operator="equal">
      <formula>0</formula>
    </cfRule>
  </conditionalFormatting>
  <conditionalFormatting sqref="X98">
    <cfRule type="expression" dxfId="1538" priority="2193">
      <formula>X98*100&lt;C98</formula>
    </cfRule>
    <cfRule type="cellIs" dxfId="1537" priority="2194" operator="equal">
      <formula>0</formula>
    </cfRule>
  </conditionalFormatting>
  <conditionalFormatting sqref="X99">
    <cfRule type="expression" dxfId="1536" priority="2191">
      <formula>X99*100&lt;C99</formula>
    </cfRule>
    <cfRule type="cellIs" dxfId="1535" priority="2192" operator="equal">
      <formula>0</formula>
    </cfRule>
  </conditionalFormatting>
  <conditionalFormatting sqref="X100">
    <cfRule type="expression" dxfId="1534" priority="2189">
      <formula>X100*100&lt;C100</formula>
    </cfRule>
    <cfRule type="cellIs" dxfId="1533" priority="2190" operator="equal">
      <formula>0</formula>
    </cfRule>
  </conditionalFormatting>
  <conditionalFormatting sqref="X101">
    <cfRule type="expression" dxfId="1532" priority="2187">
      <formula>X101*100&lt;C101</formula>
    </cfRule>
    <cfRule type="cellIs" dxfId="1531" priority="2188" operator="equal">
      <formula>0</formula>
    </cfRule>
  </conditionalFormatting>
  <conditionalFormatting sqref="X102">
    <cfRule type="expression" dxfId="1530" priority="2185">
      <formula>X102*100&lt;C102</formula>
    </cfRule>
    <cfRule type="cellIs" dxfId="1529" priority="2186" operator="equal">
      <formula>0</formula>
    </cfRule>
  </conditionalFormatting>
  <conditionalFormatting sqref="X103">
    <cfRule type="expression" dxfId="1528" priority="2183">
      <formula>X103*100&lt;C103</formula>
    </cfRule>
    <cfRule type="cellIs" dxfId="1527" priority="2184" operator="equal">
      <formula>0</formula>
    </cfRule>
  </conditionalFormatting>
  <conditionalFormatting sqref="X104">
    <cfRule type="expression" dxfId="1526" priority="2181">
      <formula>X104*100&lt;C104</formula>
    </cfRule>
    <cfRule type="cellIs" dxfId="1525" priority="2182" operator="equal">
      <formula>0</formula>
    </cfRule>
  </conditionalFormatting>
  <conditionalFormatting sqref="X105">
    <cfRule type="expression" dxfId="1524" priority="2179">
      <formula>X105*100&lt;C105</formula>
    </cfRule>
    <cfRule type="cellIs" dxfId="1523" priority="2180" operator="equal">
      <formula>0</formula>
    </cfRule>
  </conditionalFormatting>
  <conditionalFormatting sqref="X106">
    <cfRule type="expression" dxfId="1522" priority="2177">
      <formula>X106*100&lt;C106</formula>
    </cfRule>
    <cfRule type="cellIs" dxfId="1521" priority="2178" operator="equal">
      <formula>0</formula>
    </cfRule>
  </conditionalFormatting>
  <conditionalFormatting sqref="X107">
    <cfRule type="expression" dxfId="1520" priority="2175">
      <formula>X107*100&lt;C107</formula>
    </cfRule>
    <cfRule type="cellIs" dxfId="1519" priority="2176" operator="equal">
      <formula>0</formula>
    </cfRule>
  </conditionalFormatting>
  <conditionalFormatting sqref="X108">
    <cfRule type="expression" dxfId="1518" priority="2173">
      <formula>X108*100&lt;C108</formula>
    </cfRule>
    <cfRule type="cellIs" dxfId="1517" priority="2174" operator="equal">
      <formula>0</formula>
    </cfRule>
  </conditionalFormatting>
  <conditionalFormatting sqref="X109">
    <cfRule type="expression" dxfId="1516" priority="2171">
      <formula>X109*100&lt;C109</formula>
    </cfRule>
    <cfRule type="cellIs" dxfId="1515" priority="2172" operator="equal">
      <formula>0</formula>
    </cfRule>
  </conditionalFormatting>
  <conditionalFormatting sqref="X110">
    <cfRule type="expression" dxfId="1514" priority="2169">
      <formula>X110*100&lt;C110</formula>
    </cfRule>
    <cfRule type="cellIs" dxfId="1513" priority="2170" operator="equal">
      <formula>0</formula>
    </cfRule>
  </conditionalFormatting>
  <conditionalFormatting sqref="X111">
    <cfRule type="expression" dxfId="1512" priority="2167">
      <formula>X111*100&lt;C111</formula>
    </cfRule>
    <cfRule type="cellIs" dxfId="1511" priority="2168" operator="equal">
      <formula>0</formula>
    </cfRule>
  </conditionalFormatting>
  <conditionalFormatting sqref="X112">
    <cfRule type="expression" dxfId="1510" priority="2165">
      <formula>X112*100&lt;C112</formula>
    </cfRule>
    <cfRule type="cellIs" dxfId="1509" priority="2166" operator="equal">
      <formula>0</formula>
    </cfRule>
  </conditionalFormatting>
  <conditionalFormatting sqref="X113">
    <cfRule type="expression" dxfId="1508" priority="2163">
      <formula>X113*100&lt;C113</formula>
    </cfRule>
    <cfRule type="cellIs" dxfId="1507" priority="2164" operator="equal">
      <formula>0</formula>
    </cfRule>
  </conditionalFormatting>
  <conditionalFormatting sqref="X114">
    <cfRule type="expression" dxfId="1506" priority="2161">
      <formula>X114*100&lt;C114</formula>
    </cfRule>
    <cfRule type="cellIs" dxfId="1505" priority="2162" operator="equal">
      <formula>0</formula>
    </cfRule>
  </conditionalFormatting>
  <conditionalFormatting sqref="X115">
    <cfRule type="expression" dxfId="1504" priority="2159">
      <formula>X115*100&lt;C115</formula>
    </cfRule>
    <cfRule type="cellIs" dxfId="1503" priority="2160" operator="equal">
      <formula>0</formula>
    </cfRule>
  </conditionalFormatting>
  <conditionalFormatting sqref="X116">
    <cfRule type="expression" dxfId="1502" priority="2157">
      <formula>X116*100&lt;C116</formula>
    </cfRule>
    <cfRule type="cellIs" dxfId="1501" priority="2158" operator="equal">
      <formula>0</formula>
    </cfRule>
  </conditionalFormatting>
  <conditionalFormatting sqref="X117">
    <cfRule type="expression" dxfId="1500" priority="2155">
      <formula>X117*100&lt;C117</formula>
    </cfRule>
    <cfRule type="cellIs" dxfId="1499" priority="2156" operator="equal">
      <formula>0</formula>
    </cfRule>
  </conditionalFormatting>
  <conditionalFormatting sqref="X118">
    <cfRule type="expression" dxfId="1498" priority="2153">
      <formula>X118*100&lt;C118</formula>
    </cfRule>
    <cfRule type="cellIs" dxfId="1497" priority="2154" operator="equal">
      <formula>0</formula>
    </cfRule>
  </conditionalFormatting>
  <conditionalFormatting sqref="X119">
    <cfRule type="expression" dxfId="1496" priority="2151">
      <formula>X119*100&lt;C119</formula>
    </cfRule>
    <cfRule type="cellIs" dxfId="1495" priority="2152" operator="equal">
      <formula>0</formula>
    </cfRule>
  </conditionalFormatting>
  <conditionalFormatting sqref="X120">
    <cfRule type="expression" dxfId="1494" priority="2149">
      <formula>X120*100&lt;C120</formula>
    </cfRule>
    <cfRule type="cellIs" dxfId="1493" priority="2150" operator="equal">
      <formula>0</formula>
    </cfRule>
  </conditionalFormatting>
  <conditionalFormatting sqref="X121">
    <cfRule type="expression" dxfId="1492" priority="2147">
      <formula>X121*100&lt;C121</formula>
    </cfRule>
    <cfRule type="cellIs" dxfId="1491" priority="2148" operator="equal">
      <formula>0</formula>
    </cfRule>
  </conditionalFormatting>
  <conditionalFormatting sqref="X122">
    <cfRule type="expression" dxfId="1490" priority="2145">
      <formula>X122*100&lt;C122</formula>
    </cfRule>
    <cfRule type="cellIs" dxfId="1489" priority="2146" operator="equal">
      <formula>0</formula>
    </cfRule>
  </conditionalFormatting>
  <conditionalFormatting sqref="X123">
    <cfRule type="expression" dxfId="1488" priority="2143">
      <formula>X123*100&lt;C123</formula>
    </cfRule>
    <cfRule type="cellIs" dxfId="1487" priority="2144" operator="equal">
      <formula>0</formula>
    </cfRule>
  </conditionalFormatting>
  <conditionalFormatting sqref="X124">
    <cfRule type="expression" dxfId="1486" priority="2141">
      <formula>X124*100&lt;C124</formula>
    </cfRule>
    <cfRule type="cellIs" dxfId="1485" priority="2142" operator="equal">
      <formula>0</formula>
    </cfRule>
  </conditionalFormatting>
  <conditionalFormatting sqref="X125">
    <cfRule type="expression" dxfId="1484" priority="2139">
      <formula>X125*100&lt;C125</formula>
    </cfRule>
    <cfRule type="cellIs" dxfId="1483" priority="2140" operator="equal">
      <formula>0</formula>
    </cfRule>
  </conditionalFormatting>
  <conditionalFormatting sqref="X126">
    <cfRule type="expression" dxfId="1482" priority="2137">
      <formula>X126*100&lt;C126</formula>
    </cfRule>
    <cfRule type="cellIs" dxfId="1481" priority="2138" operator="equal">
      <formula>0</formula>
    </cfRule>
  </conditionalFormatting>
  <conditionalFormatting sqref="X127">
    <cfRule type="expression" dxfId="1480" priority="2135">
      <formula>X127*100&lt;C127</formula>
    </cfRule>
    <cfRule type="cellIs" dxfId="1479" priority="2136" operator="equal">
      <formula>0</formula>
    </cfRule>
  </conditionalFormatting>
  <conditionalFormatting sqref="X128">
    <cfRule type="expression" dxfId="1478" priority="2133">
      <formula>X128*100&lt;C128</formula>
    </cfRule>
    <cfRule type="cellIs" dxfId="1477" priority="2134" operator="equal">
      <formula>0</formula>
    </cfRule>
  </conditionalFormatting>
  <conditionalFormatting sqref="X129">
    <cfRule type="expression" dxfId="1476" priority="2131">
      <formula>X129*100&lt;C129</formula>
    </cfRule>
    <cfRule type="cellIs" dxfId="1475" priority="2132" operator="equal">
      <formula>0</formula>
    </cfRule>
  </conditionalFormatting>
  <conditionalFormatting sqref="X130">
    <cfRule type="expression" dxfId="1474" priority="2129">
      <formula>X130*100&lt;C130</formula>
    </cfRule>
    <cfRule type="cellIs" dxfId="1473" priority="2130" operator="equal">
      <formula>0</formula>
    </cfRule>
  </conditionalFormatting>
  <conditionalFormatting sqref="X131">
    <cfRule type="expression" dxfId="1472" priority="2127">
      <formula>X131*100&lt;C131</formula>
    </cfRule>
    <cfRule type="cellIs" dxfId="1471" priority="2128" operator="equal">
      <formula>0</formula>
    </cfRule>
  </conditionalFormatting>
  <conditionalFormatting sqref="X132">
    <cfRule type="expression" dxfId="1470" priority="2125">
      <formula>X132*100&lt;C132</formula>
    </cfRule>
    <cfRule type="cellIs" dxfId="1469" priority="2126" operator="equal">
      <formula>0</formula>
    </cfRule>
  </conditionalFormatting>
  <conditionalFormatting sqref="X133">
    <cfRule type="expression" dxfId="1468" priority="2123">
      <formula>X133*100&lt;C133</formula>
    </cfRule>
    <cfRule type="cellIs" dxfId="1467" priority="2124" operator="equal">
      <formula>0</formula>
    </cfRule>
  </conditionalFormatting>
  <conditionalFormatting sqref="X134">
    <cfRule type="expression" dxfId="1466" priority="2121">
      <formula>X134*100&lt;C134</formula>
    </cfRule>
    <cfRule type="cellIs" dxfId="1465" priority="2122" operator="equal">
      <formula>0</formula>
    </cfRule>
  </conditionalFormatting>
  <conditionalFormatting sqref="X135">
    <cfRule type="expression" dxfId="1464" priority="2119">
      <formula>X135*100&lt;C135</formula>
    </cfRule>
    <cfRule type="cellIs" dxfId="1463" priority="2120" operator="equal">
      <formula>0</formula>
    </cfRule>
  </conditionalFormatting>
  <conditionalFormatting sqref="X136">
    <cfRule type="expression" dxfId="1462" priority="2117">
      <formula>X136*100&lt;C136</formula>
    </cfRule>
    <cfRule type="cellIs" dxfId="1461" priority="2118" operator="equal">
      <formula>0</formula>
    </cfRule>
  </conditionalFormatting>
  <conditionalFormatting sqref="X137">
    <cfRule type="expression" dxfId="1460" priority="2115">
      <formula>X137*100&lt;C137</formula>
    </cfRule>
    <cfRule type="cellIs" dxfId="1459" priority="2116" operator="equal">
      <formula>0</formula>
    </cfRule>
  </conditionalFormatting>
  <conditionalFormatting sqref="X138">
    <cfRule type="expression" dxfId="1458" priority="2113">
      <formula>X138*100&lt;C138</formula>
    </cfRule>
    <cfRule type="cellIs" dxfId="1457" priority="2114" operator="equal">
      <formula>0</formula>
    </cfRule>
  </conditionalFormatting>
  <conditionalFormatting sqref="X139">
    <cfRule type="expression" dxfId="1456" priority="2111">
      <formula>X139*100&lt;C139</formula>
    </cfRule>
    <cfRule type="cellIs" dxfId="1455" priority="2112" operator="equal">
      <formula>0</formula>
    </cfRule>
  </conditionalFormatting>
  <conditionalFormatting sqref="X140">
    <cfRule type="expression" dxfId="1454" priority="2109">
      <formula>X140*100&lt;C140</formula>
    </cfRule>
    <cfRule type="cellIs" dxfId="1453" priority="2110" operator="equal">
      <formula>0</formula>
    </cfRule>
  </conditionalFormatting>
  <conditionalFormatting sqref="X141">
    <cfRule type="expression" dxfId="1452" priority="2107">
      <formula>X141*100&lt;C141</formula>
    </cfRule>
    <cfRule type="cellIs" dxfId="1451" priority="2108" operator="equal">
      <formula>0</formula>
    </cfRule>
  </conditionalFormatting>
  <conditionalFormatting sqref="X142">
    <cfRule type="expression" dxfId="1450" priority="2105">
      <formula>X142*100&lt;C142</formula>
    </cfRule>
    <cfRule type="cellIs" dxfId="1449" priority="2106" operator="equal">
      <formula>0</formula>
    </cfRule>
  </conditionalFormatting>
  <conditionalFormatting sqref="X143">
    <cfRule type="expression" dxfId="1448" priority="2103">
      <formula>X143*100&lt;C143</formula>
    </cfRule>
    <cfRule type="cellIs" dxfId="1447" priority="2104" operator="equal">
      <formula>0</formula>
    </cfRule>
  </conditionalFormatting>
  <conditionalFormatting sqref="X144">
    <cfRule type="expression" dxfId="1446" priority="2101">
      <formula>X144*100&lt;C144</formula>
    </cfRule>
    <cfRule type="cellIs" dxfId="1445" priority="2102" operator="equal">
      <formula>0</formula>
    </cfRule>
  </conditionalFormatting>
  <conditionalFormatting sqref="X145">
    <cfRule type="expression" dxfId="1444" priority="2099">
      <formula>X145*100&lt;C145</formula>
    </cfRule>
    <cfRule type="cellIs" dxfId="1443" priority="2100" operator="equal">
      <formula>0</formula>
    </cfRule>
  </conditionalFormatting>
  <conditionalFormatting sqref="X146">
    <cfRule type="expression" dxfId="1442" priority="2097">
      <formula>X146*100&lt;C146</formula>
    </cfRule>
    <cfRule type="cellIs" dxfId="1441" priority="2098" operator="equal">
      <formula>0</formula>
    </cfRule>
  </conditionalFormatting>
  <conditionalFormatting sqref="X147">
    <cfRule type="expression" dxfId="1440" priority="2095">
      <formula>X147*100&lt;C147</formula>
    </cfRule>
    <cfRule type="cellIs" dxfId="1439" priority="2096" operator="equal">
      <formula>0</formula>
    </cfRule>
  </conditionalFormatting>
  <conditionalFormatting sqref="X148">
    <cfRule type="expression" dxfId="1438" priority="2093">
      <formula>X148*100&lt;C148</formula>
    </cfRule>
    <cfRule type="cellIs" dxfId="1437" priority="2094" operator="equal">
      <formula>0</formula>
    </cfRule>
  </conditionalFormatting>
  <conditionalFormatting sqref="X149">
    <cfRule type="expression" dxfId="1436" priority="2091">
      <formula>X149*100&lt;C149</formula>
    </cfRule>
    <cfRule type="cellIs" dxfId="1435" priority="2092" operator="equal">
      <formula>0</formula>
    </cfRule>
  </conditionalFormatting>
  <conditionalFormatting sqref="X150">
    <cfRule type="expression" dxfId="1434" priority="2089">
      <formula>X150*100&lt;C150</formula>
    </cfRule>
    <cfRule type="cellIs" dxfId="1433" priority="2090" operator="equal">
      <formula>0</formula>
    </cfRule>
  </conditionalFormatting>
  <conditionalFormatting sqref="X151">
    <cfRule type="expression" dxfId="1432" priority="2087">
      <formula>X151*100&lt;C151</formula>
    </cfRule>
    <cfRule type="cellIs" dxfId="1431" priority="2088" operator="equal">
      <formula>0</formula>
    </cfRule>
  </conditionalFormatting>
  <conditionalFormatting sqref="X152">
    <cfRule type="expression" dxfId="1430" priority="2085">
      <formula>X152*100&lt;C152</formula>
    </cfRule>
    <cfRule type="cellIs" dxfId="1429" priority="2086" operator="equal">
      <formula>0</formula>
    </cfRule>
  </conditionalFormatting>
  <conditionalFormatting sqref="X153">
    <cfRule type="expression" dxfId="1428" priority="2083">
      <formula>X153*100&lt;C153</formula>
    </cfRule>
    <cfRule type="cellIs" dxfId="1427" priority="2084" operator="equal">
      <formula>0</formula>
    </cfRule>
  </conditionalFormatting>
  <conditionalFormatting sqref="X154">
    <cfRule type="expression" dxfId="1426" priority="2081">
      <formula>X154*100&lt;C154</formula>
    </cfRule>
    <cfRule type="cellIs" dxfId="1425" priority="2082" operator="equal">
      <formula>0</formula>
    </cfRule>
  </conditionalFormatting>
  <conditionalFormatting sqref="X155">
    <cfRule type="expression" dxfId="1424" priority="2079">
      <formula>X155*100&lt;C155</formula>
    </cfRule>
    <cfRule type="cellIs" dxfId="1423" priority="2080" operator="equal">
      <formula>0</formula>
    </cfRule>
  </conditionalFormatting>
  <conditionalFormatting sqref="X156">
    <cfRule type="expression" dxfId="1422" priority="2077">
      <formula>X156*100&lt;C156</formula>
    </cfRule>
    <cfRule type="cellIs" dxfId="1421" priority="2078" operator="equal">
      <formula>0</formula>
    </cfRule>
  </conditionalFormatting>
  <conditionalFormatting sqref="X157">
    <cfRule type="expression" dxfId="1420" priority="2075">
      <formula>X157*100&lt;C157</formula>
    </cfRule>
    <cfRule type="cellIs" dxfId="1419" priority="2076" operator="equal">
      <formula>0</formula>
    </cfRule>
  </conditionalFormatting>
  <conditionalFormatting sqref="X158">
    <cfRule type="expression" dxfId="1418" priority="2073">
      <formula>X158*100&lt;C158</formula>
    </cfRule>
    <cfRule type="cellIs" dxfId="1417" priority="2074" operator="equal">
      <formula>0</formula>
    </cfRule>
  </conditionalFormatting>
  <conditionalFormatting sqref="X159">
    <cfRule type="expression" dxfId="1416" priority="2071">
      <formula>X159*100&lt;C159</formula>
    </cfRule>
    <cfRule type="cellIs" dxfId="1415" priority="2072" operator="equal">
      <formula>0</formula>
    </cfRule>
  </conditionalFormatting>
  <conditionalFormatting sqref="X160">
    <cfRule type="expression" dxfId="1414" priority="2069">
      <formula>X160*100&lt;C160</formula>
    </cfRule>
    <cfRule type="cellIs" dxfId="1413" priority="2070" operator="equal">
      <formula>0</formula>
    </cfRule>
  </conditionalFormatting>
  <conditionalFormatting sqref="X161">
    <cfRule type="expression" dxfId="1412" priority="2067">
      <formula>X161*100&lt;C161</formula>
    </cfRule>
    <cfRule type="cellIs" dxfId="1411" priority="2068" operator="equal">
      <formula>0</formula>
    </cfRule>
  </conditionalFormatting>
  <conditionalFormatting sqref="X162">
    <cfRule type="expression" dxfId="1410" priority="2065">
      <formula>X162*100&lt;C162</formula>
    </cfRule>
    <cfRule type="cellIs" dxfId="1409" priority="2066" operator="equal">
      <formula>0</formula>
    </cfRule>
  </conditionalFormatting>
  <conditionalFormatting sqref="X163">
    <cfRule type="expression" dxfId="1408" priority="2063">
      <formula>X163*100&lt;C163</formula>
    </cfRule>
    <cfRule type="cellIs" dxfId="1407" priority="2064" operator="equal">
      <formula>0</formula>
    </cfRule>
  </conditionalFormatting>
  <conditionalFormatting sqref="X164">
    <cfRule type="expression" dxfId="1406" priority="2061">
      <formula>X164*100&lt;C164</formula>
    </cfRule>
    <cfRule type="cellIs" dxfId="1405" priority="2062" operator="equal">
      <formula>0</formula>
    </cfRule>
  </conditionalFormatting>
  <conditionalFormatting sqref="X165">
    <cfRule type="expression" dxfId="1404" priority="2059">
      <formula>X165*100&lt;C165</formula>
    </cfRule>
    <cfRule type="cellIs" dxfId="1403" priority="2060" operator="equal">
      <formula>0</formula>
    </cfRule>
  </conditionalFormatting>
  <conditionalFormatting sqref="X166 X172 X178 X184 X190 X196">
    <cfRule type="expression" dxfId="1402" priority="2057">
      <formula>X166*100&lt;C166</formula>
    </cfRule>
    <cfRule type="cellIs" dxfId="1401" priority="2058" operator="equal">
      <formula>0</formula>
    </cfRule>
  </conditionalFormatting>
  <conditionalFormatting sqref="X167 X173 X179 X185 X191 X197">
    <cfRule type="expression" dxfId="1400" priority="2055">
      <formula>X167*100&lt;C167</formula>
    </cfRule>
    <cfRule type="cellIs" dxfId="1399" priority="2056" operator="equal">
      <formula>0</formula>
    </cfRule>
  </conditionalFormatting>
  <conditionalFormatting sqref="X168 X174 X180 X186 X192 X198">
    <cfRule type="expression" dxfId="1398" priority="2053">
      <formula>X168*100&lt;C168</formula>
    </cfRule>
    <cfRule type="cellIs" dxfId="1397" priority="2054" operator="equal">
      <formula>0</formula>
    </cfRule>
  </conditionalFormatting>
  <conditionalFormatting sqref="X169 X175 X181 X187 X193 X199">
    <cfRule type="expression" dxfId="1396" priority="2051">
      <formula>X169*100&lt;C169</formula>
    </cfRule>
    <cfRule type="cellIs" dxfId="1395" priority="2052" operator="equal">
      <formula>0</formula>
    </cfRule>
  </conditionalFormatting>
  <conditionalFormatting sqref="X170 X176 X182 X188 X194 X200">
    <cfRule type="expression" dxfId="1394" priority="2049">
      <formula>X170*100&lt;C170</formula>
    </cfRule>
    <cfRule type="cellIs" dxfId="1393" priority="2050" operator="equal">
      <formula>0</formula>
    </cfRule>
  </conditionalFormatting>
  <conditionalFormatting sqref="X171 X177 X183 X189 X195 X201">
    <cfRule type="expression" dxfId="1392" priority="2047">
      <formula>X171*100&lt;C171</formula>
    </cfRule>
    <cfRule type="cellIs" dxfId="1391" priority="2048" operator="equal">
      <formula>0</formula>
    </cfRule>
  </conditionalFormatting>
  <conditionalFormatting sqref="W2:W3">
    <cfRule type="cellIs" dxfId="1390" priority="2046" operator="equal">
      <formula>0</formula>
    </cfRule>
  </conditionalFormatting>
  <conditionalFormatting sqref="W3">
    <cfRule type="cellIs" dxfId="1389" priority="2044" operator="equal">
      <formula>"STOP"</formula>
    </cfRule>
    <cfRule type="cellIs" dxfId="1388" priority="2045" operator="equal">
      <formula>"TRAILING"</formula>
    </cfRule>
  </conditionalFormatting>
  <conditionalFormatting sqref="W2">
    <cfRule type="cellIs" dxfId="1387" priority="2042" operator="equal">
      <formula>"STOP"</formula>
    </cfRule>
    <cfRule type="cellIs" dxfId="1386" priority="2043" operator="equal">
      <formula>"TRAILING"</formula>
    </cfRule>
  </conditionalFormatting>
  <conditionalFormatting sqref="X2">
    <cfRule type="expression" dxfId="1385" priority="2040">
      <formula>X2*100&lt;C2</formula>
    </cfRule>
    <cfRule type="cellIs" dxfId="1384" priority="2041" operator="equal">
      <formula>0</formula>
    </cfRule>
  </conditionalFormatting>
  <conditionalFormatting sqref="X3">
    <cfRule type="expression" dxfId="1383" priority="2038">
      <formula>X3*100&lt;C3</formula>
    </cfRule>
    <cfRule type="cellIs" dxfId="1382" priority="2039" operator="equal">
      <formula>0</formula>
    </cfRule>
  </conditionalFormatting>
  <conditionalFormatting sqref="W4:W5">
    <cfRule type="cellIs" dxfId="1381" priority="2037" operator="equal">
      <formula>0</formula>
    </cfRule>
  </conditionalFormatting>
  <conditionalFormatting sqref="W5">
    <cfRule type="cellIs" dxfId="1380" priority="2035" operator="equal">
      <formula>"STOP"</formula>
    </cfRule>
    <cfRule type="cellIs" dxfId="1379" priority="2036" operator="equal">
      <formula>"TRAILING"</formula>
    </cfRule>
  </conditionalFormatting>
  <conditionalFormatting sqref="W4">
    <cfRule type="cellIs" dxfId="1378" priority="2033" operator="equal">
      <formula>"STOP"</formula>
    </cfRule>
    <cfRule type="cellIs" dxfId="1377" priority="2034" operator="equal">
      <formula>"TRAILING"</formula>
    </cfRule>
  </conditionalFormatting>
  <conditionalFormatting sqref="X4">
    <cfRule type="expression" dxfId="1376" priority="2031">
      <formula>X4*100&lt;C4</formula>
    </cfRule>
    <cfRule type="cellIs" dxfId="1375" priority="2032" operator="equal">
      <formula>0</formula>
    </cfRule>
  </conditionalFormatting>
  <conditionalFormatting sqref="X5">
    <cfRule type="expression" dxfId="1374" priority="2029">
      <formula>X5*100&lt;C5</formula>
    </cfRule>
    <cfRule type="cellIs" dxfId="1373" priority="2030" operator="equal">
      <formula>0</formula>
    </cfRule>
  </conditionalFormatting>
  <conditionalFormatting sqref="W6:W7">
    <cfRule type="cellIs" dxfId="1372" priority="2028" operator="equal">
      <formula>0</formula>
    </cfRule>
  </conditionalFormatting>
  <conditionalFormatting sqref="W7">
    <cfRule type="cellIs" dxfId="1371" priority="2026" operator="equal">
      <formula>"STOP"</formula>
    </cfRule>
    <cfRule type="cellIs" dxfId="1370" priority="2027" operator="equal">
      <formula>"TRAILING"</formula>
    </cfRule>
  </conditionalFormatting>
  <conditionalFormatting sqref="W6">
    <cfRule type="cellIs" dxfId="1369" priority="2024" operator="equal">
      <formula>"STOP"</formula>
    </cfRule>
    <cfRule type="cellIs" dxfId="1368" priority="2025" operator="equal">
      <formula>"TRAILING"</formula>
    </cfRule>
  </conditionalFormatting>
  <conditionalFormatting sqref="X6">
    <cfRule type="expression" dxfId="1367" priority="2022">
      <formula>X6*100&lt;C6</formula>
    </cfRule>
    <cfRule type="cellIs" dxfId="1366" priority="2023" operator="equal">
      <formula>0</formula>
    </cfRule>
  </conditionalFormatting>
  <conditionalFormatting sqref="X7">
    <cfRule type="expression" dxfId="1365" priority="2020">
      <formula>X7*100&lt;C7</formula>
    </cfRule>
    <cfRule type="cellIs" dxfId="1364" priority="2021" operator="equal">
      <formula>0</formula>
    </cfRule>
  </conditionalFormatting>
  <conditionalFormatting sqref="W8:W9">
    <cfRule type="cellIs" dxfId="1363" priority="2019" operator="equal">
      <formula>0</formula>
    </cfRule>
  </conditionalFormatting>
  <conditionalFormatting sqref="W9">
    <cfRule type="cellIs" dxfId="1362" priority="2017" operator="equal">
      <formula>"STOP"</formula>
    </cfRule>
    <cfRule type="cellIs" dxfId="1361" priority="2018" operator="equal">
      <formula>"TRAILING"</formula>
    </cfRule>
  </conditionalFormatting>
  <conditionalFormatting sqref="W8">
    <cfRule type="cellIs" dxfId="1360" priority="2015" operator="equal">
      <formula>"STOP"</formula>
    </cfRule>
    <cfRule type="cellIs" dxfId="1359" priority="2016" operator="equal">
      <formula>"TRAILING"</formula>
    </cfRule>
  </conditionalFormatting>
  <conditionalFormatting sqref="X8">
    <cfRule type="expression" dxfId="1358" priority="2013">
      <formula>X8*100&lt;C8</formula>
    </cfRule>
    <cfRule type="cellIs" dxfId="1357" priority="2014" operator="equal">
      <formula>0</formula>
    </cfRule>
  </conditionalFormatting>
  <conditionalFormatting sqref="X9">
    <cfRule type="expression" dxfId="1356" priority="2011">
      <formula>X9*100&lt;C9</formula>
    </cfRule>
    <cfRule type="cellIs" dxfId="1355" priority="2012" operator="equal">
      <formula>0</formula>
    </cfRule>
  </conditionalFormatting>
  <conditionalFormatting sqref="W10:W11">
    <cfRule type="cellIs" dxfId="1354" priority="2010" operator="equal">
      <formula>0</formula>
    </cfRule>
  </conditionalFormatting>
  <conditionalFormatting sqref="W11">
    <cfRule type="cellIs" dxfId="1353" priority="2008" operator="equal">
      <formula>"STOP"</formula>
    </cfRule>
    <cfRule type="cellIs" dxfId="1352" priority="2009" operator="equal">
      <formula>"TRAILING"</formula>
    </cfRule>
  </conditionalFormatting>
  <conditionalFormatting sqref="W10">
    <cfRule type="cellIs" dxfId="1351" priority="2006" operator="equal">
      <formula>"STOP"</formula>
    </cfRule>
    <cfRule type="cellIs" dxfId="1350" priority="2007" operator="equal">
      <formula>"TRAILING"</formula>
    </cfRule>
  </conditionalFormatting>
  <conditionalFormatting sqref="X10">
    <cfRule type="expression" dxfId="1349" priority="2004">
      <formula>X10*100&lt;C10</formula>
    </cfRule>
    <cfRule type="cellIs" dxfId="1348" priority="2005" operator="equal">
      <formula>0</formula>
    </cfRule>
  </conditionalFormatting>
  <conditionalFormatting sqref="X11">
    <cfRule type="expression" dxfId="1347" priority="2002">
      <formula>X11*100&lt;C11</formula>
    </cfRule>
    <cfRule type="cellIs" dxfId="1346" priority="2003" operator="equal">
      <formula>0</formula>
    </cfRule>
  </conditionalFormatting>
  <conditionalFormatting sqref="W12:W13">
    <cfRule type="cellIs" dxfId="1345" priority="2001" operator="equal">
      <formula>0</formula>
    </cfRule>
  </conditionalFormatting>
  <conditionalFormatting sqref="W13">
    <cfRule type="cellIs" dxfId="1344" priority="1999" operator="equal">
      <formula>"STOP"</formula>
    </cfRule>
    <cfRule type="cellIs" dxfId="1343" priority="2000" operator="equal">
      <formula>"TRAILING"</formula>
    </cfRule>
  </conditionalFormatting>
  <conditionalFormatting sqref="W12">
    <cfRule type="cellIs" dxfId="1342" priority="1997" operator="equal">
      <formula>"STOP"</formula>
    </cfRule>
    <cfRule type="cellIs" dxfId="1341" priority="1998" operator="equal">
      <formula>"TRAILING"</formula>
    </cfRule>
  </conditionalFormatting>
  <conditionalFormatting sqref="X12">
    <cfRule type="expression" dxfId="1340" priority="1995">
      <formula>X12*100&lt;C12</formula>
    </cfRule>
    <cfRule type="cellIs" dxfId="1339" priority="1996" operator="equal">
      <formula>0</formula>
    </cfRule>
  </conditionalFormatting>
  <conditionalFormatting sqref="X13">
    <cfRule type="expression" dxfId="1338" priority="1993">
      <formula>X13*100&lt;C13</formula>
    </cfRule>
    <cfRule type="cellIs" dxfId="1337" priority="1994" operator="equal">
      <formula>0</formula>
    </cfRule>
  </conditionalFormatting>
  <conditionalFormatting sqref="W14:W15 W18:W19 W22:W23">
    <cfRule type="cellIs" dxfId="1336" priority="1992" operator="equal">
      <formula>0</formula>
    </cfRule>
  </conditionalFormatting>
  <conditionalFormatting sqref="W15 W19 W23">
    <cfRule type="cellIs" dxfId="1335" priority="1990" operator="equal">
      <formula>"STOP"</formula>
    </cfRule>
    <cfRule type="cellIs" dxfId="1334" priority="1991" operator="equal">
      <formula>"TRAILING"</formula>
    </cfRule>
  </conditionalFormatting>
  <conditionalFormatting sqref="W14 W18 W22">
    <cfRule type="cellIs" dxfId="1333" priority="1988" operator="equal">
      <formula>"STOP"</formula>
    </cfRule>
    <cfRule type="cellIs" dxfId="1332" priority="1989" operator="equal">
      <formula>"TRAILING"</formula>
    </cfRule>
  </conditionalFormatting>
  <conditionalFormatting sqref="X14 X18 X22">
    <cfRule type="expression" dxfId="1331" priority="1986">
      <formula>X14*100&lt;C14</formula>
    </cfRule>
    <cfRule type="cellIs" dxfId="1330" priority="1987" operator="equal">
      <formula>0</formula>
    </cfRule>
  </conditionalFormatting>
  <conditionalFormatting sqref="X15 X19 X23">
    <cfRule type="expression" dxfId="1329" priority="1984">
      <formula>X15*100&lt;C15</formula>
    </cfRule>
    <cfRule type="cellIs" dxfId="1328" priority="1985" operator="equal">
      <formula>0</formula>
    </cfRule>
  </conditionalFormatting>
  <conditionalFormatting sqref="W16:W17 W20:W21 W24:W25">
    <cfRule type="cellIs" dxfId="1327" priority="1983" operator="equal">
      <formula>0</formula>
    </cfRule>
  </conditionalFormatting>
  <conditionalFormatting sqref="W17 W21 W25">
    <cfRule type="cellIs" dxfId="1326" priority="1981" operator="equal">
      <formula>"STOP"</formula>
    </cfRule>
    <cfRule type="cellIs" dxfId="1325" priority="1982" operator="equal">
      <formula>"TRAILING"</formula>
    </cfRule>
  </conditionalFormatting>
  <conditionalFormatting sqref="W16 W20 W24">
    <cfRule type="cellIs" dxfId="1324" priority="1979" operator="equal">
      <formula>"STOP"</formula>
    </cfRule>
    <cfRule type="cellIs" dxfId="1323" priority="1980" operator="equal">
      <formula>"TRAILING"</formula>
    </cfRule>
  </conditionalFormatting>
  <conditionalFormatting sqref="X16 X20 X24">
    <cfRule type="expression" dxfId="1322" priority="1977">
      <formula>X16*100&lt;C16</formula>
    </cfRule>
    <cfRule type="cellIs" dxfId="1321" priority="1978" operator="equal">
      <formula>0</formula>
    </cfRule>
  </conditionalFormatting>
  <conditionalFormatting sqref="X17 X21 X25">
    <cfRule type="expression" dxfId="1320" priority="1975">
      <formula>X17*100&lt;C17</formula>
    </cfRule>
    <cfRule type="cellIs" dxfId="1319" priority="1976" operator="equal">
      <formula>0</formula>
    </cfRule>
  </conditionalFormatting>
  <conditionalFormatting sqref="X30">
    <cfRule type="expression" dxfId="1318" priority="1937">
      <formula>X30*100&lt;C30</formula>
    </cfRule>
    <cfRule type="cellIs" dxfId="1317" priority="1938" operator="equal">
      <formula>0</formula>
    </cfRule>
  </conditionalFormatting>
  <conditionalFormatting sqref="X31">
    <cfRule type="expression" dxfId="1316" priority="1935">
      <formula>X31*100&lt;C31</formula>
    </cfRule>
    <cfRule type="cellIs" dxfId="1315" priority="1936" operator="equal">
      <formula>0</formula>
    </cfRule>
  </conditionalFormatting>
  <conditionalFormatting sqref="X32">
    <cfRule type="expression" dxfId="1314" priority="1933">
      <formula>X32*100&lt;C32</formula>
    </cfRule>
    <cfRule type="cellIs" dxfId="1313" priority="1934" operator="equal">
      <formula>0</formula>
    </cfRule>
  </conditionalFormatting>
  <conditionalFormatting sqref="X33">
    <cfRule type="expression" dxfId="1312" priority="1931">
      <formula>X33*100&lt;C33</formula>
    </cfRule>
    <cfRule type="cellIs" dxfId="1311" priority="1932" operator="equal">
      <formula>0</formula>
    </cfRule>
  </conditionalFormatting>
  <conditionalFormatting sqref="X34">
    <cfRule type="expression" dxfId="1310" priority="1929">
      <formula>X34*100&lt;C34</formula>
    </cfRule>
    <cfRule type="cellIs" dxfId="1309" priority="1930" operator="equal">
      <formula>0</formula>
    </cfRule>
  </conditionalFormatting>
  <conditionalFormatting sqref="X35">
    <cfRule type="expression" dxfId="1308" priority="1927">
      <formula>X35*100&lt;C35</formula>
    </cfRule>
    <cfRule type="cellIs" dxfId="1307" priority="1928" operator="equal">
      <formula>0</formula>
    </cfRule>
  </conditionalFormatting>
  <conditionalFormatting sqref="X36">
    <cfRule type="expression" dxfId="1306" priority="1925">
      <formula>X36*100&lt;C36</formula>
    </cfRule>
    <cfRule type="cellIs" dxfId="1305" priority="1926" operator="equal">
      <formula>0</formula>
    </cfRule>
  </conditionalFormatting>
  <conditionalFormatting sqref="X37">
    <cfRule type="expression" dxfId="1304" priority="1923">
      <formula>X37*100&lt;C37</formula>
    </cfRule>
    <cfRule type="cellIs" dxfId="1303" priority="1924" operator="equal">
      <formula>0</formula>
    </cfRule>
  </conditionalFormatting>
  <conditionalFormatting sqref="X38">
    <cfRule type="expression" dxfId="1302" priority="1921">
      <formula>X38*100&lt;C38</formula>
    </cfRule>
    <cfRule type="cellIs" dxfId="1301" priority="1922" operator="equal">
      <formula>0</formula>
    </cfRule>
  </conditionalFormatting>
  <conditionalFormatting sqref="X39">
    <cfRule type="expression" dxfId="1300" priority="1919">
      <formula>X39*100&lt;C39</formula>
    </cfRule>
    <cfRule type="cellIs" dxfId="1299" priority="1920" operator="equal">
      <formula>0</formula>
    </cfRule>
  </conditionalFormatting>
  <conditionalFormatting sqref="X40">
    <cfRule type="expression" dxfId="1298" priority="1917">
      <formula>X40*100&lt;C40</formula>
    </cfRule>
    <cfRule type="cellIs" dxfId="1297" priority="1918" operator="equal">
      <formula>0</formula>
    </cfRule>
  </conditionalFormatting>
  <conditionalFormatting sqref="X41">
    <cfRule type="expression" dxfId="1296" priority="1915">
      <formula>X41*100&lt;C41</formula>
    </cfRule>
    <cfRule type="cellIs" dxfId="1295" priority="1916" operator="equal">
      <formula>0</formula>
    </cfRule>
  </conditionalFormatting>
  <conditionalFormatting sqref="X42">
    <cfRule type="expression" dxfId="1294" priority="1913">
      <formula>X42*100&lt;C42</formula>
    </cfRule>
    <cfRule type="cellIs" dxfId="1293" priority="1914" operator="equal">
      <formula>0</formula>
    </cfRule>
  </conditionalFormatting>
  <conditionalFormatting sqref="X43">
    <cfRule type="expression" dxfId="1292" priority="1911">
      <formula>X43*100&lt;C43</formula>
    </cfRule>
    <cfRule type="cellIs" dxfId="1291" priority="1912" operator="equal">
      <formula>0</formula>
    </cfRule>
  </conditionalFormatting>
  <conditionalFormatting sqref="Y64">
    <cfRule type="cellIs" dxfId="1290" priority="757" operator="lessThanOrEqual">
      <formula>0</formula>
    </cfRule>
    <cfRule type="expression" dxfId="1289" priority="1780">
      <formula>(C65)-(D64)&lt;(C65/100)*(1+$AD$1*$AE$1)</formula>
    </cfRule>
  </conditionalFormatting>
  <conditionalFormatting sqref="Y65">
    <cfRule type="cellIs" dxfId="1288" priority="1781" operator="equal">
      <formula>0</formula>
    </cfRule>
  </conditionalFormatting>
  <conditionalFormatting sqref="Y60">
    <cfRule type="expression" dxfId="1287" priority="1777">
      <formula>(C61)-(D60)&gt;(C61/100)*(1+$AD$1*$AE$1)</formula>
    </cfRule>
    <cfRule type="cellIs" dxfId="1286" priority="1779" operator="lessThanOrEqual">
      <formula>0</formula>
    </cfRule>
  </conditionalFormatting>
  <conditionalFormatting sqref="Y61">
    <cfRule type="cellIs" dxfId="1285" priority="1778" operator="equal">
      <formula>0</formula>
    </cfRule>
  </conditionalFormatting>
  <conditionalFormatting sqref="U1">
    <cfRule type="cellIs" dxfId="1284" priority="1691" operator="notEqual">
      <formula>0</formula>
    </cfRule>
  </conditionalFormatting>
  <conditionalFormatting sqref="V1">
    <cfRule type="cellIs" dxfId="1283" priority="1690" operator="notEqual">
      <formula>0</formula>
    </cfRule>
  </conditionalFormatting>
  <conditionalFormatting sqref="Z36">
    <cfRule type="cellIs" dxfId="1282" priority="1680" operator="greaterThan">
      <formula>0</formula>
    </cfRule>
  </conditionalFormatting>
  <conditionalFormatting sqref="S1">
    <cfRule type="cellIs" dxfId="1281" priority="1667" operator="equal">
      <formula>"STOP"</formula>
    </cfRule>
  </conditionalFormatting>
  <conditionalFormatting sqref="R1">
    <cfRule type="cellIs" dxfId="1280" priority="1664" operator="equal">
      <formula>"REC"</formula>
    </cfRule>
    <cfRule type="cellIs" dxfId="1279" priority="1666" operator="equal">
      <formula>"TRAIL"</formula>
    </cfRule>
  </conditionalFormatting>
  <conditionalFormatting sqref="Q1">
    <cfRule type="cellIs" dxfId="1278" priority="1665" operator="equal">
      <formula>"PRC"</formula>
    </cfRule>
  </conditionalFormatting>
  <conditionalFormatting sqref="Z26">
    <cfRule type="cellIs" dxfId="1277" priority="1657" operator="equal">
      <formula>0</formula>
    </cfRule>
  </conditionalFormatting>
  <conditionalFormatting sqref="Z26">
    <cfRule type="cellIs" dxfId="1276" priority="1656" operator="greaterThan">
      <formula>0</formula>
    </cfRule>
  </conditionalFormatting>
  <conditionalFormatting sqref="Z27">
    <cfRule type="cellIs" dxfId="1275" priority="1655" operator="equal">
      <formula>0</formula>
    </cfRule>
  </conditionalFormatting>
  <conditionalFormatting sqref="Z27">
    <cfRule type="cellIs" dxfId="1274" priority="1654" operator="greaterThan">
      <formula>0</formula>
    </cfRule>
  </conditionalFormatting>
  <conditionalFormatting sqref="Z28">
    <cfRule type="cellIs" dxfId="1273" priority="1653" operator="equal">
      <formula>0</formula>
    </cfRule>
  </conditionalFormatting>
  <conditionalFormatting sqref="Z28">
    <cfRule type="cellIs" dxfId="1272" priority="1652" operator="greaterThan">
      <formula>0</formula>
    </cfRule>
  </conditionalFormatting>
  <conditionalFormatting sqref="Z29">
    <cfRule type="cellIs" dxfId="1271" priority="1651" operator="equal">
      <formula>0</formula>
    </cfRule>
  </conditionalFormatting>
  <conditionalFormatting sqref="Z29">
    <cfRule type="cellIs" dxfId="1270" priority="1650" operator="greaterThan">
      <formula>0</formula>
    </cfRule>
  </conditionalFormatting>
  <conditionalFormatting sqref="A30">
    <cfRule type="expression" dxfId="1269" priority="1646">
      <formula>X30&lt;&gt;0</formula>
    </cfRule>
  </conditionalFormatting>
  <conditionalFormatting sqref="A31">
    <cfRule type="expression" dxfId="1268" priority="1612">
      <formula>X31&lt;&gt;0</formula>
    </cfRule>
  </conditionalFormatting>
  <conditionalFormatting sqref="A32">
    <cfRule type="expression" dxfId="1267" priority="1610">
      <formula>X32&lt;&gt;0</formula>
    </cfRule>
  </conditionalFormatting>
  <conditionalFormatting sqref="A33">
    <cfRule type="expression" dxfId="1266" priority="1608">
      <formula>X33&lt;&gt;0</formula>
    </cfRule>
  </conditionalFormatting>
  <conditionalFormatting sqref="A34">
    <cfRule type="expression" dxfId="1265" priority="1606">
      <formula>X34&lt;&gt;0</formula>
    </cfRule>
  </conditionalFormatting>
  <conditionalFormatting sqref="A35">
    <cfRule type="expression" dxfId="1264" priority="1604">
      <formula>X35&lt;&gt;0</formula>
    </cfRule>
  </conditionalFormatting>
  <conditionalFormatting sqref="A36">
    <cfRule type="expression" dxfId="1263" priority="1602">
      <formula>X36&lt;&gt;0</formula>
    </cfRule>
  </conditionalFormatting>
  <conditionalFormatting sqref="A37">
    <cfRule type="expression" dxfId="1262" priority="1600">
      <formula>X37&lt;&gt;0</formula>
    </cfRule>
  </conditionalFormatting>
  <conditionalFormatting sqref="A38">
    <cfRule type="expression" dxfId="1261" priority="1598">
      <formula>X38&lt;&gt;0</formula>
    </cfRule>
  </conditionalFormatting>
  <conditionalFormatting sqref="A39">
    <cfRule type="expression" dxfId="1260" priority="1596">
      <formula>X39&lt;&gt;0</formula>
    </cfRule>
  </conditionalFormatting>
  <conditionalFormatting sqref="A40">
    <cfRule type="expression" dxfId="1259" priority="1594">
      <formula>X40&lt;&gt;0</formula>
    </cfRule>
  </conditionalFormatting>
  <conditionalFormatting sqref="A41">
    <cfRule type="expression" dxfId="1258" priority="1592">
      <formula>X41&lt;&gt;0</formula>
    </cfRule>
  </conditionalFormatting>
  <conditionalFormatting sqref="A42">
    <cfRule type="expression" dxfId="1257" priority="1590">
      <formula>X42&lt;&gt;0</formula>
    </cfRule>
  </conditionalFormatting>
  <conditionalFormatting sqref="A43">
    <cfRule type="expression" dxfId="1256" priority="1588">
      <formula>X43&lt;&gt;0</formula>
    </cfRule>
  </conditionalFormatting>
  <conditionalFormatting sqref="A45">
    <cfRule type="expression" dxfId="1255" priority="1293">
      <formula>X45&lt;&gt;0</formula>
    </cfRule>
  </conditionalFormatting>
  <conditionalFormatting sqref="A46">
    <cfRule type="expression" dxfId="1254" priority="1292">
      <formula>X46&lt;&gt;0</formula>
    </cfRule>
  </conditionalFormatting>
  <conditionalFormatting sqref="A47">
    <cfRule type="expression" dxfId="1253" priority="1291">
      <formula>X47&lt;&gt;0</formula>
    </cfRule>
  </conditionalFormatting>
  <conditionalFormatting sqref="A48">
    <cfRule type="expression" dxfId="1252" priority="1290">
      <formula>X48&lt;&gt;0</formula>
    </cfRule>
  </conditionalFormatting>
  <conditionalFormatting sqref="A49">
    <cfRule type="expression" dxfId="1251" priority="1289">
      <formula>X49&lt;&gt;0</formula>
    </cfRule>
  </conditionalFormatting>
  <conditionalFormatting sqref="A50">
    <cfRule type="expression" dxfId="1250" priority="1288">
      <formula>X50&lt;&gt;0</formula>
    </cfRule>
  </conditionalFormatting>
  <conditionalFormatting sqref="A51">
    <cfRule type="expression" dxfId="1249" priority="1287">
      <formula>X51&lt;&gt;0</formula>
    </cfRule>
  </conditionalFormatting>
  <conditionalFormatting sqref="A52">
    <cfRule type="expression" dxfId="1248" priority="1286">
      <formula>X52&lt;&gt;0</formula>
    </cfRule>
  </conditionalFormatting>
  <conditionalFormatting sqref="A53">
    <cfRule type="expression" dxfId="1247" priority="1285">
      <formula>X53&lt;&gt;0</formula>
    </cfRule>
  </conditionalFormatting>
  <conditionalFormatting sqref="A54">
    <cfRule type="expression" dxfId="1246" priority="1284">
      <formula>X54&lt;&gt;0</formula>
    </cfRule>
  </conditionalFormatting>
  <conditionalFormatting sqref="A55">
    <cfRule type="expression" dxfId="1245" priority="1283">
      <formula>X55&lt;&gt;0</formula>
    </cfRule>
  </conditionalFormatting>
  <conditionalFormatting sqref="A56">
    <cfRule type="expression" dxfId="1244" priority="1282">
      <formula>X56&lt;&gt;0</formula>
    </cfRule>
  </conditionalFormatting>
  <conditionalFormatting sqref="A57">
    <cfRule type="expression" dxfId="1243" priority="1281">
      <formula>X57&lt;&gt;0</formula>
    </cfRule>
  </conditionalFormatting>
  <conditionalFormatting sqref="A58">
    <cfRule type="expression" dxfId="1242" priority="1280">
      <formula>X58&lt;&gt;0</formula>
    </cfRule>
  </conditionalFormatting>
  <conditionalFormatting sqref="A59">
    <cfRule type="expression" dxfId="1241" priority="1279">
      <formula>X59&lt;&gt;0</formula>
    </cfRule>
  </conditionalFormatting>
  <conditionalFormatting sqref="B26">
    <cfRule type="expression" dxfId="1240" priority="1183">
      <formula>IF($V26&lt;&gt;0,AND(MID($A26,5,1)=" "))</formula>
    </cfRule>
    <cfRule type="expression" dxfId="1239" priority="1184">
      <formula>IF($V26&lt;&gt;0,AND(MID($A26,5,1)="C"))</formula>
    </cfRule>
    <cfRule type="expression" dxfId="1238" priority="1185">
      <formula>IF($V26&lt;&gt;0,AND(MID($A26,5,1)="D"))</formula>
    </cfRule>
  </conditionalFormatting>
  <conditionalFormatting sqref="F26">
    <cfRule type="expression" dxfId="1237" priority="1174">
      <formula>IF($V26&lt;&gt;0,AND(MID($A26,5,1)=" "))</formula>
    </cfRule>
    <cfRule type="expression" dxfId="1236" priority="1175">
      <formula>IF($V26&lt;&gt;0,AND(MID($A26,5,1)="C"))</formula>
    </cfRule>
    <cfRule type="expression" dxfId="1235" priority="1176">
      <formula>IF($V26&lt;&gt;0,AND(MID($A26,5,1)="D"))</formula>
    </cfRule>
  </conditionalFormatting>
  <conditionalFormatting sqref="E26">
    <cfRule type="expression" dxfId="1234" priority="1168">
      <formula>IF($V26&lt;&gt;0,AND(MID($A26,5,1)=" "))</formula>
    </cfRule>
    <cfRule type="expression" dxfId="1233" priority="1169">
      <formula>IF($V26&lt;&gt;0,AND(MID($A26,5,1)="C"))</formula>
    </cfRule>
    <cfRule type="expression" dxfId="1232" priority="1170">
      <formula>IF($V26&lt;&gt;0,AND(MID($A26,5,1)="D"))</formula>
    </cfRule>
  </conditionalFormatting>
  <conditionalFormatting sqref="B28">
    <cfRule type="expression" dxfId="1231" priority="1165">
      <formula>IF($V28&lt;&gt;0,AND(MID($A28,5,1)=" "))</formula>
    </cfRule>
    <cfRule type="expression" dxfId="1230" priority="1166">
      <formula>IF($V28&lt;&gt;0,AND(MID($A28,5,1)="C"))</formula>
    </cfRule>
    <cfRule type="expression" dxfId="1229" priority="1167">
      <formula>IF($V28&lt;&gt;0,AND(MID($A28,5,1)="D"))</formula>
    </cfRule>
  </conditionalFormatting>
  <conditionalFormatting sqref="F28">
    <cfRule type="expression" dxfId="1228" priority="1156">
      <formula>IF($V28&lt;&gt;0,AND(MID($A28,5,1)=" "))</formula>
    </cfRule>
    <cfRule type="expression" dxfId="1227" priority="1157">
      <formula>IF($V28&lt;&gt;0,AND(MID($A28,5,1)="C"))</formula>
    </cfRule>
    <cfRule type="expression" dxfId="1226" priority="1158">
      <formula>IF($V28&lt;&gt;0,AND(MID($A28,5,1)="D"))</formula>
    </cfRule>
  </conditionalFormatting>
  <conditionalFormatting sqref="E28">
    <cfRule type="expression" dxfId="1225" priority="1150">
      <formula>IF($V28&lt;&gt;0,AND(MID($A28,5,1)=" "))</formula>
    </cfRule>
    <cfRule type="expression" dxfId="1224" priority="1151">
      <formula>IF($V28&lt;&gt;0,AND(MID($A28,5,1)="C"))</formula>
    </cfRule>
    <cfRule type="expression" dxfId="1223" priority="1152">
      <formula>IF($V28&lt;&gt;0,AND(MID($A28,5,1)="D"))</formula>
    </cfRule>
  </conditionalFormatting>
  <conditionalFormatting sqref="B29">
    <cfRule type="expression" dxfId="1222" priority="1147">
      <formula>IF($V29&lt;&gt;0,AND(MID($A29,5,1)=" "))</formula>
    </cfRule>
    <cfRule type="expression" dxfId="1221" priority="1148">
      <formula>IF($V29&lt;&gt;0,AND(MID($A29,5,1)="C"))</formula>
    </cfRule>
    <cfRule type="expression" dxfId="1220" priority="1149">
      <formula>IF($V29&lt;&gt;0,AND(MID($A29,5,1)="D"))</formula>
    </cfRule>
  </conditionalFormatting>
  <conditionalFormatting sqref="F29">
    <cfRule type="expression" dxfId="1219" priority="1138">
      <formula>IF($V29&lt;&gt;0,AND(MID($A29,5,1)=" "))</formula>
    </cfRule>
    <cfRule type="expression" dxfId="1218" priority="1139">
      <formula>IF($V29&lt;&gt;0,AND(MID($A29,5,1)="C"))</formula>
    </cfRule>
    <cfRule type="expression" dxfId="1217" priority="1140">
      <formula>IF($V29&lt;&gt;0,AND(MID($A29,5,1)="D"))</formula>
    </cfRule>
  </conditionalFormatting>
  <conditionalFormatting sqref="E29">
    <cfRule type="expression" dxfId="1216" priority="1132">
      <formula>IF($V29&lt;&gt;0,AND(MID($A29,5,1)=" "))</formula>
    </cfRule>
    <cfRule type="expression" dxfId="1215" priority="1133">
      <formula>IF($V29&lt;&gt;0,AND(MID($A29,5,1)="C"))</formula>
    </cfRule>
    <cfRule type="expression" dxfId="1214" priority="1134">
      <formula>IF($V29&lt;&gt;0,AND(MID($A29,5,1)="D"))</formula>
    </cfRule>
  </conditionalFormatting>
  <conditionalFormatting sqref="B27">
    <cfRule type="expression" dxfId="1213" priority="1129">
      <formula>IF($V27&lt;&gt;0,AND(MID($A27,5,1)=" "))</formula>
    </cfRule>
    <cfRule type="expression" dxfId="1212" priority="1130">
      <formula>IF($V27&lt;&gt;0,AND(MID($A27,5,1)="C"))</formula>
    </cfRule>
    <cfRule type="expression" dxfId="1211" priority="1131">
      <formula>IF($V27&lt;&gt;0,AND(MID($A27,5,1)="D"))</formula>
    </cfRule>
  </conditionalFormatting>
  <conditionalFormatting sqref="F27">
    <cfRule type="expression" dxfId="1210" priority="1120">
      <formula>IF($V27&lt;&gt;0,AND(MID($A27,5,1)=" "))</formula>
    </cfRule>
    <cfRule type="expression" dxfId="1209" priority="1121">
      <formula>IF($V27&lt;&gt;0,AND(MID($A27,5,1)="C"))</formula>
    </cfRule>
    <cfRule type="expression" dxfId="1208" priority="1122">
      <formula>IF($V27&lt;&gt;0,AND(MID($A27,5,1)="D"))</formula>
    </cfRule>
  </conditionalFormatting>
  <conditionalFormatting sqref="E27">
    <cfRule type="expression" dxfId="1207" priority="1114">
      <formula>IF($V27&lt;&gt;0,AND(MID($A27,5,1)=" "))</formula>
    </cfRule>
    <cfRule type="expression" dxfId="1206" priority="1115">
      <formula>IF($V27&lt;&gt;0,AND(MID($A27,5,1)="C"))</formula>
    </cfRule>
    <cfRule type="expression" dxfId="1205" priority="1116">
      <formula>IF($V27&lt;&gt;0,AND(MID($A27,5,1)="D"))</formula>
    </cfRule>
  </conditionalFormatting>
  <conditionalFormatting sqref="C26">
    <cfRule type="cellIs" dxfId="1204" priority="1081" operator="lessThan">
      <formula>D26</formula>
    </cfRule>
    <cfRule type="expression" dxfId="1203" priority="1085">
      <formula>IF($V26&lt;&gt;0,AND(MID($A26,5,1)=" "))</formula>
    </cfRule>
    <cfRule type="expression" dxfId="1202" priority="1086">
      <formula>IF($V26&lt;&gt;0,AND(MID($A26,5,1)="C"))</formula>
    </cfRule>
    <cfRule type="expression" dxfId="1201" priority="1087">
      <formula>IF($V26&lt;&gt;0,AND(MID($A26,5,1)="D"))</formula>
    </cfRule>
  </conditionalFormatting>
  <conditionalFormatting sqref="D26">
    <cfRule type="cellIs" dxfId="1200" priority="1080" operator="lessThan">
      <formula>C26</formula>
    </cfRule>
    <cfRule type="expression" dxfId="1199" priority="1082">
      <formula>IF($V26&lt;&gt;0,AND(MID($A26,5,1)=" "))</formula>
    </cfRule>
    <cfRule type="expression" dxfId="1198" priority="1083">
      <formula>IF($V26&lt;&gt;0,AND(MID($A26,5,1)="C"))</formula>
    </cfRule>
    <cfRule type="expression" dxfId="1197" priority="1084">
      <formula>IF($V26&lt;&gt;0,AND(MID($A26,5,1)="D"))</formula>
    </cfRule>
  </conditionalFormatting>
  <conditionalFormatting sqref="C27">
    <cfRule type="cellIs" dxfId="1196" priority="1073" operator="lessThan">
      <formula>D27</formula>
    </cfRule>
    <cfRule type="expression" dxfId="1195" priority="1077">
      <formula>IF($V27&lt;&gt;0,AND(MID($A27,5,1)=" "))</formula>
    </cfRule>
    <cfRule type="expression" dxfId="1194" priority="1078">
      <formula>IF($V27&lt;&gt;0,AND(MID($A27,5,1)="C"))</formula>
    </cfRule>
    <cfRule type="expression" dxfId="1193" priority="1079">
      <formula>IF($V27&lt;&gt;0,AND(MID($A27,5,1)="D"))</formula>
    </cfRule>
  </conditionalFormatting>
  <conditionalFormatting sqref="D27">
    <cfRule type="cellIs" dxfId="1192" priority="1072" operator="lessThan">
      <formula>C27</formula>
    </cfRule>
    <cfRule type="expression" dxfId="1191" priority="1074">
      <formula>IF($V27&lt;&gt;0,AND(MID($A27,5,1)=" "))</formula>
    </cfRule>
    <cfRule type="expression" dxfId="1190" priority="1075">
      <formula>IF($V27&lt;&gt;0,AND(MID($A27,5,1)="C"))</formula>
    </cfRule>
    <cfRule type="expression" dxfId="1189" priority="1076">
      <formula>IF($V27&lt;&gt;0,AND(MID($A27,5,1)="D"))</formula>
    </cfRule>
  </conditionalFormatting>
  <conditionalFormatting sqref="C28">
    <cfRule type="cellIs" dxfId="1188" priority="1065" operator="lessThan">
      <formula>D28</formula>
    </cfRule>
    <cfRule type="expression" dxfId="1187" priority="1069">
      <formula>IF($V28&lt;&gt;0,AND(MID($A28,5,1)=" "))</formula>
    </cfRule>
    <cfRule type="expression" dxfId="1186" priority="1070">
      <formula>IF($V28&lt;&gt;0,AND(MID($A28,5,1)="C"))</formula>
    </cfRule>
    <cfRule type="expression" dxfId="1185" priority="1071">
      <formula>IF($V28&lt;&gt;0,AND(MID($A28,5,1)="D"))</formula>
    </cfRule>
  </conditionalFormatting>
  <conditionalFormatting sqref="D28">
    <cfRule type="cellIs" dxfId="1184" priority="1064" operator="lessThan">
      <formula>C28</formula>
    </cfRule>
    <cfRule type="expression" dxfId="1183" priority="1066">
      <formula>IF($V28&lt;&gt;0,AND(MID($A28,5,1)=" "))</formula>
    </cfRule>
    <cfRule type="expression" dxfId="1182" priority="1067">
      <formula>IF($V28&lt;&gt;0,AND(MID($A28,5,1)="C"))</formula>
    </cfRule>
    <cfRule type="expression" dxfId="1181" priority="1068">
      <formula>IF($V28&lt;&gt;0,AND(MID($A28,5,1)="D"))</formula>
    </cfRule>
  </conditionalFormatting>
  <conditionalFormatting sqref="C29">
    <cfRule type="cellIs" dxfId="1180" priority="1057" operator="lessThan">
      <formula>D29</formula>
    </cfRule>
    <cfRule type="expression" dxfId="1179" priority="1061">
      <formula>IF($V29&lt;&gt;0,AND(MID($A29,5,1)=" "))</formula>
    </cfRule>
    <cfRule type="expression" dxfId="1178" priority="1062">
      <formula>IF($V29&lt;&gt;0,AND(MID($A29,5,1)="C"))</formula>
    </cfRule>
    <cfRule type="expression" dxfId="1177" priority="1063">
      <formula>IF($V29&lt;&gt;0,AND(MID($A29,5,1)="D"))</formula>
    </cfRule>
  </conditionalFormatting>
  <conditionalFormatting sqref="D29">
    <cfRule type="cellIs" dxfId="1176" priority="1056" operator="lessThan">
      <formula>C29</formula>
    </cfRule>
    <cfRule type="expression" dxfId="1175" priority="1058">
      <formula>IF($V29&lt;&gt;0,AND(MID($A29,5,1)=" "))</formula>
    </cfRule>
    <cfRule type="expression" dxfId="1174" priority="1059">
      <formula>IF($V29&lt;&gt;0,AND(MID($A29,5,1)="C"))</formula>
    </cfRule>
    <cfRule type="expression" dxfId="1173" priority="1060">
      <formula>IF($V29&lt;&gt;0,AND(MID($A29,5,1)="D"))</formula>
    </cfRule>
  </conditionalFormatting>
  <conditionalFormatting sqref="A15">
    <cfRule type="expression" dxfId="1172" priority="979">
      <formula>IF($Y17&gt;$Y14,AND(MID($A15,5,1)=" "))</formula>
    </cfRule>
    <cfRule type="expression" dxfId="1171" priority="980">
      <formula>IF($Y17&gt;$Y14,AND(MID($A15,5,1)="C"))</formula>
    </cfRule>
    <cfRule type="expression" dxfId="1170" priority="981">
      <formula>IF($Y17&gt;$Y14,AND(MID($A15,5,1)="D"))</formula>
    </cfRule>
  </conditionalFormatting>
  <conditionalFormatting sqref="A16">
    <cfRule type="expression" dxfId="1169" priority="982">
      <formula>IF($Y17&gt;$Y14,AND(MID($A16,5,1)=" "))</formula>
    </cfRule>
    <cfRule type="expression" dxfId="1168" priority="983">
      <formula>IF($Y17&gt;$Y14,AND(MID($A16,5,1)="C"))</formula>
    </cfRule>
    <cfRule type="expression" dxfId="1167" priority="984">
      <formula>IF($Y17&gt;$Y14,AND(MID($A16,5,1)="D"))</formula>
    </cfRule>
  </conditionalFormatting>
  <conditionalFormatting sqref="A17">
    <cfRule type="expression" dxfId="1166" priority="976">
      <formula>IF($Y17&gt;$Y14,AND(MID($A17,5,1)=" "))</formula>
    </cfRule>
    <cfRule type="expression" dxfId="1165" priority="977">
      <formula>IF($Y17&gt;$Y14,AND(MID($A17,5,1)="C"))</formula>
    </cfRule>
    <cfRule type="expression" dxfId="1164" priority="978">
      <formula>IF($Y17&gt;$Y14,AND(MID($A17,5,1)="D"))</formula>
    </cfRule>
  </conditionalFormatting>
  <conditionalFormatting sqref="A14">
    <cfRule type="expression" dxfId="1163" priority="973">
      <formula>IF($Y17&gt;$Y14,AND(MID($A14,5,1)=" "))</formula>
    </cfRule>
    <cfRule type="expression" dxfId="1162" priority="974">
      <formula>IF($Y17&gt;$Y14,AND(MID($A14,5,1)="C"))</formula>
    </cfRule>
    <cfRule type="expression" dxfId="1161" priority="975">
      <formula>IF($Y17&gt;$Y14,AND(MID($A14,5,1)="D"))</formula>
    </cfRule>
  </conditionalFormatting>
  <conditionalFormatting sqref="B12">
    <cfRule type="expression" dxfId="1160" priority="967">
      <formula>IF($Y13&gt;$Y10,AND(MID($A12,5,1)=" "))</formula>
    </cfRule>
    <cfRule type="expression" dxfId="1159" priority="968">
      <formula>IF($Y13&gt;$Y10,AND(MID($A12,5,1)="C"))</formula>
    </cfRule>
    <cfRule type="expression" dxfId="1158" priority="969">
      <formula>IF($Y13&gt;$Y10,AND(MID($A12,5,1)="D"))</formula>
    </cfRule>
  </conditionalFormatting>
  <conditionalFormatting sqref="C12">
    <cfRule type="expression" dxfId="1157" priority="970">
      <formula>IF($Y13&gt;$Y10,AND(MID($A12,5,1)=" "))</formula>
    </cfRule>
    <cfRule type="expression" dxfId="1156" priority="971">
      <formula>IF($Y13&gt;$Y10,AND(MID($A12,5,1)="C"))</formula>
    </cfRule>
    <cfRule type="expression" dxfId="1155" priority="972">
      <formula>IF($Y13&gt;$Y10,AND(MID($A12,5,1)="D"))</formula>
    </cfRule>
  </conditionalFormatting>
  <conditionalFormatting sqref="A26">
    <cfRule type="expression" dxfId="1154" priority="943">
      <formula>IF($V26&lt;&gt;0,AND(MID($A26,5,1)=" "))</formula>
    </cfRule>
    <cfRule type="expression" dxfId="1153" priority="944">
      <formula>IF($V26&lt;&gt;0,AND(MID($A26,5,1)="C"))</formula>
    </cfRule>
    <cfRule type="expression" dxfId="1152" priority="945">
      <formula>IF($V26&lt;&gt;0,AND(MID($A26,5,1)="D"))</formula>
    </cfRule>
  </conditionalFormatting>
  <conditionalFormatting sqref="A27">
    <cfRule type="expression" dxfId="1151" priority="940">
      <formula>IF($V27&lt;&gt;0,AND(MID($A27,5,1)=" "))</formula>
    </cfRule>
    <cfRule type="expression" dxfId="1150" priority="941">
      <formula>IF($V27&lt;&gt;0,AND(MID($A27,5,1)="C"))</formula>
    </cfRule>
    <cfRule type="expression" dxfId="1149" priority="942">
      <formula>IF($V27&lt;&gt;0,AND(MID($A27,5,1)="D"))</formula>
    </cfRule>
  </conditionalFormatting>
  <conditionalFormatting sqref="A28">
    <cfRule type="expression" dxfId="1148" priority="937">
      <formula>IF($V28&lt;&gt;0,AND(MID($A28,5,1)=" "))</formula>
    </cfRule>
    <cfRule type="expression" dxfId="1147" priority="938">
      <formula>IF($V28&lt;&gt;0,AND(MID($A28,5,1)="C"))</formula>
    </cfRule>
    <cfRule type="expression" dxfId="1146" priority="939">
      <formula>IF($V28&lt;&gt;0,AND(MID($A28,5,1)="D"))</formula>
    </cfRule>
  </conditionalFormatting>
  <conditionalFormatting sqref="A29">
    <cfRule type="expression" dxfId="1145" priority="934">
      <formula>IF($V29&lt;&gt;0,AND(MID($A29,5,1)=" "))</formula>
    </cfRule>
    <cfRule type="expression" dxfId="1144" priority="935">
      <formula>IF($V29&lt;&gt;0,AND(MID($A29,5,1)="C"))</formula>
    </cfRule>
    <cfRule type="expression" dxfId="1143" priority="936">
      <formula>IF($V29&lt;&gt;0,AND(MID($A29,5,1)="D"))</formula>
    </cfRule>
  </conditionalFormatting>
  <conditionalFormatting sqref="B64">
    <cfRule type="expression" dxfId="1142" priority="925">
      <formula>IF($V64&lt;&gt;0,AND(MID($A64,5,1)=" "))</formula>
    </cfRule>
    <cfRule type="expression" dxfId="1141" priority="926">
      <formula>IF($V64&lt;&gt;0,AND(MID($A64,5,1)="C"))</formula>
    </cfRule>
    <cfRule type="expression" dxfId="1140" priority="927">
      <formula>IF($V64&lt;&gt;0,AND(MID($A64,5,1)="D"))</formula>
    </cfRule>
  </conditionalFormatting>
  <conditionalFormatting sqref="F64">
    <cfRule type="expression" dxfId="1139" priority="922">
      <formula>IF($V64&lt;&gt;0,AND(MID($A64,5,1)=" "))</formula>
    </cfRule>
    <cfRule type="expression" dxfId="1138" priority="923">
      <formula>IF($V64&lt;&gt;0,AND(MID($A64,5,1)="C"))</formula>
    </cfRule>
    <cfRule type="expression" dxfId="1137" priority="924">
      <formula>IF($V64&lt;&gt;0,AND(MID($A64,5,1)="D"))</formula>
    </cfRule>
  </conditionalFormatting>
  <conditionalFormatting sqref="E64">
    <cfRule type="expression" dxfId="1136" priority="919">
      <formula>IF($V64&lt;&gt;0,AND(MID($A64,5,1)=" "))</formula>
    </cfRule>
    <cfRule type="expression" dxfId="1135" priority="920">
      <formula>IF($V64&lt;&gt;0,AND(MID($A64,5,1)="C"))</formula>
    </cfRule>
    <cfRule type="expression" dxfId="1134" priority="921">
      <formula>IF($V64&lt;&gt;0,AND(MID($A64,5,1)="D"))</formula>
    </cfRule>
  </conditionalFormatting>
  <conditionalFormatting sqref="B65">
    <cfRule type="expression" dxfId="1133" priority="916">
      <formula>IF($V65&lt;&gt;0,AND(MID($A65,5,1)=" "))</formula>
    </cfRule>
    <cfRule type="expression" dxfId="1132" priority="917">
      <formula>IF($V65&lt;&gt;0,AND(MID($A65,5,1)="C"))</formula>
    </cfRule>
    <cfRule type="expression" dxfId="1131" priority="918">
      <formula>IF($V65&lt;&gt;0,AND(MID($A65,5,1)="D"))</formula>
    </cfRule>
  </conditionalFormatting>
  <conditionalFormatting sqref="F65">
    <cfRule type="expression" dxfId="1130" priority="913">
      <formula>IF($V65&lt;&gt;0,AND(MID($A65,5,1)=" "))</formula>
    </cfRule>
    <cfRule type="expression" dxfId="1129" priority="914">
      <formula>IF($V65&lt;&gt;0,AND(MID($A65,5,1)="C"))</formula>
    </cfRule>
    <cfRule type="expression" dxfId="1128" priority="915">
      <formula>IF($V65&lt;&gt;0,AND(MID($A65,5,1)="D"))</formula>
    </cfRule>
  </conditionalFormatting>
  <conditionalFormatting sqref="E65">
    <cfRule type="expression" dxfId="1127" priority="910">
      <formula>IF($V65&lt;&gt;0,AND(MID($A65,5,1)=" "))</formula>
    </cfRule>
    <cfRule type="expression" dxfId="1126" priority="911">
      <formula>IF($V65&lt;&gt;0,AND(MID($A65,5,1)="C"))</formula>
    </cfRule>
    <cfRule type="expression" dxfId="1125" priority="912">
      <formula>IF($V65&lt;&gt;0,AND(MID($A65,5,1)="D"))</formula>
    </cfRule>
  </conditionalFormatting>
  <conditionalFormatting sqref="C64">
    <cfRule type="cellIs" dxfId="1124" priority="903" operator="lessThan">
      <formula>D64</formula>
    </cfRule>
    <cfRule type="expression" dxfId="1123" priority="907">
      <formula>IF($V64&lt;&gt;0,AND(MID($A64,5,1)=" "))</formula>
    </cfRule>
    <cfRule type="expression" dxfId="1122" priority="908">
      <formula>IF($V64&lt;&gt;0,AND(MID($A64,5,1)="C"))</formula>
    </cfRule>
    <cfRule type="expression" dxfId="1121" priority="909">
      <formula>IF($V64&lt;&gt;0,AND(MID($A64,5,1)="D"))</formula>
    </cfRule>
  </conditionalFormatting>
  <conditionalFormatting sqref="D64">
    <cfRule type="cellIs" dxfId="1120" priority="902" operator="lessThan">
      <formula>C64</formula>
    </cfRule>
    <cfRule type="expression" dxfId="1119" priority="904">
      <formula>IF($V64&lt;&gt;0,AND(MID($A64,5,1)=" "))</formula>
    </cfRule>
    <cfRule type="expression" dxfId="1118" priority="905">
      <formula>IF($V64&lt;&gt;0,AND(MID($A64,5,1)="C"))</formula>
    </cfRule>
    <cfRule type="expression" dxfId="1117" priority="906">
      <formula>IF($V64&lt;&gt;0,AND(MID($A64,5,1)="D"))</formula>
    </cfRule>
  </conditionalFormatting>
  <conditionalFormatting sqref="C65">
    <cfRule type="cellIs" dxfId="1116" priority="895" operator="lessThan">
      <formula>D65</formula>
    </cfRule>
    <cfRule type="expression" dxfId="1115" priority="899">
      <formula>IF($V65&lt;&gt;0,AND(MID($A65,5,1)=" "))</formula>
    </cfRule>
    <cfRule type="expression" dxfId="1114" priority="900">
      <formula>IF($V65&lt;&gt;0,AND(MID($A65,5,1)="C"))</formula>
    </cfRule>
    <cfRule type="expression" dxfId="1113" priority="901">
      <formula>IF($V65&lt;&gt;0,AND(MID($A65,5,1)="D"))</formula>
    </cfRule>
  </conditionalFormatting>
  <conditionalFormatting sqref="D65">
    <cfRule type="cellIs" dxfId="1112" priority="894" operator="lessThan">
      <formula>C65</formula>
    </cfRule>
    <cfRule type="expression" dxfId="1111" priority="896">
      <formula>IF($V65&lt;&gt;0,AND(MID($A65,5,1)=" "))</formula>
    </cfRule>
    <cfRule type="expression" dxfId="1110" priority="897">
      <formula>IF($V65&lt;&gt;0,AND(MID($A65,5,1)="C"))</formula>
    </cfRule>
    <cfRule type="expression" dxfId="1109" priority="898">
      <formula>IF($V65&lt;&gt;0,AND(MID($A65,5,1)="D"))</formula>
    </cfRule>
  </conditionalFormatting>
  <conditionalFormatting sqref="Y72 Y74">
    <cfRule type="cellIs" dxfId="1108" priority="756" operator="lessThanOrEqual">
      <formula>0</formula>
    </cfRule>
  </conditionalFormatting>
  <conditionalFormatting sqref="Y73">
    <cfRule type="cellIs" dxfId="1107" priority="755" operator="equal">
      <formula>0</formula>
    </cfRule>
  </conditionalFormatting>
  <conditionalFormatting sqref="Y75">
    <cfRule type="cellIs" dxfId="1106" priority="754" operator="equal">
      <formula>0</formula>
    </cfRule>
  </conditionalFormatting>
  <conditionalFormatting sqref="Y70">
    <cfRule type="cellIs" dxfId="1105" priority="751" operator="lessThanOrEqual">
      <formula>0</formula>
    </cfRule>
    <cfRule type="expression" dxfId="1104" priority="752">
      <formula>(C71)-(D70)&lt;(C71/100)*(1+$AD$1*$AE$1)</formula>
    </cfRule>
  </conditionalFormatting>
  <conditionalFormatting sqref="Y71">
    <cfRule type="cellIs" dxfId="1103" priority="753" operator="equal">
      <formula>0</formula>
    </cfRule>
  </conditionalFormatting>
  <conditionalFormatting sqref="Y78 Y80">
    <cfRule type="cellIs" dxfId="1102" priority="750" operator="lessThanOrEqual">
      <formula>0</formula>
    </cfRule>
  </conditionalFormatting>
  <conditionalFormatting sqref="Y79">
    <cfRule type="cellIs" dxfId="1101" priority="749" operator="equal">
      <formula>0</formula>
    </cfRule>
  </conditionalFormatting>
  <conditionalFormatting sqref="Y81">
    <cfRule type="cellIs" dxfId="1100" priority="748" operator="equal">
      <formula>0</formula>
    </cfRule>
  </conditionalFormatting>
  <conditionalFormatting sqref="Y76">
    <cfRule type="cellIs" dxfId="1099" priority="745" operator="lessThanOrEqual">
      <formula>0</formula>
    </cfRule>
    <cfRule type="expression" dxfId="1098" priority="746">
      <formula>(C77)-(D76)&lt;(C77/100)*(1+$AD$1*$AE$1)</formula>
    </cfRule>
  </conditionalFormatting>
  <conditionalFormatting sqref="Y77">
    <cfRule type="cellIs" dxfId="1097" priority="747" operator="equal">
      <formula>0</formula>
    </cfRule>
  </conditionalFormatting>
  <conditionalFormatting sqref="Y84 Y86">
    <cfRule type="cellIs" dxfId="1096" priority="744" operator="lessThanOrEqual">
      <formula>0</formula>
    </cfRule>
  </conditionalFormatting>
  <conditionalFormatting sqref="Y85">
    <cfRule type="cellIs" dxfId="1095" priority="743" operator="equal">
      <formula>0</formula>
    </cfRule>
  </conditionalFormatting>
  <conditionalFormatting sqref="Y87">
    <cfRule type="cellIs" dxfId="1094" priority="742" operator="equal">
      <formula>0</formula>
    </cfRule>
  </conditionalFormatting>
  <conditionalFormatting sqref="Y82">
    <cfRule type="cellIs" dxfId="1093" priority="739" operator="lessThanOrEqual">
      <formula>0</formula>
    </cfRule>
    <cfRule type="expression" dxfId="1092" priority="740">
      <formula>(C83)-(D82)&lt;(C83/100)*(1+$AD$1*$AE$1)</formula>
    </cfRule>
  </conditionalFormatting>
  <conditionalFormatting sqref="Y83">
    <cfRule type="cellIs" dxfId="1091" priority="741" operator="equal">
      <formula>0</formula>
    </cfRule>
  </conditionalFormatting>
  <conditionalFormatting sqref="Y90 Y92">
    <cfRule type="cellIs" dxfId="1090" priority="738" operator="lessThanOrEqual">
      <formula>0</formula>
    </cfRule>
  </conditionalFormatting>
  <conditionalFormatting sqref="Y91">
    <cfRule type="cellIs" dxfId="1089" priority="737" operator="equal">
      <formula>0</formula>
    </cfRule>
  </conditionalFormatting>
  <conditionalFormatting sqref="Y93">
    <cfRule type="cellIs" dxfId="1088" priority="736" operator="equal">
      <formula>0</formula>
    </cfRule>
  </conditionalFormatting>
  <conditionalFormatting sqref="Y88">
    <cfRule type="cellIs" dxfId="1087" priority="733" operator="lessThanOrEqual">
      <formula>0</formula>
    </cfRule>
    <cfRule type="expression" dxfId="1086" priority="734">
      <formula>(C89)-(D88)&lt;(C89/100)*(1+$AD$1*$AE$1)</formula>
    </cfRule>
  </conditionalFormatting>
  <conditionalFormatting sqref="Y89">
    <cfRule type="cellIs" dxfId="1085" priority="735" operator="equal">
      <formula>0</formula>
    </cfRule>
  </conditionalFormatting>
  <conditionalFormatting sqref="Y96 Y98">
    <cfRule type="cellIs" dxfId="1084" priority="732" operator="lessThanOrEqual">
      <formula>0</formula>
    </cfRule>
  </conditionalFormatting>
  <conditionalFormatting sqref="Y97">
    <cfRule type="cellIs" dxfId="1083" priority="731" operator="equal">
      <formula>0</formula>
    </cfRule>
  </conditionalFormatting>
  <conditionalFormatting sqref="Y99">
    <cfRule type="cellIs" dxfId="1082" priority="730" operator="equal">
      <formula>0</formula>
    </cfRule>
  </conditionalFormatting>
  <conditionalFormatting sqref="Y94">
    <cfRule type="cellIs" dxfId="1081" priority="727" operator="lessThanOrEqual">
      <formula>0</formula>
    </cfRule>
    <cfRule type="expression" dxfId="1080" priority="728">
      <formula>(C95)-(D94)&lt;(C95/100)*(1+$AD$1*$AE$1)</formula>
    </cfRule>
  </conditionalFormatting>
  <conditionalFormatting sqref="Y95">
    <cfRule type="cellIs" dxfId="1079" priority="729" operator="equal">
      <formula>0</formula>
    </cfRule>
  </conditionalFormatting>
  <conditionalFormatting sqref="Y102 Y104">
    <cfRule type="cellIs" dxfId="1078" priority="726" operator="lessThanOrEqual">
      <formula>0</formula>
    </cfRule>
  </conditionalFormatting>
  <conditionalFormatting sqref="Y103">
    <cfRule type="cellIs" dxfId="1077" priority="725" operator="equal">
      <formula>0</formula>
    </cfRule>
  </conditionalFormatting>
  <conditionalFormatting sqref="Y105">
    <cfRule type="cellIs" dxfId="1076" priority="724" operator="equal">
      <formula>0</formula>
    </cfRule>
  </conditionalFormatting>
  <conditionalFormatting sqref="Y100">
    <cfRule type="cellIs" dxfId="1075" priority="721" operator="lessThanOrEqual">
      <formula>0</formula>
    </cfRule>
    <cfRule type="expression" dxfId="1074" priority="722">
      <formula>(C101)-(D100)&lt;(C101/100)*(1+$AD$1*$AE$1)</formula>
    </cfRule>
  </conditionalFormatting>
  <conditionalFormatting sqref="Y101">
    <cfRule type="cellIs" dxfId="1073" priority="723" operator="equal">
      <formula>0</formula>
    </cfRule>
  </conditionalFormatting>
  <conditionalFormatting sqref="Y108 Y110">
    <cfRule type="cellIs" dxfId="1072" priority="720" operator="lessThanOrEqual">
      <formula>0</formula>
    </cfRule>
  </conditionalFormatting>
  <conditionalFormatting sqref="Y109">
    <cfRule type="cellIs" dxfId="1071" priority="719" operator="equal">
      <formula>0</formula>
    </cfRule>
  </conditionalFormatting>
  <conditionalFormatting sqref="Y111">
    <cfRule type="cellIs" dxfId="1070" priority="718" operator="equal">
      <formula>0</formula>
    </cfRule>
  </conditionalFormatting>
  <conditionalFormatting sqref="Y106">
    <cfRule type="cellIs" dxfId="1069" priority="715" operator="lessThanOrEqual">
      <formula>0</formula>
    </cfRule>
    <cfRule type="expression" dxfId="1068" priority="716">
      <formula>(C107)-(D106)&lt;(C107/100)*(1+$AD$1*$AE$1)</formula>
    </cfRule>
  </conditionalFormatting>
  <conditionalFormatting sqref="Y107">
    <cfRule type="cellIs" dxfId="1067" priority="717" operator="equal">
      <formula>0</formula>
    </cfRule>
  </conditionalFormatting>
  <conditionalFormatting sqref="Y114 Y116">
    <cfRule type="cellIs" dxfId="1066" priority="714" operator="lessThanOrEqual">
      <formula>0</formula>
    </cfRule>
  </conditionalFormatting>
  <conditionalFormatting sqref="Y115">
    <cfRule type="cellIs" dxfId="1065" priority="713" operator="equal">
      <formula>0</formula>
    </cfRule>
  </conditionalFormatting>
  <conditionalFormatting sqref="Y117">
    <cfRule type="cellIs" dxfId="1064" priority="712" operator="equal">
      <formula>0</formula>
    </cfRule>
  </conditionalFormatting>
  <conditionalFormatting sqref="Y112">
    <cfRule type="cellIs" dxfId="1063" priority="709" operator="lessThanOrEqual">
      <formula>0</formula>
    </cfRule>
    <cfRule type="expression" dxfId="1062" priority="710">
      <formula>(C113)-(D112)&lt;(C113/100)*(1+$AD$1*$AE$1)</formula>
    </cfRule>
  </conditionalFormatting>
  <conditionalFormatting sqref="Y113">
    <cfRule type="cellIs" dxfId="1061" priority="711" operator="equal">
      <formula>0</formula>
    </cfRule>
  </conditionalFormatting>
  <conditionalFormatting sqref="Y120 Y122">
    <cfRule type="cellIs" dxfId="1060" priority="708" operator="lessThanOrEqual">
      <formula>0</formula>
    </cfRule>
  </conditionalFormatting>
  <conditionalFormatting sqref="Y121">
    <cfRule type="cellIs" dxfId="1059" priority="707" operator="equal">
      <formula>0</formula>
    </cfRule>
  </conditionalFormatting>
  <conditionalFormatting sqref="Y123">
    <cfRule type="cellIs" dxfId="1058" priority="706" operator="equal">
      <formula>0</formula>
    </cfRule>
  </conditionalFormatting>
  <conditionalFormatting sqref="Y118">
    <cfRule type="cellIs" dxfId="1057" priority="703" operator="lessThanOrEqual">
      <formula>0</formula>
    </cfRule>
    <cfRule type="expression" dxfId="1056" priority="704">
      <formula>(C119)-(D118)&lt;(C119/100)*(1+$AD$1*$AE$1)</formula>
    </cfRule>
  </conditionalFormatting>
  <conditionalFormatting sqref="Y119">
    <cfRule type="cellIs" dxfId="1055" priority="705" operator="equal">
      <formula>0</formula>
    </cfRule>
  </conditionalFormatting>
  <conditionalFormatting sqref="Y126 Y128">
    <cfRule type="cellIs" dxfId="1054" priority="702" operator="lessThanOrEqual">
      <formula>0</formula>
    </cfRule>
  </conditionalFormatting>
  <conditionalFormatting sqref="Y127">
    <cfRule type="cellIs" dxfId="1053" priority="701" operator="equal">
      <formula>0</formula>
    </cfRule>
  </conditionalFormatting>
  <conditionalFormatting sqref="Y129">
    <cfRule type="cellIs" dxfId="1052" priority="700" operator="equal">
      <formula>0</formula>
    </cfRule>
  </conditionalFormatting>
  <conditionalFormatting sqref="Y124">
    <cfRule type="cellIs" dxfId="1051" priority="697" operator="lessThanOrEqual">
      <formula>0</formula>
    </cfRule>
    <cfRule type="expression" dxfId="1050" priority="698">
      <formula>(C125)-(D124)&lt;(C125/100)*(1+$AD$1*$AE$1)</formula>
    </cfRule>
  </conditionalFormatting>
  <conditionalFormatting sqref="Y125">
    <cfRule type="cellIs" dxfId="1049" priority="699" operator="equal">
      <formula>0</formula>
    </cfRule>
  </conditionalFormatting>
  <conditionalFormatting sqref="Y132 Y134">
    <cfRule type="cellIs" dxfId="1048" priority="696" operator="lessThanOrEqual">
      <formula>0</formula>
    </cfRule>
  </conditionalFormatting>
  <conditionalFormatting sqref="Y133">
    <cfRule type="cellIs" dxfId="1047" priority="695" operator="equal">
      <formula>0</formula>
    </cfRule>
  </conditionalFormatting>
  <conditionalFormatting sqref="Y135">
    <cfRule type="cellIs" dxfId="1046" priority="694" operator="equal">
      <formula>0</formula>
    </cfRule>
  </conditionalFormatting>
  <conditionalFormatting sqref="Y130">
    <cfRule type="cellIs" dxfId="1045" priority="691" operator="lessThanOrEqual">
      <formula>0</formula>
    </cfRule>
    <cfRule type="expression" dxfId="1044" priority="692">
      <formula>(C131)-(D130)&lt;(C131/100)*(1+$AD$1*$AE$1)</formula>
    </cfRule>
  </conditionalFormatting>
  <conditionalFormatting sqref="Y131">
    <cfRule type="cellIs" dxfId="1043" priority="693" operator="equal">
      <formula>0</formula>
    </cfRule>
  </conditionalFormatting>
  <conditionalFormatting sqref="Y138 Y140">
    <cfRule type="cellIs" dxfId="1042" priority="690" operator="lessThanOrEqual">
      <formula>0</formula>
    </cfRule>
  </conditionalFormatting>
  <conditionalFormatting sqref="Y139">
    <cfRule type="cellIs" dxfId="1041" priority="689" operator="equal">
      <formula>0</formula>
    </cfRule>
  </conditionalFormatting>
  <conditionalFormatting sqref="Y141">
    <cfRule type="cellIs" dxfId="1040" priority="688" operator="equal">
      <formula>0</formula>
    </cfRule>
  </conditionalFormatting>
  <conditionalFormatting sqref="Y136">
    <cfRule type="cellIs" dxfId="1039" priority="685" operator="lessThanOrEqual">
      <formula>0</formula>
    </cfRule>
    <cfRule type="expression" dxfId="1038" priority="686">
      <formula>(C137)-(D136)&lt;(C137/100)*(1+$AD$1*$AE$1)</formula>
    </cfRule>
  </conditionalFormatting>
  <conditionalFormatting sqref="Y137">
    <cfRule type="cellIs" dxfId="1037" priority="687" operator="equal">
      <formula>0</formula>
    </cfRule>
  </conditionalFormatting>
  <conditionalFormatting sqref="Y144 Y146">
    <cfRule type="cellIs" dxfId="1036" priority="684" operator="lessThanOrEqual">
      <formula>0</formula>
    </cfRule>
  </conditionalFormatting>
  <conditionalFormatting sqref="Y145">
    <cfRule type="cellIs" dxfId="1035" priority="683" operator="equal">
      <formula>0</formula>
    </cfRule>
  </conditionalFormatting>
  <conditionalFormatting sqref="Y147">
    <cfRule type="cellIs" dxfId="1034" priority="682" operator="equal">
      <formula>0</formula>
    </cfRule>
  </conditionalFormatting>
  <conditionalFormatting sqref="Y142">
    <cfRule type="cellIs" dxfId="1033" priority="679" operator="lessThanOrEqual">
      <formula>0</formula>
    </cfRule>
    <cfRule type="expression" dxfId="1032" priority="680">
      <formula>(C143)-(D142)&lt;(C143/100)*(1+$AD$1*$AE$1)</formula>
    </cfRule>
  </conditionalFormatting>
  <conditionalFormatting sqref="Y143">
    <cfRule type="cellIs" dxfId="1031" priority="681" operator="equal">
      <formula>0</formula>
    </cfRule>
  </conditionalFormatting>
  <conditionalFormatting sqref="Y150 Y152">
    <cfRule type="cellIs" dxfId="1030" priority="678" operator="lessThanOrEqual">
      <formula>0</formula>
    </cfRule>
  </conditionalFormatting>
  <conditionalFormatting sqref="Y151">
    <cfRule type="cellIs" dxfId="1029" priority="677" operator="equal">
      <formula>0</formula>
    </cfRule>
  </conditionalFormatting>
  <conditionalFormatting sqref="Y153">
    <cfRule type="cellIs" dxfId="1028" priority="676" operator="equal">
      <formula>0</formula>
    </cfRule>
  </conditionalFormatting>
  <conditionalFormatting sqref="Y148">
    <cfRule type="cellIs" dxfId="1027" priority="673" operator="lessThanOrEqual">
      <formula>0</formula>
    </cfRule>
    <cfRule type="expression" dxfId="1026" priority="674">
      <formula>(C149)-(D148)&lt;(C149/100)*(1+$AD$1*$AE$1)</formula>
    </cfRule>
  </conditionalFormatting>
  <conditionalFormatting sqref="Y149">
    <cfRule type="cellIs" dxfId="1025" priority="675" operator="equal">
      <formula>0</formula>
    </cfRule>
  </conditionalFormatting>
  <conditionalFormatting sqref="Y156 Y158">
    <cfRule type="cellIs" dxfId="1024" priority="672" operator="lessThanOrEqual">
      <formula>0</formula>
    </cfRule>
  </conditionalFormatting>
  <conditionalFormatting sqref="Y157">
    <cfRule type="cellIs" dxfId="1023" priority="671" operator="equal">
      <formula>0</formula>
    </cfRule>
  </conditionalFormatting>
  <conditionalFormatting sqref="Y159">
    <cfRule type="cellIs" dxfId="1022" priority="670" operator="equal">
      <formula>0</formula>
    </cfRule>
  </conditionalFormatting>
  <conditionalFormatting sqref="Y154">
    <cfRule type="cellIs" dxfId="1021" priority="667" operator="lessThanOrEqual">
      <formula>0</formula>
    </cfRule>
    <cfRule type="expression" dxfId="1020" priority="668">
      <formula>(C155)-(D154)&lt;(C155/100)*(1+$AD$1*$AE$1)</formula>
    </cfRule>
  </conditionalFormatting>
  <conditionalFormatting sqref="Y155">
    <cfRule type="cellIs" dxfId="1019" priority="669" operator="equal">
      <formula>0</formula>
    </cfRule>
  </conditionalFormatting>
  <conditionalFormatting sqref="Y162 Y164">
    <cfRule type="cellIs" dxfId="1018" priority="666" operator="lessThanOrEqual">
      <formula>0</formula>
    </cfRule>
  </conditionalFormatting>
  <conditionalFormatting sqref="Y163">
    <cfRule type="cellIs" dxfId="1017" priority="665" operator="equal">
      <formula>0</formula>
    </cfRule>
  </conditionalFormatting>
  <conditionalFormatting sqref="Y165">
    <cfRule type="cellIs" dxfId="1016" priority="664" operator="equal">
      <formula>0</formula>
    </cfRule>
  </conditionalFormatting>
  <conditionalFormatting sqref="Y160">
    <cfRule type="cellIs" dxfId="1015" priority="661" operator="lessThanOrEqual">
      <formula>0</formula>
    </cfRule>
    <cfRule type="expression" dxfId="1014" priority="662">
      <formula>(C161)-(D160)&lt;(C161/100)*(1+$AD$1*$AE$1)</formula>
    </cfRule>
  </conditionalFormatting>
  <conditionalFormatting sqref="Y161">
    <cfRule type="cellIs" dxfId="1013" priority="663" operator="equal">
      <formula>0</formula>
    </cfRule>
  </conditionalFormatting>
  <conditionalFormatting sqref="Y168 Y170 Y174 Y180 Y186 Y192 Y198 Y176 Y182 Y188 Y194 Y200">
    <cfRule type="cellIs" dxfId="1012" priority="660" operator="lessThanOrEqual">
      <formula>0</formula>
    </cfRule>
  </conditionalFormatting>
  <conditionalFormatting sqref="Y169 Y175 Y181 Y187 Y193 Y199">
    <cfRule type="cellIs" dxfId="1011" priority="659" operator="equal">
      <formula>0</formula>
    </cfRule>
  </conditionalFormatting>
  <conditionalFormatting sqref="Y171 Y177 Y183 Y189 Y195 Y201">
    <cfRule type="cellIs" dxfId="1010" priority="658" operator="equal">
      <formula>0</formula>
    </cfRule>
  </conditionalFormatting>
  <conditionalFormatting sqref="Y166 Y172 Y178 Y184 Y190 Y196">
    <cfRule type="cellIs" dxfId="1009" priority="655" operator="lessThanOrEqual">
      <formula>0</formula>
    </cfRule>
    <cfRule type="expression" dxfId="1008" priority="656">
      <formula>(C167)-(D166)&lt;(C167/100)*(1+$AD$1*$AE$1)</formula>
    </cfRule>
  </conditionalFormatting>
  <conditionalFormatting sqref="Y167 Y173 Y179 Y185 Y191 Y197">
    <cfRule type="cellIs" dxfId="1007" priority="657" operator="equal">
      <formula>0</formula>
    </cfRule>
  </conditionalFormatting>
  <conditionalFormatting sqref="V44">
    <cfRule type="cellIs" dxfId="1006" priority="653" operator="lessThan">
      <formula>0</formula>
    </cfRule>
    <cfRule type="cellIs" dxfId="1005" priority="654" operator="equal">
      <formula>0</formula>
    </cfRule>
  </conditionalFormatting>
  <conditionalFormatting sqref="G44">
    <cfRule type="cellIs" dxfId="1004" priority="652" operator="lessThan">
      <formula>0</formula>
    </cfRule>
  </conditionalFormatting>
  <conditionalFormatting sqref="D44">
    <cfRule type="expression" dxfId="1003" priority="651">
      <formula>E44&gt;B44</formula>
    </cfRule>
  </conditionalFormatting>
  <conditionalFormatting sqref="C44">
    <cfRule type="expression" dxfId="1002" priority="650">
      <formula>B44&gt;E44</formula>
    </cfRule>
  </conditionalFormatting>
  <conditionalFormatting sqref="B44">
    <cfRule type="cellIs" dxfId="1001" priority="649" operator="greaterThan">
      <formula>E44</formula>
    </cfRule>
  </conditionalFormatting>
  <conditionalFormatting sqref="E44">
    <cfRule type="cellIs" dxfId="1000" priority="648" operator="greaterThan">
      <formula>B44</formula>
    </cfRule>
  </conditionalFormatting>
  <conditionalFormatting sqref="Y44:Z44">
    <cfRule type="cellIs" dxfId="999" priority="644" operator="equal">
      <formula>0</formula>
    </cfRule>
    <cfRule type="expression" dxfId="998" priority="645">
      <formula>G44*100&lt;Y44</formula>
    </cfRule>
    <cfRule type="expression" dxfId="997" priority="646">
      <formula>Y44&lt;G44*100</formula>
    </cfRule>
  </conditionalFormatting>
  <conditionalFormatting sqref="W44">
    <cfRule type="cellIs" dxfId="996" priority="643" operator="equal">
      <formula>0</formula>
    </cfRule>
  </conditionalFormatting>
  <conditionalFormatting sqref="W44">
    <cfRule type="cellIs" dxfId="995" priority="641" operator="equal">
      <formula>"STOP"</formula>
    </cfRule>
    <cfRule type="cellIs" dxfId="994" priority="642" operator="equal">
      <formula>"TRAILING"</formula>
    </cfRule>
  </conditionalFormatting>
  <conditionalFormatting sqref="W44">
    <cfRule type="cellIs" dxfId="993" priority="639" operator="equal">
      <formula>"STOP"</formula>
    </cfRule>
    <cfRule type="cellIs" dxfId="992" priority="640" operator="equal">
      <formula>"TRAILING"</formula>
    </cfRule>
  </conditionalFormatting>
  <conditionalFormatting sqref="X44">
    <cfRule type="expression" dxfId="991" priority="637">
      <formula>X44*100&lt;C44</formula>
    </cfRule>
    <cfRule type="cellIs" dxfId="990" priority="638" operator="equal">
      <formula>0</formula>
    </cfRule>
  </conditionalFormatting>
  <conditionalFormatting sqref="A44">
    <cfRule type="expression" dxfId="989" priority="636">
      <formula>X44&lt;&gt;0</formula>
    </cfRule>
  </conditionalFormatting>
  <conditionalFormatting sqref="Y45:Z45 Y47:Z47 Y49:Z49 Y51:Z51 Y53:Z53 Y55:Z55 Y57:Z57 Y59:Z59">
    <cfRule type="cellIs" dxfId="988" priority="633" operator="equal">
      <formula>0</formula>
    </cfRule>
    <cfRule type="expression" dxfId="987" priority="634">
      <formula>G45*100&lt;Y45</formula>
    </cfRule>
    <cfRule type="expression" dxfId="986" priority="635">
      <formula>Y45&lt;G45*100</formula>
    </cfRule>
  </conditionalFormatting>
  <conditionalFormatting sqref="W45 W47 W49 W51 W53 W55 W57 W59">
    <cfRule type="cellIs" dxfId="985" priority="632" operator="equal">
      <formula>0</formula>
    </cfRule>
  </conditionalFormatting>
  <conditionalFormatting sqref="W45 W47 W49 W51 W53 W55 W57 W59">
    <cfRule type="cellIs" dxfId="984" priority="630" operator="equal">
      <formula>"STOP"</formula>
    </cfRule>
    <cfRule type="cellIs" dxfId="983" priority="631" operator="equal">
      <formula>"TRAILING"</formula>
    </cfRule>
  </conditionalFormatting>
  <conditionalFormatting sqref="W45 W47 W49 W51 W53 W55 W57 W59">
    <cfRule type="cellIs" dxfId="982" priority="628" operator="equal">
      <formula>"STOP"</formula>
    </cfRule>
    <cfRule type="cellIs" dxfId="981" priority="629" operator="equal">
      <formula>"TRAILING"</formula>
    </cfRule>
  </conditionalFormatting>
  <conditionalFormatting sqref="X45 X47 X49 X51 X53 X55 X57 X59">
    <cfRule type="expression" dxfId="980" priority="626">
      <formula>X45*100&lt;C45</formula>
    </cfRule>
    <cfRule type="cellIs" dxfId="979" priority="627" operator="equal">
      <formula>0</formula>
    </cfRule>
  </conditionalFormatting>
  <conditionalFormatting sqref="Y46:Z46 Y48:Z48 Y50:Z50 Y52:Z52 Y54:Z54 Y56:Z56 Y58:Z58">
    <cfRule type="cellIs" dxfId="978" priority="623" operator="equal">
      <formula>0</formula>
    </cfRule>
    <cfRule type="expression" dxfId="977" priority="624">
      <formula>G46*100&lt;Y46</formula>
    </cfRule>
    <cfRule type="expression" dxfId="976" priority="625">
      <formula>Y46&lt;G46*100</formula>
    </cfRule>
  </conditionalFormatting>
  <conditionalFormatting sqref="W46 W48 W50 W52 W54 W56 W58">
    <cfRule type="cellIs" dxfId="975" priority="622" operator="equal">
      <formula>0</formula>
    </cfRule>
  </conditionalFormatting>
  <conditionalFormatting sqref="W46 W48 W50 W52 W54 W56 W58">
    <cfRule type="cellIs" dxfId="974" priority="620" operator="equal">
      <formula>"STOP"</formula>
    </cfRule>
    <cfRule type="cellIs" dxfId="973" priority="621" operator="equal">
      <formula>"TRAILING"</formula>
    </cfRule>
  </conditionalFormatting>
  <conditionalFormatting sqref="W46 W48 W50 W52 W54 W56 W58">
    <cfRule type="cellIs" dxfId="972" priority="618" operator="equal">
      <formula>"STOP"</formula>
    </cfRule>
    <cfRule type="cellIs" dxfId="971" priority="619" operator="equal">
      <formula>"TRAILING"</formula>
    </cfRule>
  </conditionalFormatting>
  <conditionalFormatting sqref="X46 X48 X50 X52 X54 X56 X58">
    <cfRule type="expression" dxfId="970" priority="616">
      <formula>X46*100&lt;C46</formula>
    </cfRule>
    <cfRule type="cellIs" dxfId="969" priority="617" operator="equal">
      <formula>0</formula>
    </cfRule>
  </conditionalFormatting>
  <conditionalFormatting sqref="AA2">
    <cfRule type="expression" dxfId="968" priority="613">
      <formula>IF($Y5&gt;$Y2,AND(MID($A2,5,1)=" "))</formula>
    </cfRule>
    <cfRule type="expression" dxfId="967" priority="614">
      <formula>IF($Y5&gt;$Y2,AND(MID($A2,5,1)="C"))</formula>
    </cfRule>
    <cfRule type="expression" dxfId="966" priority="615">
      <formula>IF($Y5&gt;$Y2,AND(MID($A2,5,1)="D"))</formula>
    </cfRule>
  </conditionalFormatting>
  <conditionalFormatting sqref="AA4">
    <cfRule type="expression" dxfId="965" priority="568">
      <formula>IF($Y5&gt;$Y2,AND(MID($A4,5,1)=" "))</formula>
    </cfRule>
    <cfRule type="expression" dxfId="964" priority="569">
      <formula>IF($Y5&gt;$Y2,AND(MID($A4,5,1)="C"))</formula>
    </cfRule>
    <cfRule type="expression" dxfId="963" priority="570">
      <formula>IF($Y5&gt;$Y2,AND(MID($A4,5,1)="D"))</formula>
    </cfRule>
  </conditionalFormatting>
  <conditionalFormatting sqref="AA6">
    <cfRule type="expression" dxfId="962" priority="562">
      <formula>IF($Y9&gt;$Y6,AND(MID($A6,5,1)=" "))</formula>
    </cfRule>
    <cfRule type="expression" dxfId="961" priority="563">
      <formula>IF($Y9&gt;$Y6,AND(MID($A6,5,1)="C"))</formula>
    </cfRule>
    <cfRule type="expression" dxfId="960" priority="564">
      <formula>IF($Y9&gt;$Y6,AND(MID($A6,5,1)="D"))</formula>
    </cfRule>
  </conditionalFormatting>
  <conditionalFormatting sqref="AA8">
    <cfRule type="expression" dxfId="959" priority="559">
      <formula>IF($Y9&gt;$Y6,AND(MID($A8,5,1)=" "))</formula>
    </cfRule>
    <cfRule type="expression" dxfId="958" priority="560">
      <formula>IF($Y9&gt;$Y6,AND(MID($A8,5,1)="C"))</formula>
    </cfRule>
    <cfRule type="expression" dxfId="957" priority="561">
      <formula>IF($Y9&gt;$Y6,AND(MID($A8,5,1)="D"))</formula>
    </cfRule>
  </conditionalFormatting>
  <conditionalFormatting sqref="AA10">
    <cfRule type="expression" dxfId="956" priority="556">
      <formula>IF($Y13&gt;$Y10,AND(MID($A10,5,1)=" "))</formula>
    </cfRule>
    <cfRule type="expression" dxfId="955" priority="557">
      <formula>IF($Y13&gt;$Y10,AND(MID($A10,5,1)="C"))</formula>
    </cfRule>
    <cfRule type="expression" dxfId="954" priority="558">
      <formula>IF($Y13&gt;$Y10,AND(MID($A10,5,1)="D"))</formula>
    </cfRule>
  </conditionalFormatting>
  <conditionalFormatting sqref="AA12">
    <cfRule type="expression" dxfId="953" priority="553">
      <formula>IF($Y13&gt;$Y10,AND(MID($A12,5,1)=" "))</formula>
    </cfRule>
    <cfRule type="expression" dxfId="952" priority="554">
      <formula>IF($Y13&gt;$Y10,AND(MID($A12,5,1)="C"))</formula>
    </cfRule>
    <cfRule type="expression" dxfId="951" priority="555">
      <formula>IF($Y13&gt;$Y10,AND(MID($A12,5,1)="D"))</formula>
    </cfRule>
  </conditionalFormatting>
  <conditionalFormatting sqref="AA14">
    <cfRule type="expression" dxfId="950" priority="550">
      <formula>IF($Y17&gt;$Y14,AND(MID($A14,5,1)=" "))</formula>
    </cfRule>
    <cfRule type="expression" dxfId="949" priority="551">
      <formula>IF($Y17&gt;$Y14,AND(MID($A14,5,1)="C"))</formula>
    </cfRule>
    <cfRule type="expression" dxfId="948" priority="552">
      <formula>IF($Y17&gt;$Y14,AND(MID($A14,5,1)="D"))</formula>
    </cfRule>
  </conditionalFormatting>
  <conditionalFormatting sqref="AA16">
    <cfRule type="expression" dxfId="947" priority="547">
      <formula>IF($Y17&gt;$Y14,AND(MID($A16,5,1)=" "))</formula>
    </cfRule>
    <cfRule type="expression" dxfId="946" priority="548">
      <formula>IF($Y17&gt;$Y14,AND(MID($A16,5,1)="C"))</formula>
    </cfRule>
    <cfRule type="expression" dxfId="945" priority="549">
      <formula>IF($Y17&gt;$Y14,AND(MID($A16,5,1)="D"))</formula>
    </cfRule>
  </conditionalFormatting>
  <conditionalFormatting sqref="AA18 AA22">
    <cfRule type="expression" dxfId="944" priority="544">
      <formula>IF($Y21&gt;$Y18,AND(MID($A18,5,1)=" "))</formula>
    </cfRule>
    <cfRule type="expression" dxfId="943" priority="545">
      <formula>IF($Y21&gt;$Y18,AND(MID($A18,5,1)="C"))</formula>
    </cfRule>
    <cfRule type="expression" dxfId="942" priority="546">
      <formula>IF($Y21&gt;$Y18,AND(MID($A18,5,1)="D"))</formula>
    </cfRule>
  </conditionalFormatting>
  <conditionalFormatting sqref="AA20 AA24">
    <cfRule type="expression" dxfId="941" priority="541">
      <formula>IF($Y21&gt;$Y18,AND(MID($A20,5,1)=" "))</formula>
    </cfRule>
    <cfRule type="expression" dxfId="940" priority="542">
      <formula>IF($Y21&gt;$Y18,AND(MID($A20,5,1)="C"))</formula>
    </cfRule>
    <cfRule type="expression" dxfId="939" priority="543">
      <formula>IF($Y21&gt;$Y18,AND(MID($A20,5,1)="D"))</formula>
    </cfRule>
  </conditionalFormatting>
  <conditionalFormatting sqref="Y21 Y25">
    <cfRule type="expression" dxfId="938" priority="523">
      <formula>IF($Y22&gt;$Y19,AND(MID($A21,5,1)=" "))</formula>
    </cfRule>
    <cfRule type="expression" dxfId="937" priority="524">
      <formula>IF($Y22&gt;$Y19,AND(MID($A21,5,1)="C"))</formula>
    </cfRule>
    <cfRule type="expression" dxfId="936" priority="525">
      <formula>IF($Y22&gt;$Y19,AND(MID($A21,5,1)="D"))</formula>
    </cfRule>
  </conditionalFormatting>
  <conditionalFormatting sqref="Y13">
    <cfRule type="expression" dxfId="935" priority="517">
      <formula>IF($Y13&gt;$Y10,AND(MID($A13,5,1)=" "))</formula>
    </cfRule>
    <cfRule type="expression" dxfId="934" priority="518">
      <formula>IF($Y13&gt;$Y10,AND(MID($A13,5,1)="C"))</formula>
    </cfRule>
    <cfRule type="expression" dxfId="933" priority="519">
      <formula>IF($Y13&gt;$Y10,AND(MID($A13,5,1)="D"))</formula>
    </cfRule>
    <cfRule type="cellIs" dxfId="932" priority="4" operator="equal">
      <formula>0</formula>
    </cfRule>
  </conditionalFormatting>
  <conditionalFormatting sqref="Y9">
    <cfRule type="expression" dxfId="931" priority="514">
      <formula>IF($Y9&gt;$Y6,AND(MID($A9,5,1)=" "))</formula>
    </cfRule>
    <cfRule type="expression" dxfId="930" priority="515">
      <formula>IF($Y9&gt;$Y6,AND(MID($A9,5,1)="C"))</formula>
    </cfRule>
    <cfRule type="expression" dxfId="929" priority="516">
      <formula>IF($Y9&gt;$Y6,AND(MID($A9,5,1)="D"))</formula>
    </cfRule>
    <cfRule type="cellIs" dxfId="928" priority="5" operator="equal">
      <formula>0</formula>
    </cfRule>
  </conditionalFormatting>
  <conditionalFormatting sqref="Y5">
    <cfRule type="expression" dxfId="927" priority="511">
      <formula>IF($Y6&gt;$Y3,AND(MID($A5,5,1)=" "))</formula>
    </cfRule>
    <cfRule type="expression" dxfId="926" priority="512">
      <formula>IF($Y6&gt;$Y3,AND(MID($A5,5,1)="C"))</formula>
    </cfRule>
    <cfRule type="expression" dxfId="925" priority="513">
      <formula>IF($Y6&gt;$Y3,AND(MID($A5,5,1)="D"))</formula>
    </cfRule>
    <cfRule type="cellIs" dxfId="924" priority="6" operator="equal">
      <formula>0</formula>
    </cfRule>
  </conditionalFormatting>
  <conditionalFormatting sqref="A64">
    <cfRule type="expression" dxfId="923" priority="508">
      <formula>IF($V64&lt;&gt;0,AND(MID($A64,5,1)=" "))</formula>
    </cfRule>
    <cfRule type="expression" dxfId="922" priority="509">
      <formula>IF($V64&lt;&gt;0,AND(MID($A64,5,1)="C"))</formula>
    </cfRule>
    <cfRule type="expression" dxfId="921" priority="510">
      <formula>IF($V64&lt;&gt;0,AND(MID($A64,5,1)="D"))</formula>
    </cfRule>
  </conditionalFormatting>
  <conditionalFormatting sqref="A65">
    <cfRule type="expression" dxfId="920" priority="505">
      <formula>IF($V65&lt;&gt;0,AND(MID($A65,5,1)=" "))</formula>
    </cfRule>
    <cfRule type="expression" dxfId="919" priority="506">
      <formula>IF($V65&lt;&gt;0,AND(MID($A65,5,1)="C"))</formula>
    </cfRule>
    <cfRule type="expression" dxfId="918" priority="507">
      <formula>IF($V65&lt;&gt;0,AND(MID($A65,5,1)="D"))</formula>
    </cfRule>
  </conditionalFormatting>
  <conditionalFormatting sqref="A66">
    <cfRule type="expression" dxfId="917" priority="490">
      <formula>IF($V66&lt;&gt;0,AND(MID($A66,5,1)=" "))</formula>
    </cfRule>
    <cfRule type="expression" dxfId="916" priority="491">
      <formula>IF($V66&lt;&gt;0,AND(MID($A66,5,1)="C"))</formula>
    </cfRule>
    <cfRule type="expression" dxfId="915" priority="492">
      <formula>IF($V66&lt;&gt;0,AND(MID($A66,5,1)="D"))</formula>
    </cfRule>
  </conditionalFormatting>
  <conditionalFormatting sqref="A67">
    <cfRule type="expression" dxfId="914" priority="487">
      <formula>IF($V67&lt;&gt;0,AND(MID($A67,5,1)=" "))</formula>
    </cfRule>
    <cfRule type="expression" dxfId="913" priority="488">
      <formula>IF($V67&lt;&gt;0,AND(MID($A67,5,1)="C"))</formula>
    </cfRule>
    <cfRule type="expression" dxfId="912" priority="489">
      <formula>IF($V67&lt;&gt;0,AND(MID($A67,5,1)="D"))</formula>
    </cfRule>
  </conditionalFormatting>
  <conditionalFormatting sqref="A68">
    <cfRule type="expression" dxfId="911" priority="484">
      <formula>IF($V68&lt;&gt;0,AND(MID($A68,5,1)=" "))</formula>
    </cfRule>
    <cfRule type="expression" dxfId="910" priority="485">
      <formula>IF($V68&lt;&gt;0,AND(MID($A68,5,1)="C"))</formula>
    </cfRule>
    <cfRule type="expression" dxfId="909" priority="486">
      <formula>IF($V68&lt;&gt;0,AND(MID($A68,5,1)="D"))</formula>
    </cfRule>
  </conditionalFormatting>
  <conditionalFormatting sqref="A69">
    <cfRule type="expression" dxfId="908" priority="481">
      <formula>IF($V69&lt;&gt;0,AND(MID($A69,5,1)=" "))</formula>
    </cfRule>
    <cfRule type="expression" dxfId="907" priority="482">
      <formula>IF($V69&lt;&gt;0,AND(MID($A69,5,1)="C"))</formula>
    </cfRule>
    <cfRule type="expression" dxfId="906" priority="483">
      <formula>IF($V69&lt;&gt;0,AND(MID($A69,5,1)="D"))</formula>
    </cfRule>
  </conditionalFormatting>
  <conditionalFormatting sqref="A70">
    <cfRule type="expression" dxfId="905" priority="442">
      <formula>IF($V70&lt;&gt;0,AND(MID($A70,5,1)=" "))</formula>
    </cfRule>
    <cfRule type="expression" dxfId="904" priority="443">
      <formula>IF($V70&lt;&gt;0,AND(MID($A70,5,1)="C"))</formula>
    </cfRule>
    <cfRule type="expression" dxfId="903" priority="444">
      <formula>IF($V70&lt;&gt;0,AND(MID($A70,5,1)="D"))</formula>
    </cfRule>
  </conditionalFormatting>
  <conditionalFormatting sqref="A71">
    <cfRule type="expression" dxfId="902" priority="439">
      <formula>IF($V71&lt;&gt;0,AND(MID($A71,5,1)=" "))</formula>
    </cfRule>
    <cfRule type="expression" dxfId="901" priority="440">
      <formula>IF($V71&lt;&gt;0,AND(MID($A71,5,1)="C"))</formula>
    </cfRule>
    <cfRule type="expression" dxfId="900" priority="441">
      <formula>IF($V71&lt;&gt;0,AND(MID($A71,5,1)="D"))</formula>
    </cfRule>
  </conditionalFormatting>
  <conditionalFormatting sqref="A72">
    <cfRule type="expression" dxfId="899" priority="436">
      <formula>IF($V72&lt;&gt;0,AND(MID($A72,5,1)=" "))</formula>
    </cfRule>
    <cfRule type="expression" dxfId="898" priority="437">
      <formula>IF($V72&lt;&gt;0,AND(MID($A72,5,1)="C"))</formula>
    </cfRule>
    <cfRule type="expression" dxfId="897" priority="438">
      <formula>IF($V72&lt;&gt;0,AND(MID($A72,5,1)="D"))</formula>
    </cfRule>
  </conditionalFormatting>
  <conditionalFormatting sqref="A73">
    <cfRule type="expression" dxfId="896" priority="433">
      <formula>IF($V73&lt;&gt;0,AND(MID($A73,5,1)=" "))</formula>
    </cfRule>
    <cfRule type="expression" dxfId="895" priority="434">
      <formula>IF($V73&lt;&gt;0,AND(MID($A73,5,1)="C"))</formula>
    </cfRule>
    <cfRule type="expression" dxfId="894" priority="435">
      <formula>IF($V73&lt;&gt;0,AND(MID($A73,5,1)="D"))</formula>
    </cfRule>
  </conditionalFormatting>
  <conditionalFormatting sqref="A74">
    <cfRule type="expression" dxfId="893" priority="430">
      <formula>IF($V74&lt;&gt;0,AND(MID($A74,5,1)=" "))</formula>
    </cfRule>
    <cfRule type="expression" dxfId="892" priority="431">
      <formula>IF($V74&lt;&gt;0,AND(MID($A74,5,1)="C"))</formula>
    </cfRule>
    <cfRule type="expression" dxfId="891" priority="432">
      <formula>IF($V74&lt;&gt;0,AND(MID($A74,5,1)="D"))</formula>
    </cfRule>
  </conditionalFormatting>
  <conditionalFormatting sqref="A75">
    <cfRule type="expression" dxfId="890" priority="427">
      <formula>IF($V75&lt;&gt;0,AND(MID($A75,5,1)=" "))</formula>
    </cfRule>
    <cfRule type="expression" dxfId="889" priority="428">
      <formula>IF($V75&lt;&gt;0,AND(MID($A75,5,1)="C"))</formula>
    </cfRule>
    <cfRule type="expression" dxfId="888" priority="429">
      <formula>IF($V75&lt;&gt;0,AND(MID($A75,5,1)="D"))</formula>
    </cfRule>
  </conditionalFormatting>
  <conditionalFormatting sqref="A76">
    <cfRule type="expression" dxfId="887" priority="406">
      <formula>IF($V76&lt;&gt;0,AND(MID($A76,5,1)=" "))</formula>
    </cfRule>
    <cfRule type="expression" dxfId="886" priority="407">
      <formula>IF($V76&lt;&gt;0,AND(MID($A76,5,1)="C"))</formula>
    </cfRule>
    <cfRule type="expression" dxfId="885" priority="408">
      <formula>IF($V76&lt;&gt;0,AND(MID($A76,5,1)="D"))</formula>
    </cfRule>
  </conditionalFormatting>
  <conditionalFormatting sqref="A77">
    <cfRule type="expression" dxfId="884" priority="403">
      <formula>IF($V77&lt;&gt;0,AND(MID($A77,5,1)=" "))</formula>
    </cfRule>
    <cfRule type="expression" dxfId="883" priority="404">
      <formula>IF($V77&lt;&gt;0,AND(MID($A77,5,1)="C"))</formula>
    </cfRule>
    <cfRule type="expression" dxfId="882" priority="405">
      <formula>IF($V77&lt;&gt;0,AND(MID($A77,5,1)="D"))</formula>
    </cfRule>
  </conditionalFormatting>
  <conditionalFormatting sqref="A78">
    <cfRule type="expression" dxfId="881" priority="400">
      <formula>IF($V78&lt;&gt;0,AND(MID($A78,5,1)=" "))</formula>
    </cfRule>
    <cfRule type="expression" dxfId="880" priority="401">
      <formula>IF($V78&lt;&gt;0,AND(MID($A78,5,1)="C"))</formula>
    </cfRule>
    <cfRule type="expression" dxfId="879" priority="402">
      <formula>IF($V78&lt;&gt;0,AND(MID($A78,5,1)="D"))</formula>
    </cfRule>
  </conditionalFormatting>
  <conditionalFormatting sqref="A79">
    <cfRule type="expression" dxfId="878" priority="397">
      <formula>IF($V79&lt;&gt;0,AND(MID($A79,5,1)=" "))</formula>
    </cfRule>
    <cfRule type="expression" dxfId="877" priority="398">
      <formula>IF($V79&lt;&gt;0,AND(MID($A79,5,1)="C"))</formula>
    </cfRule>
    <cfRule type="expression" dxfId="876" priority="399">
      <formula>IF($V79&lt;&gt;0,AND(MID($A79,5,1)="D"))</formula>
    </cfRule>
  </conditionalFormatting>
  <conditionalFormatting sqref="A80">
    <cfRule type="expression" dxfId="875" priority="394">
      <formula>IF($V80&lt;&gt;0,AND(MID($A80,5,1)=" "))</formula>
    </cfRule>
    <cfRule type="expression" dxfId="874" priority="395">
      <formula>IF($V80&lt;&gt;0,AND(MID($A80,5,1)="C"))</formula>
    </cfRule>
    <cfRule type="expression" dxfId="873" priority="396">
      <formula>IF($V80&lt;&gt;0,AND(MID($A80,5,1)="D"))</formula>
    </cfRule>
  </conditionalFormatting>
  <conditionalFormatting sqref="A81">
    <cfRule type="expression" dxfId="872" priority="391">
      <formula>IF($V81&lt;&gt;0,AND(MID($A81,5,1)=" "))</formula>
    </cfRule>
    <cfRule type="expression" dxfId="871" priority="392">
      <formula>IF($V81&lt;&gt;0,AND(MID($A81,5,1)="C"))</formula>
    </cfRule>
    <cfRule type="expression" dxfId="870" priority="393">
      <formula>IF($V81&lt;&gt;0,AND(MID($A81,5,1)="D"))</formula>
    </cfRule>
  </conditionalFormatting>
  <conditionalFormatting sqref="A82">
    <cfRule type="expression" dxfId="869" priority="388">
      <formula>IF($V82&lt;&gt;0,AND(MID($A82,5,1)=" "))</formula>
    </cfRule>
    <cfRule type="expression" dxfId="868" priority="389">
      <formula>IF($V82&lt;&gt;0,AND(MID($A82,5,1)="C"))</formula>
    </cfRule>
    <cfRule type="expression" dxfId="867" priority="390">
      <formula>IF($V82&lt;&gt;0,AND(MID($A82,5,1)="D"))</formula>
    </cfRule>
  </conditionalFormatting>
  <conditionalFormatting sqref="A83">
    <cfRule type="expression" dxfId="866" priority="385">
      <formula>IF($V83&lt;&gt;0,AND(MID($A83,5,1)=" "))</formula>
    </cfRule>
    <cfRule type="expression" dxfId="865" priority="386">
      <formula>IF($V83&lt;&gt;0,AND(MID($A83,5,1)="C"))</formula>
    </cfRule>
    <cfRule type="expression" dxfId="864" priority="387">
      <formula>IF($V83&lt;&gt;0,AND(MID($A83,5,1)="D"))</formula>
    </cfRule>
  </conditionalFormatting>
  <conditionalFormatting sqref="A84">
    <cfRule type="expression" dxfId="863" priority="382">
      <formula>IF($V84&lt;&gt;0,AND(MID($A84,5,1)=" "))</formula>
    </cfRule>
    <cfRule type="expression" dxfId="862" priority="383">
      <formula>IF($V84&lt;&gt;0,AND(MID($A84,5,1)="C"))</formula>
    </cfRule>
    <cfRule type="expression" dxfId="861" priority="384">
      <formula>IF($V84&lt;&gt;0,AND(MID($A84,5,1)="D"))</formula>
    </cfRule>
  </conditionalFormatting>
  <conditionalFormatting sqref="A85">
    <cfRule type="expression" dxfId="860" priority="379">
      <formula>IF($V85&lt;&gt;0,AND(MID($A85,5,1)=" "))</formula>
    </cfRule>
    <cfRule type="expression" dxfId="859" priority="380">
      <formula>IF($V85&lt;&gt;0,AND(MID($A85,5,1)="C"))</formula>
    </cfRule>
    <cfRule type="expression" dxfId="858" priority="381">
      <formula>IF($V85&lt;&gt;0,AND(MID($A85,5,1)="D"))</formula>
    </cfRule>
  </conditionalFormatting>
  <conditionalFormatting sqref="A86">
    <cfRule type="expression" dxfId="857" priority="376">
      <formula>IF($V86&lt;&gt;0,AND(MID($A86,5,1)=" "))</formula>
    </cfRule>
    <cfRule type="expression" dxfId="856" priority="377">
      <formula>IF($V86&lt;&gt;0,AND(MID($A86,5,1)="C"))</formula>
    </cfRule>
    <cfRule type="expression" dxfId="855" priority="378">
      <formula>IF($V86&lt;&gt;0,AND(MID($A86,5,1)="D"))</formula>
    </cfRule>
  </conditionalFormatting>
  <conditionalFormatting sqref="A87">
    <cfRule type="expression" dxfId="854" priority="373">
      <formula>IF($V87&lt;&gt;0,AND(MID($A87,5,1)=" "))</formula>
    </cfRule>
    <cfRule type="expression" dxfId="853" priority="374">
      <formula>IF($V87&lt;&gt;0,AND(MID($A87,5,1)="C"))</formula>
    </cfRule>
    <cfRule type="expression" dxfId="852" priority="375">
      <formula>IF($V87&lt;&gt;0,AND(MID($A87,5,1)="D"))</formula>
    </cfRule>
  </conditionalFormatting>
  <conditionalFormatting sqref="A88">
    <cfRule type="expression" dxfId="851" priority="370">
      <formula>IF($V88&lt;&gt;0,AND(MID($A88,5,1)=" "))</formula>
    </cfRule>
    <cfRule type="expression" dxfId="850" priority="371">
      <formula>IF($V88&lt;&gt;0,AND(MID($A88,5,1)="C"))</formula>
    </cfRule>
    <cfRule type="expression" dxfId="849" priority="372">
      <formula>IF($V88&lt;&gt;0,AND(MID($A88,5,1)="D"))</formula>
    </cfRule>
  </conditionalFormatting>
  <conditionalFormatting sqref="A89">
    <cfRule type="expression" dxfId="848" priority="367">
      <formula>IF($V89&lt;&gt;0,AND(MID($A89,5,1)=" "))</formula>
    </cfRule>
    <cfRule type="expression" dxfId="847" priority="368">
      <formula>IF($V89&lt;&gt;0,AND(MID($A89,5,1)="C"))</formula>
    </cfRule>
    <cfRule type="expression" dxfId="846" priority="369">
      <formula>IF($V89&lt;&gt;0,AND(MID($A89,5,1)="D"))</formula>
    </cfRule>
  </conditionalFormatting>
  <conditionalFormatting sqref="A90">
    <cfRule type="expression" dxfId="845" priority="364">
      <formula>IF($V90&lt;&gt;0,AND(MID($A90,5,1)=" "))</formula>
    </cfRule>
    <cfRule type="expression" dxfId="844" priority="365">
      <formula>IF($V90&lt;&gt;0,AND(MID($A90,5,1)="C"))</formula>
    </cfRule>
    <cfRule type="expression" dxfId="843" priority="366">
      <formula>IF($V90&lt;&gt;0,AND(MID($A90,5,1)="D"))</formula>
    </cfRule>
  </conditionalFormatting>
  <conditionalFormatting sqref="A91">
    <cfRule type="expression" dxfId="842" priority="361">
      <formula>IF($V91&lt;&gt;0,AND(MID($A91,5,1)=" "))</formula>
    </cfRule>
    <cfRule type="expression" dxfId="841" priority="362">
      <formula>IF($V91&lt;&gt;0,AND(MID($A91,5,1)="C"))</formula>
    </cfRule>
    <cfRule type="expression" dxfId="840" priority="363">
      <formula>IF($V91&lt;&gt;0,AND(MID($A91,5,1)="D"))</formula>
    </cfRule>
  </conditionalFormatting>
  <conditionalFormatting sqref="A92">
    <cfRule type="expression" dxfId="839" priority="358">
      <formula>IF($V92&lt;&gt;0,AND(MID($A92,5,1)=" "))</formula>
    </cfRule>
    <cfRule type="expression" dxfId="838" priority="359">
      <formula>IF($V92&lt;&gt;0,AND(MID($A92,5,1)="C"))</formula>
    </cfRule>
    <cfRule type="expression" dxfId="837" priority="360">
      <formula>IF($V92&lt;&gt;0,AND(MID($A92,5,1)="D"))</formula>
    </cfRule>
  </conditionalFormatting>
  <conditionalFormatting sqref="A93">
    <cfRule type="expression" dxfId="836" priority="355">
      <formula>IF($V93&lt;&gt;0,AND(MID($A93,5,1)=" "))</formula>
    </cfRule>
    <cfRule type="expression" dxfId="835" priority="356">
      <formula>IF($V93&lt;&gt;0,AND(MID($A93,5,1)="C"))</formula>
    </cfRule>
    <cfRule type="expression" dxfId="834" priority="357">
      <formula>IF($V93&lt;&gt;0,AND(MID($A93,5,1)="D"))</formula>
    </cfRule>
  </conditionalFormatting>
  <conditionalFormatting sqref="A94">
    <cfRule type="expression" dxfId="833" priority="352">
      <formula>IF($V94&lt;&gt;0,AND(MID($A94,5,1)=" "))</formula>
    </cfRule>
    <cfRule type="expression" dxfId="832" priority="353">
      <formula>IF($V94&lt;&gt;0,AND(MID($A94,5,1)="C"))</formula>
    </cfRule>
    <cfRule type="expression" dxfId="831" priority="354">
      <formula>IF($V94&lt;&gt;0,AND(MID($A94,5,1)="D"))</formula>
    </cfRule>
  </conditionalFormatting>
  <conditionalFormatting sqref="A95">
    <cfRule type="expression" dxfId="830" priority="349">
      <formula>IF($V95&lt;&gt;0,AND(MID($A95,5,1)=" "))</formula>
    </cfRule>
    <cfRule type="expression" dxfId="829" priority="350">
      <formula>IF($V95&lt;&gt;0,AND(MID($A95,5,1)="C"))</formula>
    </cfRule>
    <cfRule type="expression" dxfId="828" priority="351">
      <formula>IF($V95&lt;&gt;0,AND(MID($A95,5,1)="D"))</formula>
    </cfRule>
  </conditionalFormatting>
  <conditionalFormatting sqref="A96">
    <cfRule type="expression" dxfId="827" priority="346">
      <formula>IF($V96&lt;&gt;0,AND(MID($A96,5,1)=" "))</formula>
    </cfRule>
    <cfRule type="expression" dxfId="826" priority="347">
      <formula>IF($V96&lt;&gt;0,AND(MID($A96,5,1)="C"))</formula>
    </cfRule>
    <cfRule type="expression" dxfId="825" priority="348">
      <formula>IF($V96&lt;&gt;0,AND(MID($A96,5,1)="D"))</formula>
    </cfRule>
  </conditionalFormatting>
  <conditionalFormatting sqref="A97">
    <cfRule type="expression" dxfId="824" priority="343">
      <formula>IF($V97&lt;&gt;0,AND(MID($A97,5,1)=" "))</formula>
    </cfRule>
    <cfRule type="expression" dxfId="823" priority="344">
      <formula>IF($V97&lt;&gt;0,AND(MID($A97,5,1)="C"))</formula>
    </cfRule>
    <cfRule type="expression" dxfId="822" priority="345">
      <formula>IF($V97&lt;&gt;0,AND(MID($A97,5,1)="D"))</formula>
    </cfRule>
  </conditionalFormatting>
  <conditionalFormatting sqref="A98">
    <cfRule type="expression" dxfId="821" priority="340">
      <formula>IF($V98&lt;&gt;0,AND(MID($A98,5,1)=" "))</formula>
    </cfRule>
    <cfRule type="expression" dxfId="820" priority="341">
      <formula>IF($V98&lt;&gt;0,AND(MID($A98,5,1)="C"))</formula>
    </cfRule>
    <cfRule type="expression" dxfId="819" priority="342">
      <formula>IF($V98&lt;&gt;0,AND(MID($A98,5,1)="D"))</formula>
    </cfRule>
  </conditionalFormatting>
  <conditionalFormatting sqref="A99">
    <cfRule type="expression" dxfId="818" priority="337">
      <formula>IF($V99&lt;&gt;0,AND(MID($A99,5,1)=" "))</formula>
    </cfRule>
    <cfRule type="expression" dxfId="817" priority="338">
      <formula>IF($V99&lt;&gt;0,AND(MID($A99,5,1)="C"))</formula>
    </cfRule>
    <cfRule type="expression" dxfId="816" priority="339">
      <formula>IF($V99&lt;&gt;0,AND(MID($A99,5,1)="D"))</formula>
    </cfRule>
  </conditionalFormatting>
  <conditionalFormatting sqref="A100">
    <cfRule type="expression" dxfId="815" priority="334">
      <formula>IF($V100&lt;&gt;0,AND(MID($A100,5,1)=" "))</formula>
    </cfRule>
    <cfRule type="expression" dxfId="814" priority="335">
      <formula>IF($V100&lt;&gt;0,AND(MID($A100,5,1)="C"))</formula>
    </cfRule>
    <cfRule type="expression" dxfId="813" priority="336">
      <formula>IF($V100&lt;&gt;0,AND(MID($A100,5,1)="D"))</formula>
    </cfRule>
  </conditionalFormatting>
  <conditionalFormatting sqref="A101">
    <cfRule type="expression" dxfId="812" priority="331">
      <formula>IF($V101&lt;&gt;0,AND(MID($A101,5,1)=" "))</formula>
    </cfRule>
    <cfRule type="expression" dxfId="811" priority="332">
      <formula>IF($V101&lt;&gt;0,AND(MID($A101,5,1)="C"))</formula>
    </cfRule>
    <cfRule type="expression" dxfId="810" priority="333">
      <formula>IF($V101&lt;&gt;0,AND(MID($A101,5,1)="D"))</formula>
    </cfRule>
  </conditionalFormatting>
  <conditionalFormatting sqref="A102">
    <cfRule type="expression" dxfId="809" priority="328">
      <formula>IF($V102&lt;&gt;0,AND(MID($A102,5,1)=" "))</formula>
    </cfRule>
    <cfRule type="expression" dxfId="808" priority="329">
      <formula>IF($V102&lt;&gt;0,AND(MID($A102,5,1)="C"))</formula>
    </cfRule>
    <cfRule type="expression" dxfId="807" priority="330">
      <formula>IF($V102&lt;&gt;0,AND(MID($A102,5,1)="D"))</formula>
    </cfRule>
  </conditionalFormatting>
  <conditionalFormatting sqref="A103">
    <cfRule type="expression" dxfId="806" priority="325">
      <formula>IF($V103&lt;&gt;0,AND(MID($A103,5,1)=" "))</formula>
    </cfRule>
    <cfRule type="expression" dxfId="805" priority="326">
      <formula>IF($V103&lt;&gt;0,AND(MID($A103,5,1)="C"))</formula>
    </cfRule>
    <cfRule type="expression" dxfId="804" priority="327">
      <formula>IF($V103&lt;&gt;0,AND(MID($A103,5,1)="D"))</formula>
    </cfRule>
  </conditionalFormatting>
  <conditionalFormatting sqref="A104">
    <cfRule type="expression" dxfId="803" priority="322">
      <formula>IF($V104&lt;&gt;0,AND(MID($A104,5,1)=" "))</formula>
    </cfRule>
    <cfRule type="expression" dxfId="802" priority="323">
      <formula>IF($V104&lt;&gt;0,AND(MID($A104,5,1)="C"))</formula>
    </cfRule>
    <cfRule type="expression" dxfId="801" priority="324">
      <formula>IF($V104&lt;&gt;0,AND(MID($A104,5,1)="D"))</formula>
    </cfRule>
  </conditionalFormatting>
  <conditionalFormatting sqref="A105">
    <cfRule type="expression" dxfId="800" priority="319">
      <formula>IF($V105&lt;&gt;0,AND(MID($A105,5,1)=" "))</formula>
    </cfRule>
    <cfRule type="expression" dxfId="799" priority="320">
      <formula>IF($V105&lt;&gt;0,AND(MID($A105,5,1)="C"))</formula>
    </cfRule>
    <cfRule type="expression" dxfId="798" priority="321">
      <formula>IF($V105&lt;&gt;0,AND(MID($A105,5,1)="D"))</formula>
    </cfRule>
  </conditionalFormatting>
  <conditionalFormatting sqref="A106">
    <cfRule type="expression" dxfId="797" priority="316">
      <formula>IF($V106&lt;&gt;0,AND(MID($A106,5,1)=" "))</formula>
    </cfRule>
    <cfRule type="expression" dxfId="796" priority="317">
      <formula>IF($V106&lt;&gt;0,AND(MID($A106,5,1)="C"))</formula>
    </cfRule>
    <cfRule type="expression" dxfId="795" priority="318">
      <formula>IF($V106&lt;&gt;0,AND(MID($A106,5,1)="D"))</formula>
    </cfRule>
  </conditionalFormatting>
  <conditionalFormatting sqref="A107">
    <cfRule type="expression" dxfId="794" priority="313">
      <formula>IF($V107&lt;&gt;0,AND(MID($A107,5,1)=" "))</formula>
    </cfRule>
    <cfRule type="expression" dxfId="793" priority="314">
      <formula>IF($V107&lt;&gt;0,AND(MID($A107,5,1)="C"))</formula>
    </cfRule>
    <cfRule type="expression" dxfId="792" priority="315">
      <formula>IF($V107&lt;&gt;0,AND(MID($A107,5,1)="D"))</formula>
    </cfRule>
  </conditionalFormatting>
  <conditionalFormatting sqref="A108">
    <cfRule type="expression" dxfId="791" priority="310">
      <formula>IF($V108&lt;&gt;0,AND(MID($A108,5,1)=" "))</formula>
    </cfRule>
    <cfRule type="expression" dxfId="790" priority="311">
      <formula>IF($V108&lt;&gt;0,AND(MID($A108,5,1)="C"))</formula>
    </cfRule>
    <cfRule type="expression" dxfId="789" priority="312">
      <formula>IF($V108&lt;&gt;0,AND(MID($A108,5,1)="D"))</formula>
    </cfRule>
  </conditionalFormatting>
  <conditionalFormatting sqref="A109">
    <cfRule type="expression" dxfId="788" priority="307">
      <formula>IF($V109&lt;&gt;0,AND(MID($A109,5,1)=" "))</formula>
    </cfRule>
    <cfRule type="expression" dxfId="787" priority="308">
      <formula>IF($V109&lt;&gt;0,AND(MID($A109,5,1)="C"))</formula>
    </cfRule>
    <cfRule type="expression" dxfId="786" priority="309">
      <formula>IF($V109&lt;&gt;0,AND(MID($A109,5,1)="D"))</formula>
    </cfRule>
  </conditionalFormatting>
  <conditionalFormatting sqref="A110">
    <cfRule type="expression" dxfId="785" priority="304">
      <formula>IF($V110&lt;&gt;0,AND(MID($A110,5,1)=" "))</formula>
    </cfRule>
    <cfRule type="expression" dxfId="784" priority="305">
      <formula>IF($V110&lt;&gt;0,AND(MID($A110,5,1)="C"))</formula>
    </cfRule>
    <cfRule type="expression" dxfId="783" priority="306">
      <formula>IF($V110&lt;&gt;0,AND(MID($A110,5,1)="D"))</formula>
    </cfRule>
  </conditionalFormatting>
  <conditionalFormatting sqref="A111">
    <cfRule type="expression" dxfId="782" priority="301">
      <formula>IF($V111&lt;&gt;0,AND(MID($A111,5,1)=" "))</formula>
    </cfRule>
    <cfRule type="expression" dxfId="781" priority="302">
      <formula>IF($V111&lt;&gt;0,AND(MID($A111,5,1)="C"))</formula>
    </cfRule>
    <cfRule type="expression" dxfId="780" priority="303">
      <formula>IF($V111&lt;&gt;0,AND(MID($A111,5,1)="D"))</formula>
    </cfRule>
  </conditionalFormatting>
  <conditionalFormatting sqref="A112">
    <cfRule type="expression" dxfId="779" priority="298">
      <formula>IF($V112&lt;&gt;0,AND(MID($A112,5,1)=" "))</formula>
    </cfRule>
    <cfRule type="expression" dxfId="778" priority="299">
      <formula>IF($V112&lt;&gt;0,AND(MID($A112,5,1)="C"))</formula>
    </cfRule>
    <cfRule type="expression" dxfId="777" priority="300">
      <formula>IF($V112&lt;&gt;0,AND(MID($A112,5,1)="D"))</formula>
    </cfRule>
  </conditionalFormatting>
  <conditionalFormatting sqref="A113">
    <cfRule type="expression" dxfId="776" priority="295">
      <formula>IF($V113&lt;&gt;0,AND(MID($A113,5,1)=" "))</formula>
    </cfRule>
    <cfRule type="expression" dxfId="775" priority="296">
      <formula>IF($V113&lt;&gt;0,AND(MID($A113,5,1)="C"))</formula>
    </cfRule>
    <cfRule type="expression" dxfId="774" priority="297">
      <formula>IF($V113&lt;&gt;0,AND(MID($A113,5,1)="D"))</formula>
    </cfRule>
  </conditionalFormatting>
  <conditionalFormatting sqref="A114">
    <cfRule type="expression" dxfId="773" priority="292">
      <formula>IF($V114&lt;&gt;0,AND(MID($A114,5,1)=" "))</formula>
    </cfRule>
    <cfRule type="expression" dxfId="772" priority="293">
      <formula>IF($V114&lt;&gt;0,AND(MID($A114,5,1)="C"))</formula>
    </cfRule>
    <cfRule type="expression" dxfId="771" priority="294">
      <formula>IF($V114&lt;&gt;0,AND(MID($A114,5,1)="D"))</formula>
    </cfRule>
  </conditionalFormatting>
  <conditionalFormatting sqref="A115">
    <cfRule type="expression" dxfId="770" priority="289">
      <formula>IF($V115&lt;&gt;0,AND(MID($A115,5,1)=" "))</formula>
    </cfRule>
    <cfRule type="expression" dxfId="769" priority="290">
      <formula>IF($V115&lt;&gt;0,AND(MID($A115,5,1)="C"))</formula>
    </cfRule>
    <cfRule type="expression" dxfId="768" priority="291">
      <formula>IF($V115&lt;&gt;0,AND(MID($A115,5,1)="D"))</formula>
    </cfRule>
  </conditionalFormatting>
  <conditionalFormatting sqref="A116">
    <cfRule type="expression" dxfId="767" priority="286">
      <formula>IF($V116&lt;&gt;0,AND(MID($A116,5,1)=" "))</formula>
    </cfRule>
    <cfRule type="expression" dxfId="766" priority="287">
      <formula>IF($V116&lt;&gt;0,AND(MID($A116,5,1)="C"))</formula>
    </cfRule>
    <cfRule type="expression" dxfId="765" priority="288">
      <formula>IF($V116&lt;&gt;0,AND(MID($A116,5,1)="D"))</formula>
    </cfRule>
  </conditionalFormatting>
  <conditionalFormatting sqref="A117">
    <cfRule type="expression" dxfId="764" priority="283">
      <formula>IF($V117&lt;&gt;0,AND(MID($A117,5,1)=" "))</formula>
    </cfRule>
    <cfRule type="expression" dxfId="763" priority="284">
      <formula>IF($V117&lt;&gt;0,AND(MID($A117,5,1)="C"))</formula>
    </cfRule>
    <cfRule type="expression" dxfId="762" priority="285">
      <formula>IF($V117&lt;&gt;0,AND(MID($A117,5,1)="D"))</formula>
    </cfRule>
  </conditionalFormatting>
  <conditionalFormatting sqref="A118">
    <cfRule type="expression" dxfId="761" priority="280">
      <formula>IF($V118&lt;&gt;0,AND(MID($A118,5,1)=" "))</formula>
    </cfRule>
    <cfRule type="expression" dxfId="760" priority="281">
      <formula>IF($V118&lt;&gt;0,AND(MID($A118,5,1)="C"))</formula>
    </cfRule>
    <cfRule type="expression" dxfId="759" priority="282">
      <formula>IF($V118&lt;&gt;0,AND(MID($A118,5,1)="D"))</formula>
    </cfRule>
  </conditionalFormatting>
  <conditionalFormatting sqref="A119">
    <cfRule type="expression" dxfId="758" priority="277">
      <formula>IF($V119&lt;&gt;0,AND(MID($A119,5,1)=" "))</formula>
    </cfRule>
    <cfRule type="expression" dxfId="757" priority="278">
      <formula>IF($V119&lt;&gt;0,AND(MID($A119,5,1)="C"))</formula>
    </cfRule>
    <cfRule type="expression" dxfId="756" priority="279">
      <formula>IF($V119&lt;&gt;0,AND(MID($A119,5,1)="D"))</formula>
    </cfRule>
  </conditionalFormatting>
  <conditionalFormatting sqref="A120">
    <cfRule type="expression" dxfId="755" priority="274">
      <formula>IF($V120&lt;&gt;0,AND(MID($A120,5,1)=" "))</formula>
    </cfRule>
    <cfRule type="expression" dxfId="754" priority="275">
      <formula>IF($V120&lt;&gt;0,AND(MID($A120,5,1)="C"))</formula>
    </cfRule>
    <cfRule type="expression" dxfId="753" priority="276">
      <formula>IF($V120&lt;&gt;0,AND(MID($A120,5,1)="D"))</formula>
    </cfRule>
  </conditionalFormatting>
  <conditionalFormatting sqref="A121">
    <cfRule type="expression" dxfId="752" priority="271">
      <formula>IF($V121&lt;&gt;0,AND(MID($A121,5,1)=" "))</formula>
    </cfRule>
    <cfRule type="expression" dxfId="751" priority="272">
      <formula>IF($V121&lt;&gt;0,AND(MID($A121,5,1)="C"))</formula>
    </cfRule>
    <cfRule type="expression" dxfId="750" priority="273">
      <formula>IF($V121&lt;&gt;0,AND(MID($A121,5,1)="D"))</formula>
    </cfRule>
  </conditionalFormatting>
  <conditionalFormatting sqref="A122">
    <cfRule type="expression" dxfId="749" priority="268">
      <formula>IF($V122&lt;&gt;0,AND(MID($A122,5,1)=" "))</formula>
    </cfRule>
    <cfRule type="expression" dxfId="748" priority="269">
      <formula>IF($V122&lt;&gt;0,AND(MID($A122,5,1)="C"))</formula>
    </cfRule>
    <cfRule type="expression" dxfId="747" priority="270">
      <formula>IF($V122&lt;&gt;0,AND(MID($A122,5,1)="D"))</formula>
    </cfRule>
  </conditionalFormatting>
  <conditionalFormatting sqref="A123">
    <cfRule type="expression" dxfId="746" priority="265">
      <formula>IF($V123&lt;&gt;0,AND(MID($A123,5,1)=" "))</formula>
    </cfRule>
    <cfRule type="expression" dxfId="745" priority="266">
      <formula>IF($V123&lt;&gt;0,AND(MID($A123,5,1)="C"))</formula>
    </cfRule>
    <cfRule type="expression" dxfId="744" priority="267">
      <formula>IF($V123&lt;&gt;0,AND(MID($A123,5,1)="D"))</formula>
    </cfRule>
  </conditionalFormatting>
  <conditionalFormatting sqref="A124">
    <cfRule type="expression" dxfId="743" priority="262">
      <formula>IF($V124&lt;&gt;0,AND(MID($A124,5,1)=" "))</formula>
    </cfRule>
    <cfRule type="expression" dxfId="742" priority="263">
      <formula>IF($V124&lt;&gt;0,AND(MID($A124,5,1)="C"))</formula>
    </cfRule>
    <cfRule type="expression" dxfId="741" priority="264">
      <formula>IF($V124&lt;&gt;0,AND(MID($A124,5,1)="D"))</formula>
    </cfRule>
  </conditionalFormatting>
  <conditionalFormatting sqref="A125">
    <cfRule type="expression" dxfId="740" priority="259">
      <formula>IF($V125&lt;&gt;0,AND(MID($A125,5,1)=" "))</formula>
    </cfRule>
    <cfRule type="expression" dxfId="739" priority="260">
      <formula>IF($V125&lt;&gt;0,AND(MID($A125,5,1)="C"))</formula>
    </cfRule>
    <cfRule type="expression" dxfId="738" priority="261">
      <formula>IF($V125&lt;&gt;0,AND(MID($A125,5,1)="D"))</formula>
    </cfRule>
  </conditionalFormatting>
  <conditionalFormatting sqref="A126">
    <cfRule type="expression" dxfId="737" priority="256">
      <formula>IF($V126&lt;&gt;0,AND(MID($A126,5,1)=" "))</formula>
    </cfRule>
    <cfRule type="expression" dxfId="736" priority="257">
      <formula>IF($V126&lt;&gt;0,AND(MID($A126,5,1)="C"))</formula>
    </cfRule>
    <cfRule type="expression" dxfId="735" priority="258">
      <formula>IF($V126&lt;&gt;0,AND(MID($A126,5,1)="D"))</formula>
    </cfRule>
  </conditionalFormatting>
  <conditionalFormatting sqref="A127">
    <cfRule type="expression" dxfId="734" priority="253">
      <formula>IF($V127&lt;&gt;0,AND(MID($A127,5,1)=" "))</formula>
    </cfRule>
    <cfRule type="expression" dxfId="733" priority="254">
      <formula>IF($V127&lt;&gt;0,AND(MID($A127,5,1)="C"))</formula>
    </cfRule>
    <cfRule type="expression" dxfId="732" priority="255">
      <formula>IF($V127&lt;&gt;0,AND(MID($A127,5,1)="D"))</formula>
    </cfRule>
  </conditionalFormatting>
  <conditionalFormatting sqref="A128">
    <cfRule type="expression" dxfId="731" priority="250">
      <formula>IF($V128&lt;&gt;0,AND(MID($A128,5,1)=" "))</formula>
    </cfRule>
    <cfRule type="expression" dxfId="730" priority="251">
      <formula>IF($V128&lt;&gt;0,AND(MID($A128,5,1)="C"))</formula>
    </cfRule>
    <cfRule type="expression" dxfId="729" priority="252">
      <formula>IF($V128&lt;&gt;0,AND(MID($A128,5,1)="D"))</formula>
    </cfRule>
  </conditionalFormatting>
  <conditionalFormatting sqref="A129">
    <cfRule type="expression" dxfId="728" priority="247">
      <formula>IF($V129&lt;&gt;0,AND(MID($A129,5,1)=" "))</formula>
    </cfRule>
    <cfRule type="expression" dxfId="727" priority="248">
      <formula>IF($V129&lt;&gt;0,AND(MID($A129,5,1)="C"))</formula>
    </cfRule>
    <cfRule type="expression" dxfId="726" priority="249">
      <formula>IF($V129&lt;&gt;0,AND(MID($A129,5,1)="D"))</formula>
    </cfRule>
  </conditionalFormatting>
  <conditionalFormatting sqref="A130">
    <cfRule type="expression" dxfId="725" priority="244">
      <formula>IF($V130&lt;&gt;0,AND(MID($A130,5,1)=" "))</formula>
    </cfRule>
    <cfRule type="expression" dxfId="724" priority="245">
      <formula>IF($V130&lt;&gt;0,AND(MID($A130,5,1)="C"))</formula>
    </cfRule>
    <cfRule type="expression" dxfId="723" priority="246">
      <formula>IF($V130&lt;&gt;0,AND(MID($A130,5,1)="D"))</formula>
    </cfRule>
  </conditionalFormatting>
  <conditionalFormatting sqref="A131">
    <cfRule type="expression" dxfId="722" priority="241">
      <formula>IF($V131&lt;&gt;0,AND(MID($A131,5,1)=" "))</formula>
    </cfRule>
    <cfRule type="expression" dxfId="721" priority="242">
      <formula>IF($V131&lt;&gt;0,AND(MID($A131,5,1)="C"))</formula>
    </cfRule>
    <cfRule type="expression" dxfId="720" priority="243">
      <formula>IF($V131&lt;&gt;0,AND(MID($A131,5,1)="D"))</formula>
    </cfRule>
  </conditionalFormatting>
  <conditionalFormatting sqref="A132">
    <cfRule type="expression" dxfId="719" priority="238">
      <formula>IF($V132&lt;&gt;0,AND(MID($A132,5,1)=" "))</formula>
    </cfRule>
    <cfRule type="expression" dxfId="718" priority="239">
      <formula>IF($V132&lt;&gt;0,AND(MID($A132,5,1)="C"))</formula>
    </cfRule>
    <cfRule type="expression" dxfId="717" priority="240">
      <formula>IF($V132&lt;&gt;0,AND(MID($A132,5,1)="D"))</formula>
    </cfRule>
  </conditionalFormatting>
  <conditionalFormatting sqref="A133">
    <cfRule type="expression" dxfId="716" priority="235">
      <formula>IF($V133&lt;&gt;0,AND(MID($A133,5,1)=" "))</formula>
    </cfRule>
    <cfRule type="expression" dxfId="715" priority="236">
      <formula>IF($V133&lt;&gt;0,AND(MID($A133,5,1)="C"))</formula>
    </cfRule>
    <cfRule type="expression" dxfId="714" priority="237">
      <formula>IF($V133&lt;&gt;0,AND(MID($A133,5,1)="D"))</formula>
    </cfRule>
  </conditionalFormatting>
  <conditionalFormatting sqref="A134">
    <cfRule type="expression" dxfId="713" priority="232">
      <formula>IF($V134&lt;&gt;0,AND(MID($A134,5,1)=" "))</formula>
    </cfRule>
    <cfRule type="expression" dxfId="712" priority="233">
      <formula>IF($V134&lt;&gt;0,AND(MID($A134,5,1)="C"))</formula>
    </cfRule>
    <cfRule type="expression" dxfId="711" priority="234">
      <formula>IF($V134&lt;&gt;0,AND(MID($A134,5,1)="D"))</formula>
    </cfRule>
  </conditionalFormatting>
  <conditionalFormatting sqref="A135">
    <cfRule type="expression" dxfId="710" priority="229">
      <formula>IF($V135&lt;&gt;0,AND(MID($A135,5,1)=" "))</formula>
    </cfRule>
    <cfRule type="expression" dxfId="709" priority="230">
      <formula>IF($V135&lt;&gt;0,AND(MID($A135,5,1)="C"))</formula>
    </cfRule>
    <cfRule type="expression" dxfId="708" priority="231">
      <formula>IF($V135&lt;&gt;0,AND(MID($A135,5,1)="D"))</formula>
    </cfRule>
  </conditionalFormatting>
  <conditionalFormatting sqref="A136">
    <cfRule type="expression" dxfId="707" priority="226">
      <formula>IF($V136&lt;&gt;0,AND(MID($A136,5,1)=" "))</formula>
    </cfRule>
    <cfRule type="expression" dxfId="706" priority="227">
      <formula>IF($V136&lt;&gt;0,AND(MID($A136,5,1)="C"))</formula>
    </cfRule>
    <cfRule type="expression" dxfId="705" priority="228">
      <formula>IF($V136&lt;&gt;0,AND(MID($A136,5,1)="D"))</formula>
    </cfRule>
  </conditionalFormatting>
  <conditionalFormatting sqref="A137">
    <cfRule type="expression" dxfId="704" priority="223">
      <formula>IF($V137&lt;&gt;0,AND(MID($A137,5,1)=" "))</formula>
    </cfRule>
    <cfRule type="expression" dxfId="703" priority="224">
      <formula>IF($V137&lt;&gt;0,AND(MID($A137,5,1)="C"))</formula>
    </cfRule>
    <cfRule type="expression" dxfId="702" priority="225">
      <formula>IF($V137&lt;&gt;0,AND(MID($A137,5,1)="D"))</formula>
    </cfRule>
  </conditionalFormatting>
  <conditionalFormatting sqref="A138">
    <cfRule type="expression" dxfId="701" priority="220">
      <formula>IF($V138&lt;&gt;0,AND(MID($A138,5,1)=" "))</formula>
    </cfRule>
    <cfRule type="expression" dxfId="700" priority="221">
      <formula>IF($V138&lt;&gt;0,AND(MID($A138,5,1)="C"))</formula>
    </cfRule>
    <cfRule type="expression" dxfId="699" priority="222">
      <formula>IF($V138&lt;&gt;0,AND(MID($A138,5,1)="D"))</formula>
    </cfRule>
  </conditionalFormatting>
  <conditionalFormatting sqref="A139">
    <cfRule type="expression" dxfId="698" priority="217">
      <formula>IF($V139&lt;&gt;0,AND(MID($A139,5,1)=" "))</formula>
    </cfRule>
    <cfRule type="expression" dxfId="697" priority="218">
      <formula>IF($V139&lt;&gt;0,AND(MID($A139,5,1)="C"))</formula>
    </cfRule>
    <cfRule type="expression" dxfId="696" priority="219">
      <formula>IF($V139&lt;&gt;0,AND(MID($A139,5,1)="D"))</formula>
    </cfRule>
  </conditionalFormatting>
  <conditionalFormatting sqref="A140">
    <cfRule type="expression" dxfId="695" priority="214">
      <formula>IF($V140&lt;&gt;0,AND(MID($A140,5,1)=" "))</formula>
    </cfRule>
    <cfRule type="expression" dxfId="694" priority="215">
      <formula>IF($V140&lt;&gt;0,AND(MID($A140,5,1)="C"))</formula>
    </cfRule>
    <cfRule type="expression" dxfId="693" priority="216">
      <formula>IF($V140&lt;&gt;0,AND(MID($A140,5,1)="D"))</formula>
    </cfRule>
  </conditionalFormatting>
  <conditionalFormatting sqref="A141">
    <cfRule type="expression" dxfId="692" priority="211">
      <formula>IF($V141&lt;&gt;0,AND(MID($A141,5,1)=" "))</formula>
    </cfRule>
    <cfRule type="expression" dxfId="691" priority="212">
      <formula>IF($V141&lt;&gt;0,AND(MID($A141,5,1)="C"))</formula>
    </cfRule>
    <cfRule type="expression" dxfId="690" priority="213">
      <formula>IF($V141&lt;&gt;0,AND(MID($A141,5,1)="D"))</formula>
    </cfRule>
  </conditionalFormatting>
  <conditionalFormatting sqref="A142">
    <cfRule type="expression" dxfId="689" priority="208">
      <formula>IF($V142&lt;&gt;0,AND(MID($A142,5,1)=" "))</formula>
    </cfRule>
    <cfRule type="expression" dxfId="688" priority="209">
      <formula>IF($V142&lt;&gt;0,AND(MID($A142,5,1)="C"))</formula>
    </cfRule>
    <cfRule type="expression" dxfId="687" priority="210">
      <formula>IF($V142&lt;&gt;0,AND(MID($A142,5,1)="D"))</formula>
    </cfRule>
  </conditionalFormatting>
  <conditionalFormatting sqref="A143">
    <cfRule type="expression" dxfId="686" priority="205">
      <formula>IF($V143&lt;&gt;0,AND(MID($A143,5,1)=" "))</formula>
    </cfRule>
    <cfRule type="expression" dxfId="685" priority="206">
      <formula>IF($V143&lt;&gt;0,AND(MID($A143,5,1)="C"))</formula>
    </cfRule>
    <cfRule type="expression" dxfId="684" priority="207">
      <formula>IF($V143&lt;&gt;0,AND(MID($A143,5,1)="D"))</formula>
    </cfRule>
  </conditionalFormatting>
  <conditionalFormatting sqref="A144">
    <cfRule type="expression" dxfId="683" priority="202">
      <formula>IF($V144&lt;&gt;0,AND(MID($A144,5,1)=" "))</formula>
    </cfRule>
    <cfRule type="expression" dxfId="682" priority="203">
      <formula>IF($V144&lt;&gt;0,AND(MID($A144,5,1)="C"))</formula>
    </cfRule>
    <cfRule type="expression" dxfId="681" priority="204">
      <formula>IF($V144&lt;&gt;0,AND(MID($A144,5,1)="D"))</formula>
    </cfRule>
  </conditionalFormatting>
  <conditionalFormatting sqref="A145">
    <cfRule type="expression" dxfId="680" priority="199">
      <formula>IF($V145&lt;&gt;0,AND(MID($A145,5,1)=" "))</formula>
    </cfRule>
    <cfRule type="expression" dxfId="679" priority="200">
      <formula>IF($V145&lt;&gt;0,AND(MID($A145,5,1)="C"))</formula>
    </cfRule>
    <cfRule type="expression" dxfId="678" priority="201">
      <formula>IF($V145&lt;&gt;0,AND(MID($A145,5,1)="D"))</formula>
    </cfRule>
  </conditionalFormatting>
  <conditionalFormatting sqref="A146">
    <cfRule type="expression" dxfId="677" priority="196">
      <formula>IF($V146&lt;&gt;0,AND(MID($A146,5,1)=" "))</formula>
    </cfRule>
    <cfRule type="expression" dxfId="676" priority="197">
      <formula>IF($V146&lt;&gt;0,AND(MID($A146,5,1)="C"))</formula>
    </cfRule>
    <cfRule type="expression" dxfId="675" priority="198">
      <formula>IF($V146&lt;&gt;0,AND(MID($A146,5,1)="D"))</formula>
    </cfRule>
  </conditionalFormatting>
  <conditionalFormatting sqref="A147">
    <cfRule type="expression" dxfId="674" priority="193">
      <formula>IF($V147&lt;&gt;0,AND(MID($A147,5,1)=" "))</formula>
    </cfRule>
    <cfRule type="expression" dxfId="673" priority="194">
      <formula>IF($V147&lt;&gt;0,AND(MID($A147,5,1)="C"))</formula>
    </cfRule>
    <cfRule type="expression" dxfId="672" priority="195">
      <formula>IF($V147&lt;&gt;0,AND(MID($A147,5,1)="D"))</formula>
    </cfRule>
  </conditionalFormatting>
  <conditionalFormatting sqref="A148">
    <cfRule type="expression" dxfId="671" priority="190">
      <formula>IF($V148&lt;&gt;0,AND(MID($A148,5,1)=" "))</formula>
    </cfRule>
    <cfRule type="expression" dxfId="670" priority="191">
      <formula>IF($V148&lt;&gt;0,AND(MID($A148,5,1)="C"))</formula>
    </cfRule>
    <cfRule type="expression" dxfId="669" priority="192">
      <formula>IF($V148&lt;&gt;0,AND(MID($A148,5,1)="D"))</formula>
    </cfRule>
  </conditionalFormatting>
  <conditionalFormatting sqref="A149">
    <cfRule type="expression" dxfId="668" priority="187">
      <formula>IF($V149&lt;&gt;0,AND(MID($A149,5,1)=" "))</formula>
    </cfRule>
    <cfRule type="expression" dxfId="667" priority="188">
      <formula>IF($V149&lt;&gt;0,AND(MID($A149,5,1)="C"))</formula>
    </cfRule>
    <cfRule type="expression" dxfId="666" priority="189">
      <formula>IF($V149&lt;&gt;0,AND(MID($A149,5,1)="D"))</formula>
    </cfRule>
  </conditionalFormatting>
  <conditionalFormatting sqref="A150">
    <cfRule type="expression" dxfId="665" priority="184">
      <formula>IF($V150&lt;&gt;0,AND(MID($A150,5,1)=" "))</formula>
    </cfRule>
    <cfRule type="expression" dxfId="664" priority="185">
      <formula>IF($V150&lt;&gt;0,AND(MID($A150,5,1)="C"))</formula>
    </cfRule>
    <cfRule type="expression" dxfId="663" priority="186">
      <formula>IF($V150&lt;&gt;0,AND(MID($A150,5,1)="D"))</formula>
    </cfRule>
  </conditionalFormatting>
  <conditionalFormatting sqref="A151">
    <cfRule type="expression" dxfId="662" priority="181">
      <formula>IF($V151&lt;&gt;0,AND(MID($A151,5,1)=" "))</formula>
    </cfRule>
    <cfRule type="expression" dxfId="661" priority="182">
      <formula>IF($V151&lt;&gt;0,AND(MID($A151,5,1)="C"))</formula>
    </cfRule>
    <cfRule type="expression" dxfId="660" priority="183">
      <formula>IF($V151&lt;&gt;0,AND(MID($A151,5,1)="D"))</formula>
    </cfRule>
  </conditionalFormatting>
  <conditionalFormatting sqref="A152">
    <cfRule type="expression" dxfId="659" priority="178">
      <formula>IF($V152&lt;&gt;0,AND(MID($A152,5,1)=" "))</formula>
    </cfRule>
    <cfRule type="expression" dxfId="658" priority="179">
      <formula>IF($V152&lt;&gt;0,AND(MID($A152,5,1)="C"))</formula>
    </cfRule>
    <cfRule type="expression" dxfId="657" priority="180">
      <formula>IF($V152&lt;&gt;0,AND(MID($A152,5,1)="D"))</formula>
    </cfRule>
  </conditionalFormatting>
  <conditionalFormatting sqref="A153">
    <cfRule type="expression" dxfId="656" priority="175">
      <formula>IF($V153&lt;&gt;0,AND(MID($A153,5,1)=" "))</formula>
    </cfRule>
    <cfRule type="expression" dxfId="655" priority="176">
      <formula>IF($V153&lt;&gt;0,AND(MID($A153,5,1)="C"))</formula>
    </cfRule>
    <cfRule type="expression" dxfId="654" priority="177">
      <formula>IF($V153&lt;&gt;0,AND(MID($A153,5,1)="D"))</formula>
    </cfRule>
  </conditionalFormatting>
  <conditionalFormatting sqref="A154">
    <cfRule type="expression" dxfId="653" priority="172">
      <formula>IF($V154&lt;&gt;0,AND(MID($A154,5,1)=" "))</formula>
    </cfRule>
    <cfRule type="expression" dxfId="652" priority="173">
      <formula>IF($V154&lt;&gt;0,AND(MID($A154,5,1)="C"))</formula>
    </cfRule>
    <cfRule type="expression" dxfId="651" priority="174">
      <formula>IF($V154&lt;&gt;0,AND(MID($A154,5,1)="D"))</formula>
    </cfRule>
  </conditionalFormatting>
  <conditionalFormatting sqref="A155">
    <cfRule type="expression" dxfId="650" priority="169">
      <formula>IF($V155&lt;&gt;0,AND(MID($A155,5,1)=" "))</formula>
    </cfRule>
    <cfRule type="expression" dxfId="649" priority="170">
      <formula>IF($V155&lt;&gt;0,AND(MID($A155,5,1)="C"))</formula>
    </cfRule>
    <cfRule type="expression" dxfId="648" priority="171">
      <formula>IF($V155&lt;&gt;0,AND(MID($A155,5,1)="D"))</formula>
    </cfRule>
  </conditionalFormatting>
  <conditionalFormatting sqref="A156">
    <cfRule type="expression" dxfId="647" priority="166">
      <formula>IF($V156&lt;&gt;0,AND(MID($A156,5,1)=" "))</formula>
    </cfRule>
    <cfRule type="expression" dxfId="646" priority="167">
      <formula>IF($V156&lt;&gt;0,AND(MID($A156,5,1)="C"))</formula>
    </cfRule>
    <cfRule type="expression" dxfId="645" priority="168">
      <formula>IF($V156&lt;&gt;0,AND(MID($A156,5,1)="D"))</formula>
    </cfRule>
  </conditionalFormatting>
  <conditionalFormatting sqref="A157">
    <cfRule type="expression" dxfId="644" priority="163">
      <formula>IF($V157&lt;&gt;0,AND(MID($A157,5,1)=" "))</formula>
    </cfRule>
    <cfRule type="expression" dxfId="643" priority="164">
      <formula>IF($V157&lt;&gt;0,AND(MID($A157,5,1)="C"))</formula>
    </cfRule>
    <cfRule type="expression" dxfId="642" priority="165">
      <formula>IF($V157&lt;&gt;0,AND(MID($A157,5,1)="D"))</formula>
    </cfRule>
  </conditionalFormatting>
  <conditionalFormatting sqref="A158">
    <cfRule type="expression" dxfId="641" priority="160">
      <formula>IF($V158&lt;&gt;0,AND(MID($A158,5,1)=" "))</formula>
    </cfRule>
    <cfRule type="expression" dxfId="640" priority="161">
      <formula>IF($V158&lt;&gt;0,AND(MID($A158,5,1)="C"))</formula>
    </cfRule>
    <cfRule type="expression" dxfId="639" priority="162">
      <formula>IF($V158&lt;&gt;0,AND(MID($A158,5,1)="D"))</formula>
    </cfRule>
  </conditionalFormatting>
  <conditionalFormatting sqref="A159">
    <cfRule type="expression" dxfId="638" priority="157">
      <formula>IF($V159&lt;&gt;0,AND(MID($A159,5,1)=" "))</formula>
    </cfRule>
    <cfRule type="expression" dxfId="637" priority="158">
      <formula>IF($V159&lt;&gt;0,AND(MID($A159,5,1)="C"))</formula>
    </cfRule>
    <cfRule type="expression" dxfId="636" priority="159">
      <formula>IF($V159&lt;&gt;0,AND(MID($A159,5,1)="D"))</formula>
    </cfRule>
  </conditionalFormatting>
  <conditionalFormatting sqref="A160">
    <cfRule type="expression" dxfId="635" priority="154">
      <formula>IF($V160&lt;&gt;0,AND(MID($A160,5,1)=" "))</formula>
    </cfRule>
    <cfRule type="expression" dxfId="634" priority="155">
      <formula>IF($V160&lt;&gt;0,AND(MID($A160,5,1)="C"))</formula>
    </cfRule>
    <cfRule type="expression" dxfId="633" priority="156">
      <formula>IF($V160&lt;&gt;0,AND(MID($A160,5,1)="D"))</formula>
    </cfRule>
  </conditionalFormatting>
  <conditionalFormatting sqref="A161">
    <cfRule type="expression" dxfId="632" priority="151">
      <formula>IF($V161&lt;&gt;0,AND(MID($A161,5,1)=" "))</formula>
    </cfRule>
    <cfRule type="expression" dxfId="631" priority="152">
      <formula>IF($V161&lt;&gt;0,AND(MID($A161,5,1)="C"))</formula>
    </cfRule>
    <cfRule type="expression" dxfId="630" priority="153">
      <formula>IF($V161&lt;&gt;0,AND(MID($A161,5,1)="D"))</formula>
    </cfRule>
  </conditionalFormatting>
  <conditionalFormatting sqref="A162">
    <cfRule type="expression" dxfId="629" priority="148">
      <formula>IF($V162&lt;&gt;0,AND(MID($A162,5,1)=" "))</formula>
    </cfRule>
    <cfRule type="expression" dxfId="628" priority="149">
      <formula>IF($V162&lt;&gt;0,AND(MID($A162,5,1)="C"))</formula>
    </cfRule>
    <cfRule type="expression" dxfId="627" priority="150">
      <formula>IF($V162&lt;&gt;0,AND(MID($A162,5,1)="D"))</formula>
    </cfRule>
  </conditionalFormatting>
  <conditionalFormatting sqref="A163">
    <cfRule type="expression" dxfId="626" priority="145">
      <formula>IF($V163&lt;&gt;0,AND(MID($A163,5,1)=" "))</formula>
    </cfRule>
    <cfRule type="expression" dxfId="625" priority="146">
      <formula>IF($V163&lt;&gt;0,AND(MID($A163,5,1)="C"))</formula>
    </cfRule>
    <cfRule type="expression" dxfId="624" priority="147">
      <formula>IF($V163&lt;&gt;0,AND(MID($A163,5,1)="D"))</formula>
    </cfRule>
  </conditionalFormatting>
  <conditionalFormatting sqref="A164">
    <cfRule type="expression" dxfId="623" priority="142">
      <formula>IF($V164&lt;&gt;0,AND(MID($A164,5,1)=" "))</formula>
    </cfRule>
    <cfRule type="expression" dxfId="622" priority="143">
      <formula>IF($V164&lt;&gt;0,AND(MID($A164,5,1)="C"))</formula>
    </cfRule>
    <cfRule type="expression" dxfId="621" priority="144">
      <formula>IF($V164&lt;&gt;0,AND(MID($A164,5,1)="D"))</formula>
    </cfRule>
  </conditionalFormatting>
  <conditionalFormatting sqref="A165">
    <cfRule type="expression" dxfId="620" priority="139">
      <formula>IF($V165&lt;&gt;0,AND(MID($A165,5,1)=" "))</formula>
    </cfRule>
    <cfRule type="expression" dxfId="619" priority="140">
      <formula>IF($V165&lt;&gt;0,AND(MID($A165,5,1)="C"))</formula>
    </cfRule>
    <cfRule type="expression" dxfId="618" priority="141">
      <formula>IF($V165&lt;&gt;0,AND(MID($A165,5,1)="D"))</formula>
    </cfRule>
  </conditionalFormatting>
  <conditionalFormatting sqref="A166 A172 A178 A184 A190 A196">
    <cfRule type="expression" dxfId="617" priority="136">
      <formula>IF($V166&lt;&gt;0,AND(MID($A166,5,1)=" "))</formula>
    </cfRule>
    <cfRule type="expression" dxfId="616" priority="137">
      <formula>IF($V166&lt;&gt;0,AND(MID($A166,5,1)="C"))</formula>
    </cfRule>
    <cfRule type="expression" dxfId="615" priority="138">
      <formula>IF($V166&lt;&gt;0,AND(MID($A166,5,1)="D"))</formula>
    </cfRule>
  </conditionalFormatting>
  <conditionalFormatting sqref="A167 A173 A179 A185 A191 A197">
    <cfRule type="expression" dxfId="614" priority="133">
      <formula>IF($V167&lt;&gt;0,AND(MID($A167,5,1)=" "))</formula>
    </cfRule>
    <cfRule type="expression" dxfId="613" priority="134">
      <formula>IF($V167&lt;&gt;0,AND(MID($A167,5,1)="C"))</formula>
    </cfRule>
    <cfRule type="expression" dxfId="612" priority="135">
      <formula>IF($V167&lt;&gt;0,AND(MID($A167,5,1)="D"))</formula>
    </cfRule>
  </conditionalFormatting>
  <conditionalFormatting sqref="A168 A174 A180 A186 A192 A198">
    <cfRule type="expression" dxfId="611" priority="130">
      <formula>IF($V168&lt;&gt;0,AND(MID($A168,5,1)=" "))</formula>
    </cfRule>
    <cfRule type="expression" dxfId="610" priority="131">
      <formula>IF($V168&lt;&gt;0,AND(MID($A168,5,1)="C"))</formula>
    </cfRule>
    <cfRule type="expression" dxfId="609" priority="132">
      <formula>IF($V168&lt;&gt;0,AND(MID($A168,5,1)="D"))</formula>
    </cfRule>
  </conditionalFormatting>
  <conditionalFormatting sqref="A169 A175 A181 A187 A193 A199">
    <cfRule type="expression" dxfId="608" priority="127">
      <formula>IF($V169&lt;&gt;0,AND(MID($A169,5,1)=" "))</formula>
    </cfRule>
    <cfRule type="expression" dxfId="607" priority="128">
      <formula>IF($V169&lt;&gt;0,AND(MID($A169,5,1)="C"))</formula>
    </cfRule>
    <cfRule type="expression" dxfId="606" priority="129">
      <formula>IF($V169&lt;&gt;0,AND(MID($A169,5,1)="D"))</formula>
    </cfRule>
  </conditionalFormatting>
  <conditionalFormatting sqref="A170 A176 A182 A188 A194 A200">
    <cfRule type="expression" dxfId="605" priority="124">
      <formula>IF($V170&lt;&gt;0,AND(MID($A170,5,1)=" "))</formula>
    </cfRule>
    <cfRule type="expression" dxfId="604" priority="125">
      <formula>IF($V170&lt;&gt;0,AND(MID($A170,5,1)="C"))</formula>
    </cfRule>
    <cfRule type="expression" dxfId="603" priority="126">
      <formula>IF($V170&lt;&gt;0,AND(MID($A170,5,1)="D"))</formula>
    </cfRule>
  </conditionalFormatting>
  <conditionalFormatting sqref="A171 A177 A183 A189 A195 A201">
    <cfRule type="expression" dxfId="602" priority="121">
      <formula>IF($V171&lt;&gt;0,AND(MID($A171,5,1)=" "))</formula>
    </cfRule>
    <cfRule type="expression" dxfId="601" priority="122">
      <formula>IF($V171&lt;&gt;0,AND(MID($A171,5,1)="C"))</formula>
    </cfRule>
    <cfRule type="expression" dxfId="600" priority="123">
      <formula>IF($V171&lt;&gt;0,AND(MID($A171,5,1)="D"))</formula>
    </cfRule>
  </conditionalFormatting>
  <conditionalFormatting sqref="B18">
    <cfRule type="expression" dxfId="599" priority="97">
      <formula>IF($Y21&gt;$Y18,AND(MID($A18,5,1)=" "))</formula>
    </cfRule>
    <cfRule type="expression" dxfId="598" priority="98">
      <formula>IF($Y21&gt;$Y18,AND(MID($A18,5,1)="C"))</formula>
    </cfRule>
    <cfRule type="expression" dxfId="597" priority="99">
      <formula>IF($Y21&gt;$Y18,AND(MID($A18,5,1)="D"))</formula>
    </cfRule>
  </conditionalFormatting>
  <conditionalFormatting sqref="E19">
    <cfRule type="expression" dxfId="596" priority="100">
      <formula>IF($Y21&gt;$Y18,AND(MID($A19,5,1)=" "))</formula>
    </cfRule>
    <cfRule type="expression" dxfId="595" priority="101">
      <formula>IF($Y21&gt;$Y18,AND(MID($A19,5,1)="C"))</formula>
    </cfRule>
    <cfRule type="expression" dxfId="594" priority="102">
      <formula>IF($Y21&gt;$Y18,AND(MID($A19,5,1)="D"))</formula>
    </cfRule>
  </conditionalFormatting>
  <conditionalFormatting sqref="B20">
    <cfRule type="expression" dxfId="593" priority="103">
      <formula>IF($Y21&gt;$Y18,AND(MID($A20,5,1)=" "))</formula>
    </cfRule>
    <cfRule type="expression" dxfId="592" priority="104">
      <formula>IF($Y21&gt;$Y18,AND(MID($A20,5,1)="C"))</formula>
    </cfRule>
    <cfRule type="expression" dxfId="591" priority="105">
      <formula>IF($Y21&gt;$Y18,AND(MID($A20,5,1)="D"))</formula>
    </cfRule>
  </conditionalFormatting>
  <conditionalFormatting sqref="E21">
    <cfRule type="expression" dxfId="590" priority="106">
      <formula>IF($Y21&gt;$Y18,AND(MID($A21,5,1)=" "))</formula>
    </cfRule>
    <cfRule type="expression" dxfId="589" priority="107">
      <formula>IF($Y21&gt;$Y18,AND(MID($A21,5,1)="C"))</formula>
    </cfRule>
    <cfRule type="expression" dxfId="588" priority="108">
      <formula>IF($Y21&gt;$Y18,AND(MID($A21,5,1)="D"))</formula>
    </cfRule>
  </conditionalFormatting>
  <conditionalFormatting sqref="C18">
    <cfRule type="expression" dxfId="587" priority="109">
      <formula>IF($Y21&gt;$Y18,AND(MID($A18,5,1)=" "))</formula>
    </cfRule>
    <cfRule type="expression" dxfId="586" priority="110">
      <formula>IF($Y21&gt;$Y18,AND(MID($A18,5,1)="C"))</formula>
    </cfRule>
    <cfRule type="expression" dxfId="585" priority="111">
      <formula>IF($Y21&gt;$Y18,AND(MID($A18,5,1)="D"))</formula>
    </cfRule>
  </conditionalFormatting>
  <conditionalFormatting sqref="D19">
    <cfRule type="expression" dxfId="584" priority="112">
      <formula>IF($Y21&gt;$Y18,AND(MID($A19,5,1)=" "))</formula>
    </cfRule>
    <cfRule type="expression" dxfId="583" priority="113">
      <formula>IF($Y21&gt;$Y18,AND(MID($A19,5,1)="C"))</formula>
    </cfRule>
    <cfRule type="expression" dxfId="582" priority="114">
      <formula>IF($Y21&gt;$Y18,AND(MID($A19,5,1)="D"))</formula>
    </cfRule>
  </conditionalFormatting>
  <conditionalFormatting sqref="D21">
    <cfRule type="expression" dxfId="581" priority="115">
      <formula>IF($Y21&gt;$Y18,AND(MID($A21,5,1)=" "))</formula>
    </cfRule>
    <cfRule type="expression" dxfId="580" priority="116">
      <formula>IF($Y21&gt;$Y18,AND(MID($A21,5,1)="C"))</formula>
    </cfRule>
    <cfRule type="expression" dxfId="579" priority="117">
      <formula>IF($Y21&gt;$Y18,AND(MID($A21,5,1)="D"))</formula>
    </cfRule>
  </conditionalFormatting>
  <conditionalFormatting sqref="C20">
    <cfRule type="expression" dxfId="578" priority="118">
      <formula>IF($Y21&gt;$Y18,AND(MID($A20,5,1)=" "))</formula>
    </cfRule>
    <cfRule type="expression" dxfId="577" priority="119">
      <formula>IF($Y21&gt;$Y18,AND(MID($A20,5,1)="C"))</formula>
    </cfRule>
    <cfRule type="expression" dxfId="576" priority="120">
      <formula>IF($Y21&gt;$Y18,AND(MID($A20,5,1)="D"))</formula>
    </cfRule>
  </conditionalFormatting>
  <conditionalFormatting sqref="A19">
    <cfRule type="expression" dxfId="575" priority="91">
      <formula>IF($Y21&gt;$Y18,AND(MID($A19,5,1)=" "))</formula>
    </cfRule>
    <cfRule type="expression" dxfId="574" priority="92">
      <formula>IF($Y21&gt;$Y18,AND(MID($A19,5,1)="C"))</formula>
    </cfRule>
    <cfRule type="expression" dxfId="573" priority="93">
      <formula>IF($Y21&gt;$Y18,AND(MID($A19,5,1)="D"))</formula>
    </cfRule>
  </conditionalFormatting>
  <conditionalFormatting sqref="A20">
    <cfRule type="expression" dxfId="572" priority="94">
      <formula>IF($Y21&gt;$Y18,AND(MID($A20,5,1)=" "))</formula>
    </cfRule>
    <cfRule type="expression" dxfId="571" priority="95">
      <formula>IF($Y21&gt;$Y18,AND(MID($A20,5,1)="C"))</formula>
    </cfRule>
    <cfRule type="expression" dxfId="570" priority="96">
      <formula>IF($Y21&gt;$Y18,AND(MID($A20,5,1)="D"))</formula>
    </cfRule>
  </conditionalFormatting>
  <conditionalFormatting sqref="A21">
    <cfRule type="expression" dxfId="569" priority="88">
      <formula>IF($Y21&gt;$Y18,AND(MID($A21,5,1)=" "))</formula>
    </cfRule>
    <cfRule type="expression" dxfId="568" priority="89">
      <formula>IF($Y21&gt;$Y18,AND(MID($A21,5,1)="C"))</formula>
    </cfRule>
    <cfRule type="expression" dxfId="567" priority="90">
      <formula>IF($Y21&gt;$Y18,AND(MID($A21,5,1)="D"))</formula>
    </cfRule>
  </conditionalFormatting>
  <conditionalFormatting sqref="A18">
    <cfRule type="expression" dxfId="566" priority="85">
      <formula>IF($Y21&gt;$Y18,AND(MID($A18,5,1)=" "))</formula>
    </cfRule>
    <cfRule type="expression" dxfId="565" priority="86">
      <formula>IF($Y21&gt;$Y18,AND(MID($A18,5,1)="C"))</formula>
    </cfRule>
    <cfRule type="expression" dxfId="564" priority="87">
      <formula>IF($Y21&gt;$Y18,AND(MID($A18,5,1)="D"))</formula>
    </cfRule>
  </conditionalFormatting>
  <conditionalFormatting sqref="A11">
    <cfRule type="expression" dxfId="563" priority="79">
      <formula>IF($Y13&gt;$Y10,AND(MID($A11,5,1)=" "))</formula>
    </cfRule>
    <cfRule type="expression" dxfId="562" priority="80">
      <formula>IF($Y13&gt;$Y10,AND(MID($A11,5,1)="C"))</formula>
    </cfRule>
    <cfRule type="expression" dxfId="561" priority="81">
      <formula>IF($Y13&gt;$Y10,AND(MID($A11,5,1)="D"))</formula>
    </cfRule>
  </conditionalFormatting>
  <conditionalFormatting sqref="A12">
    <cfRule type="expression" dxfId="560" priority="82">
      <formula>IF($Y13&gt;$Y10,AND(MID($A12,5,1)=" "))</formula>
    </cfRule>
    <cfRule type="expression" dxfId="559" priority="83">
      <formula>IF($Y13&gt;$Y10,AND(MID($A12,5,1)="C"))</formula>
    </cfRule>
    <cfRule type="expression" dxfId="558" priority="84">
      <formula>IF($Y13&gt;$Y10,AND(MID($A12,5,1)="D"))</formula>
    </cfRule>
  </conditionalFormatting>
  <conditionalFormatting sqref="A13">
    <cfRule type="expression" dxfId="557" priority="76">
      <formula>IF($Y13&gt;$Y10,AND(MID($A13,5,1)=" "))</formula>
    </cfRule>
    <cfRule type="expression" dxfId="556" priority="77">
      <formula>IF($Y13&gt;$Y10,AND(MID($A13,5,1)="C"))</formula>
    </cfRule>
    <cfRule type="expression" dxfId="555" priority="78">
      <formula>IF($Y13&gt;$Y10,AND(MID($A13,5,1)="D"))</formula>
    </cfRule>
  </conditionalFormatting>
  <conditionalFormatting sqref="A10">
    <cfRule type="expression" dxfId="554" priority="73">
      <formula>IF($Y13&gt;$Y10,AND(MID($A10,5,1)=" "))</formula>
    </cfRule>
    <cfRule type="expression" dxfId="553" priority="74">
      <formula>IF($Y13&gt;$Y10,AND(MID($A10,5,1)="C"))</formula>
    </cfRule>
    <cfRule type="expression" dxfId="552" priority="75">
      <formula>IF($Y13&gt;$Y10,AND(MID($A10,5,1)="D"))</formula>
    </cfRule>
  </conditionalFormatting>
  <conditionalFormatting sqref="A7">
    <cfRule type="expression" dxfId="551" priority="67">
      <formula>IF($Y9&gt;$Y6,AND(MID($A7,5,1)=" "))</formula>
    </cfRule>
    <cfRule type="expression" dxfId="550" priority="68">
      <formula>IF($Y9&gt;$Y6,AND(MID($A7,5,1)="C"))</formula>
    </cfRule>
    <cfRule type="expression" dxfId="549" priority="69">
      <formula>IF($Y9&gt;$Y6,AND(MID($A7,5,1)="D"))</formula>
    </cfRule>
  </conditionalFormatting>
  <conditionalFormatting sqref="A8">
    <cfRule type="expression" dxfId="548" priority="70">
      <formula>IF($Y9&gt;$Y6,AND(MID($A8,5,1)=" "))</formula>
    </cfRule>
    <cfRule type="expression" dxfId="547" priority="71">
      <formula>IF($Y9&gt;$Y6,AND(MID($A8,5,1)="C"))</formula>
    </cfRule>
    <cfRule type="expression" dxfId="546" priority="72">
      <formula>IF($Y9&gt;$Y6,AND(MID($A8,5,1)="D"))</formula>
    </cfRule>
  </conditionalFormatting>
  <conditionalFormatting sqref="A9">
    <cfRule type="expression" dxfId="545" priority="64">
      <formula>IF($Y9&gt;$Y6,AND(MID($A9,5,1)=" "))</formula>
    </cfRule>
    <cfRule type="expression" dxfId="544" priority="65">
      <formula>IF($Y9&gt;$Y6,AND(MID($A9,5,1)="C"))</formula>
    </cfRule>
    <cfRule type="expression" dxfId="543" priority="66">
      <formula>IF($Y9&gt;$Y6,AND(MID($A9,5,1)="D"))</formula>
    </cfRule>
  </conditionalFormatting>
  <conditionalFormatting sqref="A6">
    <cfRule type="expression" dxfId="542" priority="61">
      <formula>IF($Y9&gt;$Y6,AND(MID($A6,5,1)=" "))</formula>
    </cfRule>
    <cfRule type="expression" dxfId="541" priority="62">
      <formula>IF($Y9&gt;$Y6,AND(MID($A6,5,1)="C"))</formula>
    </cfRule>
    <cfRule type="expression" dxfId="540" priority="63">
      <formula>IF($Y9&gt;$Y6,AND(MID($A6,5,1)="D"))</formula>
    </cfRule>
  </conditionalFormatting>
  <conditionalFormatting sqref="A3">
    <cfRule type="expression" dxfId="539" priority="55">
      <formula>IF($Y5&gt;$Y2,AND(MID($A3,5,1)=" "))</formula>
    </cfRule>
    <cfRule type="expression" dxfId="538" priority="56">
      <formula>IF($Y5&gt;$Y2,AND(MID($A3,5,1)="C"))</formula>
    </cfRule>
    <cfRule type="expression" dxfId="537" priority="57">
      <formula>IF($Y5&gt;$Y2,AND(MID($A3,5,1)="D"))</formula>
    </cfRule>
  </conditionalFormatting>
  <conditionalFormatting sqref="A4">
    <cfRule type="expression" dxfId="536" priority="58">
      <formula>IF($Y5&gt;$Y2,AND(MID($A4,5,1)=" "))</formula>
    </cfRule>
    <cfRule type="expression" dxfId="535" priority="59">
      <formula>IF($Y5&gt;$Y2,AND(MID($A4,5,1)="C"))</formula>
    </cfRule>
    <cfRule type="expression" dxfId="534" priority="60">
      <formula>IF($Y5&gt;$Y2,AND(MID($A4,5,1)="D"))</formula>
    </cfRule>
  </conditionalFormatting>
  <conditionalFormatting sqref="A5">
    <cfRule type="expression" dxfId="533" priority="52">
      <formula>IF($Y5&gt;$Y2,AND(MID($A5,5,1)=" "))</formula>
    </cfRule>
    <cfRule type="expression" dxfId="532" priority="53">
      <formula>IF($Y5&gt;$Y2,AND(MID($A5,5,1)="C"))</formula>
    </cfRule>
    <cfRule type="expression" dxfId="531" priority="54">
      <formula>IF($Y5&gt;$Y2,AND(MID($A5,5,1)="D"))</formula>
    </cfRule>
  </conditionalFormatting>
  <conditionalFormatting sqref="A2">
    <cfRule type="expression" dxfId="530" priority="49">
      <formula>IF($Y5&gt;$Y2,AND(MID($A2,5,1)=" "))</formula>
    </cfRule>
    <cfRule type="expression" dxfId="529" priority="50">
      <formula>IF($Y5&gt;$Y2,AND(MID($A2,5,1)="C"))</formula>
    </cfRule>
    <cfRule type="expression" dxfId="528" priority="51">
      <formula>IF($Y5&gt;$Y2,AND(MID($A2,5,1)="D"))</formula>
    </cfRule>
  </conditionalFormatting>
  <conditionalFormatting sqref="M30:M3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527" priority="22">
      <formula>IF($Y25&gt;$Y22,AND(MID($A22,5,1)=" "))</formula>
    </cfRule>
    <cfRule type="expression" dxfId="526" priority="23">
      <formula>IF($Y25&gt;$Y22,AND(MID($A22,5,1)="C"))</formula>
    </cfRule>
    <cfRule type="expression" dxfId="525" priority="24">
      <formula>IF($Y25&gt;$Y22,AND(MID($A22,5,1)="D"))</formula>
    </cfRule>
  </conditionalFormatting>
  <conditionalFormatting sqref="E23">
    <cfRule type="expression" dxfId="524" priority="25">
      <formula>IF($Y25&gt;$Y22,AND(MID($A23,5,1)=" "))</formula>
    </cfRule>
    <cfRule type="expression" dxfId="523" priority="26">
      <formula>IF($Y25&gt;$Y22,AND(MID($A23,5,1)="C"))</formula>
    </cfRule>
    <cfRule type="expression" dxfId="522" priority="27">
      <formula>IF($Y25&gt;$Y22,AND(MID($A23,5,1)="D"))</formula>
    </cfRule>
  </conditionalFormatting>
  <conditionalFormatting sqref="B24">
    <cfRule type="expression" dxfId="521" priority="28">
      <formula>IF($Y25&gt;$Y22,AND(MID($A24,5,1)=" "))</formula>
    </cfRule>
    <cfRule type="expression" dxfId="520" priority="29">
      <formula>IF($Y25&gt;$Y22,AND(MID($A24,5,1)="C"))</formula>
    </cfRule>
    <cfRule type="expression" dxfId="519" priority="30">
      <formula>IF($Y25&gt;$Y22,AND(MID($A24,5,1)="D"))</formula>
    </cfRule>
  </conditionalFormatting>
  <conditionalFormatting sqref="E25">
    <cfRule type="expression" dxfId="518" priority="31">
      <formula>IF($Y25&gt;$Y22,AND(MID($A25,5,1)=" "))</formula>
    </cfRule>
    <cfRule type="expression" dxfId="517" priority="32">
      <formula>IF($Y25&gt;$Y22,AND(MID($A25,5,1)="C"))</formula>
    </cfRule>
    <cfRule type="expression" dxfId="516" priority="33">
      <formula>IF($Y25&gt;$Y22,AND(MID($A25,5,1)="D"))</formula>
    </cfRule>
  </conditionalFormatting>
  <conditionalFormatting sqref="C22">
    <cfRule type="expression" dxfId="515" priority="34">
      <formula>IF($Y25&gt;$Y22,AND(MID($A22,5,1)=" "))</formula>
    </cfRule>
    <cfRule type="expression" dxfId="514" priority="35">
      <formula>IF($Y25&gt;$Y22,AND(MID($A22,5,1)="C"))</formula>
    </cfRule>
    <cfRule type="expression" dxfId="513" priority="36">
      <formula>IF($Y25&gt;$Y22,AND(MID($A22,5,1)="D"))</formula>
    </cfRule>
  </conditionalFormatting>
  <conditionalFormatting sqref="D23">
    <cfRule type="expression" dxfId="512" priority="37">
      <formula>IF($Y25&gt;$Y22,AND(MID($A23,5,1)=" "))</formula>
    </cfRule>
    <cfRule type="expression" dxfId="511" priority="38">
      <formula>IF($Y25&gt;$Y22,AND(MID($A23,5,1)="C"))</formula>
    </cfRule>
    <cfRule type="expression" dxfId="510" priority="39">
      <formula>IF($Y25&gt;$Y22,AND(MID($A23,5,1)="D"))</formula>
    </cfRule>
  </conditionalFormatting>
  <conditionalFormatting sqref="D25">
    <cfRule type="expression" dxfId="509" priority="40">
      <formula>IF($Y25&gt;$Y22,AND(MID($A25,5,1)=" "))</formula>
    </cfRule>
    <cfRule type="expression" dxfId="508" priority="41">
      <formula>IF($Y25&gt;$Y22,AND(MID($A25,5,1)="C"))</formula>
    </cfRule>
    <cfRule type="expression" dxfId="507" priority="42">
      <formula>IF($Y25&gt;$Y22,AND(MID($A25,5,1)="D"))</formula>
    </cfRule>
  </conditionalFormatting>
  <conditionalFormatting sqref="C24">
    <cfRule type="expression" dxfId="506" priority="43">
      <formula>IF($Y25&gt;$Y22,AND(MID($A24,5,1)=" "))</formula>
    </cfRule>
    <cfRule type="expression" dxfId="505" priority="44">
      <formula>IF($Y25&gt;$Y22,AND(MID($A24,5,1)="C"))</formula>
    </cfRule>
    <cfRule type="expression" dxfId="504" priority="45">
      <formula>IF($Y25&gt;$Y22,AND(MID($A24,5,1)="D"))</formula>
    </cfRule>
  </conditionalFormatting>
  <conditionalFormatting sqref="A23">
    <cfRule type="expression" dxfId="503" priority="16">
      <formula>IF($Y25&gt;$Y22,AND(MID($A23,5,1)=" "))</formula>
    </cfRule>
    <cfRule type="expression" dxfId="502" priority="17">
      <formula>IF($Y25&gt;$Y22,AND(MID($A23,5,1)="C"))</formula>
    </cfRule>
    <cfRule type="expression" dxfId="501" priority="18">
      <formula>IF($Y25&gt;$Y22,AND(MID($A23,5,1)="D"))</formula>
    </cfRule>
  </conditionalFormatting>
  <conditionalFormatting sqref="A24">
    <cfRule type="expression" dxfId="500" priority="19">
      <formula>IF($Y25&gt;$Y22,AND(MID($A24,5,1)=" "))</formula>
    </cfRule>
    <cfRule type="expression" dxfId="499" priority="20">
      <formula>IF($Y25&gt;$Y22,AND(MID($A24,5,1)="C"))</formula>
    </cfRule>
    <cfRule type="expression" dxfId="498" priority="21">
      <formula>IF($Y25&gt;$Y22,AND(MID($A24,5,1)="D"))</formula>
    </cfRule>
  </conditionalFormatting>
  <conditionalFormatting sqref="A25">
    <cfRule type="expression" dxfId="497" priority="13">
      <formula>IF($Y25&gt;$Y22,AND(MID($A25,5,1)=" "))</formula>
    </cfRule>
    <cfRule type="expression" dxfId="496" priority="14">
      <formula>IF($Y25&gt;$Y22,AND(MID($A25,5,1)="C"))</formula>
    </cfRule>
    <cfRule type="expression" dxfId="495" priority="15">
      <formula>IF($Y25&gt;$Y22,AND(MID($A25,5,1)="D"))</formula>
    </cfRule>
  </conditionalFormatting>
  <conditionalFormatting sqref="A22">
    <cfRule type="expression" dxfId="494" priority="10">
      <formula>IF($Y25&gt;$Y22,AND(MID($A22,5,1)=" "))</formula>
    </cfRule>
    <cfRule type="expression" dxfId="493" priority="11">
      <formula>IF($Y25&gt;$Y22,AND(MID($A22,5,1)="C"))</formula>
    </cfRule>
    <cfRule type="expression" dxfId="492" priority="12">
      <formula>IF($Y25&gt;$Y22,AND(MID($A22,5,1)="D"))</formula>
    </cfRule>
  </conditionalFormatting>
  <conditionalFormatting sqref="Y17">
    <cfRule type="expression" dxfId="491" priority="7">
      <formula>IF($Y17&gt;$Y14,AND(MID($A17,5,1)=" "))</formula>
    </cfRule>
    <cfRule type="expression" dxfId="490" priority="8">
      <formula>IF($Y17&gt;$Y14,AND(MID($A17,5,1)="C"))</formula>
    </cfRule>
    <cfRule type="expression" dxfId="489" priority="9">
      <formula>IF($Y17&gt;$Y14,AND(MID($A17,5,1)="D"))</formula>
    </cfRule>
    <cfRule type="cellIs" dxfId="488" priority="3" operator="equal">
      <formula>0</formula>
    </cfRule>
  </conditionalFormatting>
  <conditionalFormatting sqref="Y21">
    <cfRule type="cellIs" dxfId="487" priority="2" operator="equal">
      <formula>0</formula>
    </cfRule>
  </conditionalFormatting>
  <conditionalFormatting sqref="Y25">
    <cfRule type="cellIs" dxfId="486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M1" zoomScale="80" zoomScaleNormal="80" workbookViewId="0">
      <selection activeCell="V14" sqref="V1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49" t="s">
        <v>610</v>
      </c>
      <c r="W2" s="473" t="s">
        <v>355</v>
      </c>
      <c r="X2" s="474" t="s">
        <v>356</v>
      </c>
      <c r="Y2" s="473" t="s">
        <v>357</v>
      </c>
      <c r="Z2" s="249" t="s">
        <v>610</v>
      </c>
      <c r="AA2" s="485" t="s">
        <v>358</v>
      </c>
      <c r="AB2" s="484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49" t="s">
        <v>610</v>
      </c>
      <c r="AI2" s="473" t="s">
        <v>355</v>
      </c>
      <c r="AJ2" s="474" t="s">
        <v>356</v>
      </c>
      <c r="AK2" s="473" t="s">
        <v>357</v>
      </c>
      <c r="AL2" s="249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34" t="s">
        <v>401</v>
      </c>
      <c r="B3" s="203">
        <v>17</v>
      </c>
      <c r="C3" s="200">
        <v>3150</v>
      </c>
      <c r="D3" s="446">
        <v>68</v>
      </c>
      <c r="E3" s="447">
        <f t="shared" ref="E3:E72" si="0">+B3*D3*-100</f>
        <v>-115600</v>
      </c>
      <c r="F3" s="448">
        <f t="shared" ref="F3:F34" si="1">IF(B3&gt;0,+B3*D3*(1+($N$53+0.002)*1.21)*-100,B3*D3*(1-($N$53+0.002)*1.21)*-100)</f>
        <v>-116607.1072</v>
      </c>
      <c r="G3" s="202">
        <f t="shared" ref="G3:G37" si="2">IFERROR(VLOOKUP(C3,$R$3:$AA$50,7,0),"")</f>
        <v>24</v>
      </c>
      <c r="H3" s="452">
        <f>IFERROR(+G3*B3*-100,0)</f>
        <v>-40800</v>
      </c>
      <c r="I3" s="453">
        <f t="shared" ref="I3:I72" si="3">+IF(G3="",0,(F3-H3))</f>
        <v>-75807.107199999999</v>
      </c>
      <c r="J3" s="62"/>
      <c r="K3" s="106"/>
      <c r="L3" s="612">
        <f t="shared" ref="L3:L17" si="4">+L4*(1-$N$42)</f>
        <v>1778.1693390961038</v>
      </c>
      <c r="M3" s="475">
        <f t="shared" ref="M3:M34" si="5">ET3</f>
        <v>-25366.69</v>
      </c>
      <c r="N3" s="475">
        <f t="shared" ref="N3:N34" ca="1" si="6">GK3</f>
        <v>-25366.69</v>
      </c>
      <c r="O3" s="62"/>
      <c r="P3" s="198">
        <f>IF(R3="","-",(R3+X3)-$L$18)</f>
        <v>193</v>
      </c>
      <c r="Q3" s="444">
        <f t="shared" ref="Q3:Q17" si="7">SUMIFS(B$3:B$37,C$3:C$37,R3)</f>
        <v>5</v>
      </c>
      <c r="R3" s="443">
        <v>2900</v>
      </c>
      <c r="S3" s="437">
        <f ca="1">IFERROR((NORMSDIST(((LN($L$18/$R3)+($N$48+($N$46^2)/2)*$N$51)/($N$46*SQRT($N$51))))*$L$18-NORMSDIST((((LN($L$18/$R3)+($N$48+($N$46^2)/2)*$N$51)/($N$46*SQRT($N$51)))-$N$46*SQRT(($N$51))))*$R3*EXP(-$N$48*$N$51)),0)</f>
        <v>130.6729916557108</v>
      </c>
      <c r="T3" s="34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40">
        <f>IFERROR(VLOOKUP($U3,HomeBroker!$A$30:$F$60,2,0),0)</f>
        <v>86</v>
      </c>
      <c r="W3" s="440">
        <f>IFERROR(VLOOKUP($U3,HomeBroker!$A$30:$F$60,3,0),0)</f>
        <v>99</v>
      </c>
      <c r="X3" s="610">
        <f>IFERROR(VLOOKUP($U3,HomeBroker!$A$30:$F$60,6,0),0)</f>
        <v>101</v>
      </c>
      <c r="Y3" s="439">
        <f>IFERROR(VLOOKUP($U3,HomeBroker!$A$30:$F$60,4,0),0)</f>
        <v>101.9</v>
      </c>
      <c r="Z3" s="340">
        <f>IFERROR(VLOOKUP($U3,HomeBroker!$A$30:$F$60,5,0),0)</f>
        <v>10</v>
      </c>
      <c r="AA3" s="343">
        <f>IFERROR(VLOOKUP($U3,HomeBroker!$A$30:$N$60,13,0),0)</f>
        <v>6034</v>
      </c>
      <c r="AB3" s="199">
        <f>IF(AD3="","-",(AD3-AJ3)-$L$18)</f>
        <v>-788.83899999999994</v>
      </c>
      <c r="AC3" s="445">
        <f t="shared" ref="AC3:AC17" si="9">SUMIFS(B$38:B$72,C$38:C$72,AD3)</f>
        <v>0</v>
      </c>
      <c r="AD3" s="443">
        <v>2020</v>
      </c>
      <c r="AE3" s="438">
        <f ca="1">IFERROR((NORMSDIST(-(((LN($L$18/$AD3)+($N$48+($N$47^2)/2)*$N$51)/($N$47*SQRT($N$51)))-$N$47*SQRT($N$51)))*$AD3*EXP(-$N$48*$N$51)-NORMSDIST(-((LN($L$18/$AD3)+($N$48+($N$47^2)/2)*$N$51)/($N$47*SQRT($N$51))))*$L$18),0)</f>
        <v>0.7963867125765276</v>
      </c>
      <c r="AF3" s="34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402">
        <f>IFERROR(VLOOKUP($AG3,HomeBroker!$A$30:$F$60,2,0),0)</f>
        <v>18</v>
      </c>
      <c r="AI3" s="440">
        <f>IFERROR(VLOOKUP($AG3,HomeBroker!$A$30:$F$60,3,0),0)</f>
        <v>0.62</v>
      </c>
      <c r="AJ3" s="610">
        <f>IFERROR(VLOOKUP($AG3,HomeBroker!$A$30:$F$60,6,0),0)</f>
        <v>0.83899999999999997</v>
      </c>
      <c r="AK3" s="440">
        <f>IFERROR(VLOOKUP($AG3,HomeBroker!$A$30:$F$60,4,0),0)</f>
        <v>0.83899999999999997</v>
      </c>
      <c r="AL3" s="402">
        <f>IFERROR(VLOOKUP($AG3,HomeBroker!$A$30:$F$60,5,0),0)</f>
        <v>43</v>
      </c>
      <c r="AM3" s="441">
        <f>IFERROR(VLOOKUP($AG3,HomeBroker!$A$30:$N$60,13,0),0)</f>
        <v>1524</v>
      </c>
      <c r="AN3" s="62"/>
      <c r="AO3" s="198">
        <f>IF(OR(R3="",X3=0,AJ3=0),"-",R3+X3-AJ3-$L$18)</f>
        <v>192.16100000000006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1778.1693390961038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-25366.692800000019</v>
      </c>
      <c r="ES3" s="122"/>
      <c r="ET3" s="123">
        <f t="shared" ref="ET3:ET34" si="54">ROUND($ER$3+EP3+ET36+ET70+ET103,2)</f>
        <v>-25366.69</v>
      </c>
      <c r="EU3" s="72"/>
      <c r="EV3" s="117">
        <f t="shared" ref="EV3:EV34" si="55">$L3</f>
        <v>1778.1693390961038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-25366.692800000019</v>
      </c>
      <c r="GJ3" s="122"/>
      <c r="GK3" s="123">
        <f t="shared" ref="GK3:GK34" ca="1" si="57">ROUND($GI$3+GG3+GK36+GK70+GK103,2)</f>
        <v>-25366.69</v>
      </c>
    </row>
    <row r="4" spans="1:193" ht="15">
      <c r="A4" s="434" t="s">
        <v>401</v>
      </c>
      <c r="B4" s="203">
        <v>-17</v>
      </c>
      <c r="C4" s="200">
        <v>3300</v>
      </c>
      <c r="D4" s="446">
        <v>34</v>
      </c>
      <c r="E4" s="447">
        <f t="shared" si="0"/>
        <v>57800</v>
      </c>
      <c r="F4" s="448">
        <f t="shared" si="1"/>
        <v>57296.446400000001</v>
      </c>
      <c r="G4" s="202">
        <f t="shared" si="2"/>
        <v>12.5</v>
      </c>
      <c r="H4" s="452">
        <f t="shared" ref="H4:H67" si="58">IFERROR(+G4*B4*-100,0)</f>
        <v>21250</v>
      </c>
      <c r="I4" s="453">
        <f t="shared" si="3"/>
        <v>36046.446400000001</v>
      </c>
      <c r="J4" s="62"/>
      <c r="K4" s="106"/>
      <c r="L4" s="613">
        <f t="shared" si="4"/>
        <v>1833.1642671093855</v>
      </c>
      <c r="M4" s="476">
        <f t="shared" si="5"/>
        <v>-25366.69</v>
      </c>
      <c r="N4" s="476">
        <f t="shared" ca="1" si="6"/>
        <v>-25366.69</v>
      </c>
      <c r="O4" s="62"/>
      <c r="P4" s="198">
        <f t="shared" ref="P4:P42" si="59">IF(R4="","-",(R4+X4)-$L$18)</f>
        <v>253.5</v>
      </c>
      <c r="Q4" s="444">
        <f t="shared" si="7"/>
        <v>-8</v>
      </c>
      <c r="R4" s="443">
        <v>3000</v>
      </c>
      <c r="S4" s="43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90.612104758393798</v>
      </c>
      <c r="T4" s="34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40">
        <f>IFERROR(VLOOKUP($U4,HomeBroker!$A$30:$F$60,2,0),0)</f>
        <v>78</v>
      </c>
      <c r="W4" s="440">
        <f>IFERROR(VLOOKUP($U4,HomeBroker!$A$30:$F$60,3,0),0)</f>
        <v>61.5</v>
      </c>
      <c r="X4" s="610">
        <f>IFERROR(VLOOKUP($U4,HomeBroker!$A$30:$F$60,6,0),0)</f>
        <v>61.5</v>
      </c>
      <c r="Y4" s="439">
        <f>IFERROR(VLOOKUP($U4,HomeBroker!$A$30:$F$60,4,0),0)</f>
        <v>61.6</v>
      </c>
      <c r="Z4" s="340">
        <f>IFERROR(VLOOKUP($U4,HomeBroker!$A$30:$F$60,5,0),0)</f>
        <v>5</v>
      </c>
      <c r="AA4" s="343">
        <f>IFERROR(VLOOKUP($U4,HomeBroker!$A$30:$N$60,13,0),0)</f>
        <v>41266</v>
      </c>
      <c r="AB4" s="199">
        <f t="shared" ref="AB4:AB42" si="63">IF(AD4="","-",(AD4-AJ4)-$L$18)</f>
        <v>-709.01099999999997</v>
      </c>
      <c r="AC4" s="445">
        <f t="shared" si="9"/>
        <v>0</v>
      </c>
      <c r="AD4" s="443">
        <v>2100</v>
      </c>
      <c r="AE4" s="43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1.772599581904089</v>
      </c>
      <c r="AF4" s="34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402">
        <f>IFERROR(VLOOKUP($AG4,HomeBroker!$A$30:$F$60,2,0),0)</f>
        <v>18</v>
      </c>
      <c r="AI4" s="440">
        <f>IFERROR(VLOOKUP($AG4,HomeBroker!$A$30:$F$60,3,0),0)</f>
        <v>1.0109999999999999</v>
      </c>
      <c r="AJ4" s="610">
        <f>IFERROR(VLOOKUP($AG4,HomeBroker!$A$30:$F$60,6,0),0)</f>
        <v>1.0109999999999999</v>
      </c>
      <c r="AK4" s="440">
        <f>IFERROR(VLOOKUP($AG4,HomeBroker!$A$30:$F$60,4,0),0)</f>
        <v>1.45</v>
      </c>
      <c r="AL4" s="402">
        <f>IFERROR(VLOOKUP($AG4,HomeBroker!$A$30:$F$60,5,0),0)</f>
        <v>22</v>
      </c>
      <c r="AM4" s="442">
        <f>IFERROR(VLOOKUP($AG4,HomeBroker!$A$30:$N$60,13,0),0)</f>
        <v>2694</v>
      </c>
      <c r="AN4" s="62"/>
      <c r="AO4" s="198">
        <f t="shared" ref="AO4:AO42" si="67">IF(OR(R4="",X4=0,AJ4=0),"-",R4+X4-AJ4-$L$18)</f>
        <v>252.48900000000003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1833.1642671093855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-25366.69</v>
      </c>
      <c r="EU4" s="72"/>
      <c r="EV4" s="117">
        <f t="shared" si="55"/>
        <v>1833.1642671093855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-25366.69</v>
      </c>
    </row>
    <row r="5" spans="1:193" ht="15">
      <c r="A5" s="434" t="s">
        <v>401</v>
      </c>
      <c r="B5" s="203">
        <v>5</v>
      </c>
      <c r="C5" s="200">
        <v>2900</v>
      </c>
      <c r="D5" s="446">
        <v>200</v>
      </c>
      <c r="E5" s="447">
        <f t="shared" si="0"/>
        <v>-100000</v>
      </c>
      <c r="F5" s="448">
        <f t="shared" si="1"/>
        <v>-100871.20000000001</v>
      </c>
      <c r="G5" s="202">
        <f t="shared" si="2"/>
        <v>101</v>
      </c>
      <c r="H5" s="452">
        <f t="shared" si="58"/>
        <v>-50500</v>
      </c>
      <c r="I5" s="453">
        <f t="shared" si="3"/>
        <v>-50371.200000000012</v>
      </c>
      <c r="J5" s="62"/>
      <c r="K5" s="106"/>
      <c r="L5" s="613">
        <f t="shared" si="4"/>
        <v>1889.8600691849335</v>
      </c>
      <c r="M5" s="476">
        <f t="shared" si="5"/>
        <v>-25366.69</v>
      </c>
      <c r="N5" s="476">
        <f t="shared" ca="1" si="6"/>
        <v>-25366.69</v>
      </c>
      <c r="O5" s="62"/>
      <c r="P5" s="198">
        <f t="shared" si="59"/>
        <v>366</v>
      </c>
      <c r="Q5" s="444">
        <f t="shared" si="7"/>
        <v>17</v>
      </c>
      <c r="R5" s="443">
        <v>3150</v>
      </c>
      <c r="S5" s="437">
        <f t="shared" ca="1" si="60"/>
        <v>48.947009447455571</v>
      </c>
      <c r="T5" s="342" t="str">
        <f t="shared" si="61"/>
        <v>MERV - XMEV - GFGC3150AB - 24hs</v>
      </c>
      <c r="U5" s="342" t="str">
        <f t="shared" si="62"/>
        <v>GFGC3150AB</v>
      </c>
      <c r="V5" s="340">
        <f>IFERROR(VLOOKUP($U5,HomeBroker!$A$30:$F$60,2,0),0)</f>
        <v>4</v>
      </c>
      <c r="W5" s="440">
        <f>IFERROR(VLOOKUP($U5,HomeBroker!$A$30:$F$60,3,0),0)</f>
        <v>24.001000000000001</v>
      </c>
      <c r="X5" s="610">
        <f>IFERROR(VLOOKUP($U5,HomeBroker!$A$30:$F$60,6,0),0)</f>
        <v>24</v>
      </c>
      <c r="Y5" s="439">
        <f>IFERROR(VLOOKUP($U5,HomeBroker!$A$30:$F$60,4,0),0)</f>
        <v>25.8</v>
      </c>
      <c r="Z5" s="340">
        <f>IFERROR(VLOOKUP($U5,HomeBroker!$A$30:$F$60,5,0),0)</f>
        <v>5</v>
      </c>
      <c r="AA5" s="343">
        <f>IFERROR(VLOOKUP($U5,HomeBroker!$A$30:$N$60,13,0),0)</f>
        <v>7067</v>
      </c>
      <c r="AB5" s="199">
        <f t="shared" si="63"/>
        <v>-610.06899999999996</v>
      </c>
      <c r="AC5" s="445">
        <f t="shared" si="9"/>
        <v>0</v>
      </c>
      <c r="AD5" s="443">
        <v>2200</v>
      </c>
      <c r="AE5" s="438">
        <f t="shared" ca="1" si="64"/>
        <v>4.2794823821850372</v>
      </c>
      <c r="AF5" s="342" t="str">
        <f t="shared" si="65"/>
        <v>MERV - XMEV - GFGV2200AB - 24hs</v>
      </c>
      <c r="AG5" s="342" t="str">
        <f t="shared" si="66"/>
        <v>GFGV2200AB</v>
      </c>
      <c r="AH5" s="402">
        <f>IFERROR(VLOOKUP($AG5,HomeBroker!$A$30:$F$60,2,0),0)</f>
        <v>15</v>
      </c>
      <c r="AI5" s="440">
        <f>IFERROR(VLOOKUP($AG5,HomeBroker!$A$30:$F$60,3,0),0)</f>
        <v>1.7</v>
      </c>
      <c r="AJ5" s="610">
        <f>IFERROR(VLOOKUP($AG5,HomeBroker!$A$30:$F$60,6,0),0)</f>
        <v>2.069</v>
      </c>
      <c r="AK5" s="440">
        <f>IFERROR(VLOOKUP($AG5,HomeBroker!$A$30:$F$60,4,0),0)</f>
        <v>2.1</v>
      </c>
      <c r="AL5" s="402">
        <f>IFERROR(VLOOKUP($AG5,HomeBroker!$A$30:$F$60,5,0),0)</f>
        <v>110</v>
      </c>
      <c r="AM5" s="442">
        <f>IFERROR(VLOOKUP($AG5,HomeBroker!$A$30:$N$60,13,0),0)</f>
        <v>6323</v>
      </c>
      <c r="AN5" s="62"/>
      <c r="AO5" s="198">
        <f t="shared" si="67"/>
        <v>363.93100000000004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1889.8600691849335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-25366.69</v>
      </c>
      <c r="EU5" s="72"/>
      <c r="EV5" s="117">
        <f t="shared" si="55"/>
        <v>1889.8600691849335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-25366.69</v>
      </c>
    </row>
    <row r="6" spans="1:193" ht="15">
      <c r="A6" s="434" t="s">
        <v>401</v>
      </c>
      <c r="B6" s="203">
        <v>-8</v>
      </c>
      <c r="C6" s="200">
        <v>3000</v>
      </c>
      <c r="D6" s="446">
        <v>170</v>
      </c>
      <c r="E6" s="447">
        <f t="shared" si="0"/>
        <v>136000</v>
      </c>
      <c r="F6" s="448">
        <f t="shared" si="1"/>
        <v>134815.16800000001</v>
      </c>
      <c r="G6" s="202">
        <f t="shared" si="2"/>
        <v>61.5</v>
      </c>
      <c r="H6" s="452">
        <f t="shared" si="58"/>
        <v>49200</v>
      </c>
      <c r="I6" s="453">
        <f t="shared" si="3"/>
        <v>85615.168000000005</v>
      </c>
      <c r="J6" s="62"/>
      <c r="K6" s="106"/>
      <c r="L6" s="613">
        <f t="shared" si="4"/>
        <v>1948.3093496751892</v>
      </c>
      <c r="M6" s="477">
        <f t="shared" si="5"/>
        <v>-25366.69</v>
      </c>
      <c r="N6" s="477">
        <f t="shared" ca="1" si="6"/>
        <v>-25366.69</v>
      </c>
      <c r="O6" s="62"/>
      <c r="P6" s="198">
        <f t="shared" si="59"/>
        <v>504.5</v>
      </c>
      <c r="Q6" s="444">
        <f t="shared" si="7"/>
        <v>-17</v>
      </c>
      <c r="R6" s="443">
        <v>3300</v>
      </c>
      <c r="S6" s="437">
        <f t="shared" ca="1" si="60"/>
        <v>24.468117338889499</v>
      </c>
      <c r="T6" s="342" t="str">
        <f t="shared" si="61"/>
        <v>MERV - XMEV - GFGC3300AB - 24hs</v>
      </c>
      <c r="U6" s="342" t="str">
        <f t="shared" si="62"/>
        <v>GFGC3300AB</v>
      </c>
      <c r="V6" s="340">
        <f>IFERROR(VLOOKUP($U6,HomeBroker!$A$30:$F$60,2,0),0)</f>
        <v>15</v>
      </c>
      <c r="W6" s="440">
        <f>IFERROR(VLOOKUP($U6,HomeBroker!$A$30:$F$60,3,0),0)</f>
        <v>12.2</v>
      </c>
      <c r="X6" s="610">
        <f>IFERROR(VLOOKUP($U6,HomeBroker!$A$30:$F$60,6,0),0)</f>
        <v>12.5</v>
      </c>
      <c r="Y6" s="439">
        <f>IFERROR(VLOOKUP($U6,HomeBroker!$A$30:$F$60,4,0),0)</f>
        <v>12.9</v>
      </c>
      <c r="Z6" s="340">
        <f>IFERROR(VLOOKUP($U6,HomeBroker!$A$30:$F$60,5,0),0)</f>
        <v>98</v>
      </c>
      <c r="AA6" s="343">
        <f>IFERROR(VLOOKUP($U6,HomeBroker!$A$30:$N$60,13,0),0)</f>
        <v>7520</v>
      </c>
      <c r="AB6" s="199">
        <f t="shared" si="63"/>
        <v>-511.4989999999998</v>
      </c>
      <c r="AC6" s="445">
        <f t="shared" si="9"/>
        <v>0</v>
      </c>
      <c r="AD6" s="443">
        <v>2300</v>
      </c>
      <c r="AE6" s="438">
        <f t="shared" ca="1" si="64"/>
        <v>9.205308529287322</v>
      </c>
      <c r="AF6" s="342" t="str">
        <f t="shared" si="65"/>
        <v>MERV - XMEV - GFGV2300AB - 24hs</v>
      </c>
      <c r="AG6" s="342" t="str">
        <f t="shared" si="66"/>
        <v>GFGV2300AB</v>
      </c>
      <c r="AH6" s="402">
        <f>IFERROR(VLOOKUP($AG6,HomeBroker!$A$30:$F$60,2,0),0)</f>
        <v>22</v>
      </c>
      <c r="AI6" s="440">
        <f>IFERROR(VLOOKUP($AG6,HomeBroker!$A$30:$F$60,3,0),0)</f>
        <v>2.7</v>
      </c>
      <c r="AJ6" s="610">
        <f>IFERROR(VLOOKUP($AG6,HomeBroker!$A$30:$F$60,6,0),0)</f>
        <v>3.4990000000000001</v>
      </c>
      <c r="AK6" s="440">
        <f>IFERROR(VLOOKUP($AG6,HomeBroker!$A$30:$F$60,4,0),0)</f>
        <v>3.49</v>
      </c>
      <c r="AL6" s="402">
        <f>IFERROR(VLOOKUP($AG6,HomeBroker!$A$30:$F$60,5,0),0)</f>
        <v>50</v>
      </c>
      <c r="AM6" s="442">
        <f>IFERROR(VLOOKUP($AG6,HomeBroker!$A$30:$N$60,13,0),0)</f>
        <v>2730</v>
      </c>
      <c r="AN6" s="62"/>
      <c r="AO6" s="198">
        <f t="shared" si="67"/>
        <v>501.0010000000002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1948.3093496751892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-25366.69</v>
      </c>
      <c r="EU6" s="72"/>
      <c r="EV6" s="117">
        <f t="shared" si="55"/>
        <v>1948.3093496751892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-25366.69</v>
      </c>
    </row>
    <row r="7" spans="1:193" ht="15">
      <c r="A7" s="434" t="s">
        <v>401</v>
      </c>
      <c r="B7" s="203"/>
      <c r="C7" s="200"/>
      <c r="D7" s="446"/>
      <c r="E7" s="447">
        <f t="shared" si="0"/>
        <v>0</v>
      </c>
      <c r="F7" s="448">
        <f t="shared" si="1"/>
        <v>0</v>
      </c>
      <c r="G7" s="202" t="str">
        <f t="shared" si="2"/>
        <v/>
      </c>
      <c r="H7" s="452">
        <f t="shared" si="58"/>
        <v>0</v>
      </c>
      <c r="I7" s="453">
        <f t="shared" si="3"/>
        <v>0</v>
      </c>
      <c r="J7" s="62"/>
      <c r="K7" s="106">
        <f>IFERROR(-1+(L7/$L$18),"")</f>
        <v>-0.28469859691191979</v>
      </c>
      <c r="L7" s="613">
        <f t="shared" si="4"/>
        <v>2008.5663398713291</v>
      </c>
      <c r="M7" s="476">
        <f t="shared" si="5"/>
        <v>-25366.69</v>
      </c>
      <c r="N7" s="476">
        <f t="shared" ca="1" si="6"/>
        <v>-25366.69</v>
      </c>
      <c r="O7" s="62"/>
      <c r="P7" s="198">
        <f t="shared" si="59"/>
        <v>648.25</v>
      </c>
      <c r="Q7" s="444">
        <f t="shared" si="7"/>
        <v>0</v>
      </c>
      <c r="R7" s="443">
        <v>3450</v>
      </c>
      <c r="S7" s="437">
        <f t="shared" ca="1" si="60"/>
        <v>11.368219023880727</v>
      </c>
      <c r="T7" s="342" t="str">
        <f t="shared" si="61"/>
        <v>MERV - XMEV - GFGC3450AB - 24hs</v>
      </c>
      <c r="U7" s="342" t="str">
        <f t="shared" si="62"/>
        <v>GFGC3450AB</v>
      </c>
      <c r="V7" s="340">
        <f>IFERROR(VLOOKUP($U7,HomeBroker!$A$30:$F$60,2,0),0)</f>
        <v>160</v>
      </c>
      <c r="W7" s="440">
        <f>IFERROR(VLOOKUP($U7,HomeBroker!$A$30:$F$60,3,0),0)</f>
        <v>6.25</v>
      </c>
      <c r="X7" s="610">
        <f>IFERROR(VLOOKUP($U7,HomeBroker!$A$30:$F$60,6,0),0)</f>
        <v>6.25</v>
      </c>
      <c r="Y7" s="439">
        <f>IFERROR(VLOOKUP($U7,HomeBroker!$A$30:$F$60,4,0),0)</f>
        <v>6.7990000000000004</v>
      </c>
      <c r="Z7" s="340">
        <f>IFERROR(VLOOKUP($U7,HomeBroker!$A$30:$F$60,5,0),0)</f>
        <v>4</v>
      </c>
      <c r="AA7" s="343">
        <f>IFERROR(VLOOKUP($U7,HomeBroker!$A$30:$N$60,13,0),0)</f>
        <v>1539</v>
      </c>
      <c r="AB7" s="199">
        <f t="shared" si="63"/>
        <v>-413.89899999999989</v>
      </c>
      <c r="AC7" s="445">
        <f t="shared" si="9"/>
        <v>0</v>
      </c>
      <c r="AD7" s="443">
        <v>2400</v>
      </c>
      <c r="AE7" s="438">
        <f t="shared" ca="1" si="64"/>
        <v>17.914310026543944</v>
      </c>
      <c r="AF7" s="342" t="str">
        <f t="shared" si="65"/>
        <v>MERV - XMEV - GFGV2400AB - 24hs</v>
      </c>
      <c r="AG7" s="342" t="str">
        <f t="shared" si="66"/>
        <v>GFGV2400AB</v>
      </c>
      <c r="AH7" s="402">
        <f>IFERROR(VLOOKUP($AG7,HomeBroker!$A$30:$F$60,2,0),0)</f>
        <v>121</v>
      </c>
      <c r="AI7" s="440">
        <f>IFERROR(VLOOKUP($AG7,HomeBroker!$A$30:$F$60,3,0),0)</f>
        <v>3.6</v>
      </c>
      <c r="AJ7" s="610">
        <f>IFERROR(VLOOKUP($AG7,HomeBroker!$A$30:$F$60,6,0),0)</f>
        <v>5.899</v>
      </c>
      <c r="AK7" s="440">
        <f>IFERROR(VLOOKUP($AG7,HomeBroker!$A$30:$F$60,4,0),0)</f>
        <v>5.99</v>
      </c>
      <c r="AL7" s="402">
        <f>IFERROR(VLOOKUP($AG7,HomeBroker!$A$30:$F$60,5,0),0)</f>
        <v>10</v>
      </c>
      <c r="AM7" s="442">
        <f>IFERROR(VLOOKUP($AG7,HomeBroker!$A$30:$N$60,13,0),0)</f>
        <v>3243</v>
      </c>
      <c r="AN7" s="62"/>
      <c r="AO7" s="198">
        <f t="shared" si="67"/>
        <v>642.35100000000011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2008.5663398713291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-25366.69</v>
      </c>
      <c r="EU7" s="72"/>
      <c r="EV7" s="117">
        <f t="shared" si="55"/>
        <v>2008.5663398713291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-25366.69</v>
      </c>
    </row>
    <row r="8" spans="1:193" ht="15">
      <c r="A8" s="434" t="s">
        <v>401</v>
      </c>
      <c r="B8" s="203"/>
      <c r="C8" s="200"/>
      <c r="D8" s="446"/>
      <c r="E8" s="447">
        <f t="shared" si="0"/>
        <v>0</v>
      </c>
      <c r="F8" s="448">
        <f t="shared" si="1"/>
        <v>0</v>
      </c>
      <c r="G8" s="202" t="str">
        <f t="shared" si="2"/>
        <v/>
      </c>
      <c r="H8" s="452">
        <f t="shared" si="58"/>
        <v>0</v>
      </c>
      <c r="I8" s="453">
        <f t="shared" si="3"/>
        <v>0</v>
      </c>
      <c r="J8" s="62"/>
      <c r="K8" s="416"/>
      <c r="L8" s="614">
        <f t="shared" si="4"/>
        <v>2070.686948320958</v>
      </c>
      <c r="M8" s="476">
        <f t="shared" si="5"/>
        <v>-25366.69</v>
      </c>
      <c r="N8" s="476">
        <f t="shared" ca="1" si="6"/>
        <v>-25366.69</v>
      </c>
      <c r="O8" s="62"/>
      <c r="P8" s="198">
        <f t="shared" si="59"/>
        <v>796.48</v>
      </c>
      <c r="Q8" s="444">
        <f t="shared" si="7"/>
        <v>0</v>
      </c>
      <c r="R8" s="443">
        <v>3600</v>
      </c>
      <c r="S8" s="437">
        <f t="shared" ca="1" si="60"/>
        <v>4.935075109417653</v>
      </c>
      <c r="T8" s="342" t="str">
        <f t="shared" si="61"/>
        <v>MERV - XMEV - GFGC3600AB - 24hs</v>
      </c>
      <c r="U8" s="342" t="str">
        <f t="shared" si="62"/>
        <v>GFGC3600AB</v>
      </c>
      <c r="V8" s="340">
        <f>IFERROR(VLOOKUP($U8,HomeBroker!$A$30:$F$60,2,0),0)</f>
        <v>10</v>
      </c>
      <c r="W8" s="440">
        <f>IFERROR(VLOOKUP($U8,HomeBroker!$A$30:$F$60,3,0),0)</f>
        <v>3.6</v>
      </c>
      <c r="X8" s="610">
        <f>IFERROR(VLOOKUP($U8,HomeBroker!$A$30:$F$60,6,0),0)</f>
        <v>4.4800000000000004</v>
      </c>
      <c r="Y8" s="439">
        <f>IFERROR(VLOOKUP($U8,HomeBroker!$A$30:$F$60,4,0),0)</f>
        <v>4.45</v>
      </c>
      <c r="Z8" s="340">
        <f>IFERROR(VLOOKUP($U8,HomeBroker!$A$30:$F$60,5,0),0)</f>
        <v>6</v>
      </c>
      <c r="AA8" s="343">
        <f>IFERROR(VLOOKUP($U8,HomeBroker!$A$30:$N$60,13,0),0)</f>
        <v>912</v>
      </c>
      <c r="AB8" s="199">
        <f t="shared" si="63"/>
        <v>-317</v>
      </c>
      <c r="AC8" s="445">
        <f t="shared" si="9"/>
        <v>0</v>
      </c>
      <c r="AD8" s="443">
        <v>2500</v>
      </c>
      <c r="AE8" s="438">
        <f t="shared" ca="1" si="64"/>
        <v>31.960789906553202</v>
      </c>
      <c r="AF8" s="342" t="str">
        <f t="shared" si="65"/>
        <v>MERV - XMEV - GFGV2500AB - 24hs</v>
      </c>
      <c r="AG8" s="342" t="str">
        <f t="shared" si="66"/>
        <v>GFGV2500AB</v>
      </c>
      <c r="AH8" s="402">
        <f>IFERROR(VLOOKUP($AG8,HomeBroker!$A$30:$F$60,2,0),0)</f>
        <v>2</v>
      </c>
      <c r="AI8" s="440">
        <f>IFERROR(VLOOKUP($AG8,HomeBroker!$A$30:$F$60,3,0),0)</f>
        <v>8.0020000000000007</v>
      </c>
      <c r="AJ8" s="610">
        <f>IFERROR(VLOOKUP($AG8,HomeBroker!$A$30:$F$60,6,0),0)</f>
        <v>9</v>
      </c>
      <c r="AK8" s="440">
        <f>IFERROR(VLOOKUP($AG8,HomeBroker!$A$30:$F$60,4,0),0)</f>
        <v>10.5</v>
      </c>
      <c r="AL8" s="402">
        <f>IFERROR(VLOOKUP($AG8,HomeBroker!$A$30:$F$60,5,0),0)</f>
        <v>23</v>
      </c>
      <c r="AM8" s="442">
        <f>IFERROR(VLOOKUP($AG8,HomeBroker!$A$30:$N$60,13,0),0)</f>
        <v>5610</v>
      </c>
      <c r="AN8" s="62"/>
      <c r="AO8" s="198">
        <f t="shared" si="67"/>
        <v>787.48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2070.686948320958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-25366.69</v>
      </c>
      <c r="EU8" s="72"/>
      <c r="EV8" s="117">
        <f t="shared" si="55"/>
        <v>2070.686948320958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-25366.69</v>
      </c>
    </row>
    <row r="9" spans="1:193" ht="15">
      <c r="A9" s="434" t="s">
        <v>401</v>
      </c>
      <c r="B9" s="203"/>
      <c r="C9" s="200"/>
      <c r="D9" s="446"/>
      <c r="E9" s="447">
        <f t="shared" si="0"/>
        <v>0</v>
      </c>
      <c r="F9" s="448">
        <f t="shared" si="1"/>
        <v>0</v>
      </c>
      <c r="G9" s="202" t="str">
        <f t="shared" si="2"/>
        <v/>
      </c>
      <c r="H9" s="452">
        <f t="shared" si="58"/>
        <v>0</v>
      </c>
      <c r="I9" s="453">
        <f t="shared" si="3"/>
        <v>0</v>
      </c>
      <c r="J9" s="62"/>
      <c r="K9" s="417"/>
      <c r="L9" s="614">
        <f t="shared" si="4"/>
        <v>2134.7288127020188</v>
      </c>
      <c r="M9" s="477">
        <f t="shared" si="5"/>
        <v>-25366.69</v>
      </c>
      <c r="N9" s="477">
        <f t="shared" ca="1" si="6"/>
        <v>-25366.69</v>
      </c>
      <c r="O9" s="62"/>
      <c r="P9" s="198">
        <f t="shared" si="59"/>
        <v>945</v>
      </c>
      <c r="Q9" s="444">
        <f t="shared" si="7"/>
        <v>0</v>
      </c>
      <c r="R9" s="443">
        <v>3750</v>
      </c>
      <c r="S9" s="437">
        <f t="shared" ca="1" si="60"/>
        <v>2.0130941893251375</v>
      </c>
      <c r="T9" s="342" t="str">
        <f t="shared" si="61"/>
        <v>MERV - XMEV - GFGC3750AB - 24hs</v>
      </c>
      <c r="U9" s="342" t="str">
        <f t="shared" si="62"/>
        <v>GFGC3750AB</v>
      </c>
      <c r="V9" s="340">
        <f>IFERROR(VLOOKUP($U9,HomeBroker!$A$30:$F$60,2,0),0)</f>
        <v>70</v>
      </c>
      <c r="W9" s="440">
        <f>IFERROR(VLOOKUP($U9,HomeBroker!$A$30:$F$60,3,0),0)</f>
        <v>3</v>
      </c>
      <c r="X9" s="610">
        <f>IFERROR(VLOOKUP($U9,HomeBroker!$A$30:$F$60,6,0),0)</f>
        <v>3</v>
      </c>
      <c r="Y9" s="439">
        <f>IFERROR(VLOOKUP($U9,HomeBroker!$A$30:$F$60,4,0),0)</f>
        <v>3.33</v>
      </c>
      <c r="Z9" s="340">
        <f>IFERROR(VLOOKUP($U9,HomeBroker!$A$30:$F$60,5,0),0)</f>
        <v>5</v>
      </c>
      <c r="AA9" s="343">
        <f>IFERROR(VLOOKUP($U9,HomeBroker!$A$30:$N$60,13,0),0)</f>
        <v>1086</v>
      </c>
      <c r="AB9" s="199">
        <f t="shared" si="63"/>
        <v>-226.19999999999982</v>
      </c>
      <c r="AC9" s="445">
        <f t="shared" si="9"/>
        <v>0</v>
      </c>
      <c r="AD9" s="443">
        <v>2600</v>
      </c>
      <c r="AE9" s="438">
        <f t="shared" ca="1" si="64"/>
        <v>52.878299576855056</v>
      </c>
      <c r="AF9" s="342" t="str">
        <f t="shared" si="65"/>
        <v>MERV - XMEV - GFGV2600AB - 24hs</v>
      </c>
      <c r="AG9" s="342" t="str">
        <f t="shared" si="66"/>
        <v>GFGV2600AB</v>
      </c>
      <c r="AH9" s="402">
        <f>IFERROR(VLOOKUP($AG9,HomeBroker!$A$30:$F$60,2,0),0)</f>
        <v>2</v>
      </c>
      <c r="AI9" s="440">
        <f>IFERROR(VLOOKUP($AG9,HomeBroker!$A$30:$F$60,3,0),0)</f>
        <v>16.001000000000001</v>
      </c>
      <c r="AJ9" s="610">
        <f>IFERROR(VLOOKUP($AG9,HomeBroker!$A$30:$F$60,6,0),0)</f>
        <v>18.2</v>
      </c>
      <c r="AK9" s="440">
        <f>IFERROR(VLOOKUP($AG9,HomeBroker!$A$30:$F$60,4,0),0)</f>
        <v>18.2</v>
      </c>
      <c r="AL9" s="402">
        <f>IFERROR(VLOOKUP($AG9,HomeBroker!$A$30:$F$60,5,0),0)</f>
        <v>48</v>
      </c>
      <c r="AM9" s="442">
        <f>IFERROR(VLOOKUP($AG9,HomeBroker!$A$30:$N$60,13,0),0)</f>
        <v>3231</v>
      </c>
      <c r="AN9" s="62"/>
      <c r="AO9" s="198">
        <f t="shared" si="67"/>
        <v>926.80000000000018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2134.7288127020188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-25366.69</v>
      </c>
      <c r="EU9" s="72"/>
      <c r="EV9" s="117">
        <f t="shared" si="55"/>
        <v>2134.7288127020188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-25366.69</v>
      </c>
    </row>
    <row r="10" spans="1:193" ht="15">
      <c r="A10" s="434" t="s">
        <v>401</v>
      </c>
      <c r="B10" s="203"/>
      <c r="C10" s="200"/>
      <c r="D10" s="446"/>
      <c r="E10" s="447">
        <f t="shared" si="0"/>
        <v>0</v>
      </c>
      <c r="F10" s="448">
        <f t="shared" si="1"/>
        <v>0</v>
      </c>
      <c r="G10" s="202" t="str">
        <f t="shared" si="2"/>
        <v/>
      </c>
      <c r="H10" s="452">
        <f t="shared" si="58"/>
        <v>0</v>
      </c>
      <c r="I10" s="453">
        <f t="shared" si="3"/>
        <v>0</v>
      </c>
      <c r="J10" s="62"/>
      <c r="K10" s="417"/>
      <c r="L10" s="614">
        <f t="shared" si="4"/>
        <v>2200.7513533010501</v>
      </c>
      <c r="M10" s="476">
        <f t="shared" si="5"/>
        <v>-25366.69</v>
      </c>
      <c r="N10" s="476">
        <f t="shared" ca="1" si="6"/>
        <v>-25366.69</v>
      </c>
      <c r="O10" s="62"/>
      <c r="P10" s="198">
        <f t="shared" si="59"/>
        <v>1094.77</v>
      </c>
      <c r="Q10" s="444">
        <f t="shared" si="7"/>
        <v>0</v>
      </c>
      <c r="R10" s="443">
        <v>3900</v>
      </c>
      <c r="S10" s="437">
        <f t="shared" ca="1" si="60"/>
        <v>0.77602012596599579</v>
      </c>
      <c r="T10" s="342" t="str">
        <f t="shared" si="61"/>
        <v>MERV - XMEV - GFGC3900AB - 24hs</v>
      </c>
      <c r="U10" s="342" t="str">
        <f t="shared" si="62"/>
        <v>GFGC3900AB</v>
      </c>
      <c r="V10" s="340">
        <f>IFERROR(VLOOKUP($U10,HomeBroker!$A$30:$F$60,2,0),0)</f>
        <v>26</v>
      </c>
      <c r="W10" s="440">
        <f>IFERROR(VLOOKUP($U10,HomeBroker!$A$30:$F$60,3,0),0)</f>
        <v>2.27</v>
      </c>
      <c r="X10" s="610">
        <f>IFERROR(VLOOKUP($U10,HomeBroker!$A$30:$F$60,6,0),0)</f>
        <v>2.77</v>
      </c>
      <c r="Y10" s="439">
        <f>IFERROR(VLOOKUP($U10,HomeBroker!$A$30:$F$60,4,0),0)</f>
        <v>2.79</v>
      </c>
      <c r="Z10" s="340">
        <f>IFERROR(VLOOKUP($U10,HomeBroker!$A$30:$F$60,5,0),0)</f>
        <v>4</v>
      </c>
      <c r="AA10" s="343">
        <f>IFERROR(VLOOKUP($U10,HomeBroker!$A$30:$N$60,13,0),0)</f>
        <v>648</v>
      </c>
      <c r="AB10" s="199">
        <f t="shared" si="63"/>
        <v>-140</v>
      </c>
      <c r="AC10" s="445">
        <f t="shared" si="9"/>
        <v>0</v>
      </c>
      <c r="AD10" s="443">
        <v>2700</v>
      </c>
      <c r="AE10" s="438">
        <f t="shared" ca="1" si="64"/>
        <v>81.946815202357243</v>
      </c>
      <c r="AF10" s="342" t="str">
        <f t="shared" si="65"/>
        <v>MERV - XMEV - GFGV2700AB - 24hs</v>
      </c>
      <c r="AG10" s="342" t="str">
        <f t="shared" si="66"/>
        <v>GFGV2700AB</v>
      </c>
      <c r="AH10" s="402">
        <f>IFERROR(VLOOKUP($AG10,HomeBroker!$A$30:$F$60,2,0),0)</f>
        <v>200</v>
      </c>
      <c r="AI10" s="440">
        <f>IFERROR(VLOOKUP($AG10,HomeBroker!$A$30:$F$60,3,0),0)</f>
        <v>32</v>
      </c>
      <c r="AJ10" s="610">
        <f>IFERROR(VLOOKUP($AG10,HomeBroker!$A$30:$F$60,6,0),0)</f>
        <v>32</v>
      </c>
      <c r="AK10" s="440">
        <f>IFERROR(VLOOKUP($AG10,HomeBroker!$A$30:$F$60,4,0),0)</f>
        <v>36</v>
      </c>
      <c r="AL10" s="402">
        <f>IFERROR(VLOOKUP($AG10,HomeBroker!$A$30:$F$60,5,0),0)</f>
        <v>48</v>
      </c>
      <c r="AM10" s="442">
        <f>IFERROR(VLOOKUP($AG10,HomeBroker!$A$30:$N$60,13,0),0)</f>
        <v>4134</v>
      </c>
      <c r="AN10" s="62"/>
      <c r="AO10" s="198">
        <f t="shared" si="67"/>
        <v>1062.77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2200.7513533010501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-25366.69</v>
      </c>
      <c r="EU10" s="72"/>
      <c r="EV10" s="117">
        <f t="shared" si="55"/>
        <v>2200.7513533010501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-25366.69</v>
      </c>
    </row>
    <row r="11" spans="1:193" ht="15">
      <c r="A11" s="434" t="s">
        <v>401</v>
      </c>
      <c r="B11" s="203"/>
      <c r="C11" s="200"/>
      <c r="D11" s="446"/>
      <c r="E11" s="447">
        <f t="shared" si="0"/>
        <v>0</v>
      </c>
      <c r="F11" s="448">
        <f t="shared" si="1"/>
        <v>0</v>
      </c>
      <c r="G11" s="202" t="str">
        <f t="shared" si="2"/>
        <v/>
      </c>
      <c r="H11" s="452">
        <f t="shared" si="58"/>
        <v>0</v>
      </c>
      <c r="I11" s="453">
        <f t="shared" si="3"/>
        <v>0</v>
      </c>
      <c r="J11" s="62"/>
      <c r="K11" s="417"/>
      <c r="L11" s="614">
        <f t="shared" si="4"/>
        <v>2268.8158281454125</v>
      </c>
      <c r="M11" s="476">
        <f t="shared" si="5"/>
        <v>-25366.69</v>
      </c>
      <c r="N11" s="476">
        <f t="shared" ca="1" si="6"/>
        <v>-25366.69</v>
      </c>
      <c r="O11" s="62"/>
      <c r="P11" s="198">
        <f t="shared" si="59"/>
        <v>1244</v>
      </c>
      <c r="Q11" s="444">
        <f t="shared" si="7"/>
        <v>0</v>
      </c>
      <c r="R11" s="443">
        <v>4050</v>
      </c>
      <c r="S11" s="437">
        <f t="shared" ca="1" si="60"/>
        <v>0.28425278731626058</v>
      </c>
      <c r="T11" s="342" t="str">
        <f t="shared" si="61"/>
        <v>MERV - XMEV - GFGC4050AB - 24hs</v>
      </c>
      <c r="U11" s="342" t="str">
        <f t="shared" si="62"/>
        <v>GFGC4050AB</v>
      </c>
      <c r="V11" s="340">
        <f>IFERROR(VLOOKUP($U11,HomeBroker!$A$30:$F$60,2,0),0)</f>
        <v>20</v>
      </c>
      <c r="W11" s="440">
        <f>IFERROR(VLOOKUP($U11,HomeBroker!$A$30:$F$60,3,0),0)</f>
        <v>2</v>
      </c>
      <c r="X11" s="610">
        <f>IFERROR(VLOOKUP($U11,HomeBroker!$A$30:$F$60,6,0),0)</f>
        <v>2</v>
      </c>
      <c r="Y11" s="439">
        <f>IFERROR(VLOOKUP($U11,HomeBroker!$A$30:$F$60,4,0),0)</f>
        <v>2.63</v>
      </c>
      <c r="Z11" s="340">
        <f>IFERROR(VLOOKUP($U11,HomeBroker!$A$30:$F$60,5,0),0)</f>
        <v>1</v>
      </c>
      <c r="AA11" s="343">
        <f>IFERROR(VLOOKUP($U11,HomeBroker!$A$30:$N$60,13,0),0)</f>
        <v>71</v>
      </c>
      <c r="AB11" s="199">
        <f t="shared" si="63"/>
        <v>-28</v>
      </c>
      <c r="AC11" s="445">
        <f t="shared" si="9"/>
        <v>0</v>
      </c>
      <c r="AD11" s="443">
        <v>2900</v>
      </c>
      <c r="AE11" s="438">
        <f t="shared" ca="1" si="64"/>
        <v>167.34027023173257</v>
      </c>
      <c r="AF11" s="342" t="str">
        <f t="shared" si="65"/>
        <v>MERV - XMEV - GFGV2900AB - 24hs</v>
      </c>
      <c r="AG11" s="342" t="str">
        <f t="shared" si="66"/>
        <v>GFGV2900AB</v>
      </c>
      <c r="AH11" s="402">
        <f>IFERROR(VLOOKUP($AG11,HomeBroker!$A$30:$F$60,2,0),0)</f>
        <v>13</v>
      </c>
      <c r="AI11" s="440">
        <f>IFERROR(VLOOKUP($AG11,HomeBroker!$A$30:$F$60,3,0),0)</f>
        <v>116</v>
      </c>
      <c r="AJ11" s="610">
        <f>IFERROR(VLOOKUP($AG11,HomeBroker!$A$30:$F$60,6,0),0)</f>
        <v>120</v>
      </c>
      <c r="AK11" s="440">
        <f>IFERROR(VLOOKUP($AG11,HomeBroker!$A$30:$F$60,4,0),0)</f>
        <v>128</v>
      </c>
      <c r="AL11" s="402">
        <f>IFERROR(VLOOKUP($AG11,HomeBroker!$A$30:$F$60,5,0),0)</f>
        <v>5</v>
      </c>
      <c r="AM11" s="442">
        <f>IFERROR(VLOOKUP($AG11,HomeBroker!$A$30:$N$60,13,0),0)</f>
        <v>131</v>
      </c>
      <c r="AN11" s="62"/>
      <c r="AO11" s="198">
        <f t="shared" si="67"/>
        <v>1124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2268.8158281454125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-25366.69</v>
      </c>
      <c r="EU11" s="72"/>
      <c r="EV11" s="117">
        <f t="shared" si="55"/>
        <v>2268.8158281454125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-25366.69</v>
      </c>
    </row>
    <row r="12" spans="1:193" ht="15">
      <c r="A12" s="434" t="s">
        <v>401</v>
      </c>
      <c r="B12" s="203"/>
      <c r="C12" s="200"/>
      <c r="D12" s="446"/>
      <c r="E12" s="447">
        <f t="shared" si="0"/>
        <v>0</v>
      </c>
      <c r="F12" s="448">
        <f t="shared" si="1"/>
        <v>0</v>
      </c>
      <c r="G12" s="202" t="str">
        <f t="shared" si="2"/>
        <v/>
      </c>
      <c r="H12" s="452">
        <f t="shared" si="58"/>
        <v>0</v>
      </c>
      <c r="I12" s="453">
        <f t="shared" si="3"/>
        <v>0</v>
      </c>
      <c r="J12" s="62"/>
      <c r="K12" s="417">
        <f>IFERROR(-1+(L12/$L$18),"")</f>
        <v>-0.16702799507100019</v>
      </c>
      <c r="L12" s="614">
        <f t="shared" si="4"/>
        <v>2338.9853898406313</v>
      </c>
      <c r="M12" s="477">
        <f t="shared" si="5"/>
        <v>-25366.69</v>
      </c>
      <c r="N12" s="477">
        <f t="shared" ca="1" si="6"/>
        <v>-25366.69</v>
      </c>
      <c r="O12" s="62"/>
      <c r="P12" s="198">
        <f t="shared" si="59"/>
        <v>1394.1999999999998</v>
      </c>
      <c r="Q12" s="444">
        <f t="shared" si="7"/>
        <v>0</v>
      </c>
      <c r="R12" s="443">
        <v>4200</v>
      </c>
      <c r="S12" s="437">
        <f t="shared" ca="1" si="60"/>
        <v>9.9450182290236722E-2</v>
      </c>
      <c r="T12" s="342" t="str">
        <f t="shared" si="61"/>
        <v>MERV - XMEV - GFGC4200AB - 24hs</v>
      </c>
      <c r="U12" s="342" t="str">
        <f t="shared" si="62"/>
        <v>GFGC4200AB</v>
      </c>
      <c r="V12" s="340">
        <f>IFERROR(VLOOKUP($U12,HomeBroker!$A$30:$F$60,2,0),0)</f>
        <v>1</v>
      </c>
      <c r="W12" s="440">
        <f>IFERROR(VLOOKUP($U12,HomeBroker!$A$30:$F$60,3,0),0)</f>
        <v>2</v>
      </c>
      <c r="X12" s="610">
        <f>IFERROR(VLOOKUP($U12,HomeBroker!$A$30:$F$60,6,0),0)</f>
        <v>2.2000000000000002</v>
      </c>
      <c r="Y12" s="439">
        <f>IFERROR(VLOOKUP($U12,HomeBroker!$A$30:$F$60,4,0),0)</f>
        <v>2.2000000000000002</v>
      </c>
      <c r="Z12" s="340">
        <f>IFERROR(VLOOKUP($U12,HomeBroker!$A$30:$F$60,5,0),0)</f>
        <v>306</v>
      </c>
      <c r="AA12" s="343">
        <f>IFERROR(VLOOKUP($U12,HomeBroker!$A$30:$N$60,13,0),0)</f>
        <v>6867</v>
      </c>
      <c r="AB12" s="199">
        <f t="shared" si="63"/>
        <v>-8.0010000000002037</v>
      </c>
      <c r="AC12" s="445">
        <f t="shared" si="9"/>
        <v>0</v>
      </c>
      <c r="AD12" s="443">
        <v>3000</v>
      </c>
      <c r="AE12" s="438">
        <f t="shared" ca="1" si="64"/>
        <v>223.71286640180506</v>
      </c>
      <c r="AF12" s="342" t="str">
        <f t="shared" si="65"/>
        <v>MERV - XMEV - GFGV3000AB - 24hs</v>
      </c>
      <c r="AG12" s="342" t="str">
        <f t="shared" si="66"/>
        <v>GFGV3000AB</v>
      </c>
      <c r="AH12" s="402">
        <f>IFERROR(VLOOKUP($AG12,HomeBroker!$A$30:$F$60,2,0),0)</f>
        <v>3</v>
      </c>
      <c r="AI12" s="440">
        <f>IFERROR(VLOOKUP($AG12,HomeBroker!$A$30:$F$60,3,0),0)</f>
        <v>185.001</v>
      </c>
      <c r="AJ12" s="610">
        <f>IFERROR(VLOOKUP($AG12,HomeBroker!$A$30:$F$60,6,0),0)</f>
        <v>200.001</v>
      </c>
      <c r="AK12" s="440">
        <f>IFERROR(VLOOKUP($AG12,HomeBroker!$A$30:$F$60,4,0),0)</f>
        <v>200.001</v>
      </c>
      <c r="AL12" s="402">
        <f>IFERROR(VLOOKUP($AG12,HomeBroker!$A$30:$F$60,5,0),0)</f>
        <v>1</v>
      </c>
      <c r="AM12" s="442">
        <f>IFERROR(VLOOKUP($AG12,HomeBroker!$A$30:$N$60,13,0),0)</f>
        <v>42</v>
      </c>
      <c r="AN12" s="62"/>
      <c r="AO12" s="198">
        <f t="shared" si="67"/>
        <v>1194.1989999999996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2338.9853898406313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-25366.69</v>
      </c>
      <c r="EU12" s="72"/>
      <c r="EV12" s="117">
        <f t="shared" si="55"/>
        <v>2338.9853898406313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-25366.69</v>
      </c>
    </row>
    <row r="13" spans="1:193" ht="15">
      <c r="A13" s="434" t="s">
        <v>401</v>
      </c>
      <c r="B13" s="203"/>
      <c r="C13" s="200"/>
      <c r="D13" s="446"/>
      <c r="E13" s="447">
        <f t="shared" si="0"/>
        <v>0</v>
      </c>
      <c r="F13" s="448">
        <f t="shared" si="1"/>
        <v>0</v>
      </c>
      <c r="G13" s="202" t="str">
        <f t="shared" si="2"/>
        <v/>
      </c>
      <c r="H13" s="452">
        <f t="shared" si="58"/>
        <v>0</v>
      </c>
      <c r="I13" s="453">
        <f t="shared" si="3"/>
        <v>0</v>
      </c>
      <c r="J13" s="62"/>
      <c r="K13" s="418">
        <f>IFERROR(-1+(L13/$L$18),"")</f>
        <v>-0.14126597430000021</v>
      </c>
      <c r="L13" s="615">
        <f t="shared" si="4"/>
        <v>2411.3251441655993</v>
      </c>
      <c r="M13" s="476">
        <f t="shared" si="5"/>
        <v>-25366.69</v>
      </c>
      <c r="N13" s="476">
        <f t="shared" ca="1" si="6"/>
        <v>-25366.69</v>
      </c>
      <c r="O13" s="62"/>
      <c r="P13" s="198" t="str">
        <f t="shared" si="59"/>
        <v>-</v>
      </c>
      <c r="Q13" s="444">
        <f t="shared" si="7"/>
        <v>0</v>
      </c>
      <c r="R13" s="443"/>
      <c r="S13" s="437">
        <f t="shared" ca="1" si="60"/>
        <v>0</v>
      </c>
      <c r="T13" s="342" t="str">
        <f t="shared" si="61"/>
        <v/>
      </c>
      <c r="U13" s="342" t="str">
        <f t="shared" si="62"/>
        <v/>
      </c>
      <c r="V13" s="340">
        <f>IFERROR(VLOOKUP($U13,HomeBroker!$A$30:$F$60,2,0),0)</f>
        <v>0</v>
      </c>
      <c r="W13" s="440">
        <f>IFERROR(VLOOKUP($U13,HomeBroker!$A$30:$F$60,3,0),0)</f>
        <v>0</v>
      </c>
      <c r="X13" s="610">
        <f>IFERROR(VLOOKUP($U13,HomeBroker!$A$30:$F$60,6,0),0)</f>
        <v>0</v>
      </c>
      <c r="Y13" s="439">
        <f>IFERROR(VLOOKUP($U13,HomeBroker!$A$30:$F$60,4,0),0)</f>
        <v>0</v>
      </c>
      <c r="Z13" s="340">
        <f>IFERROR(VLOOKUP($U13,HomeBroker!$A$30:$F$60,5,0),0)</f>
        <v>0</v>
      </c>
      <c r="AA13" s="343">
        <f>IFERROR(VLOOKUP($U13,HomeBroker!$A$30:$N$60,13,0),0)</f>
        <v>0</v>
      </c>
      <c r="AB13" s="199" t="str">
        <f t="shared" si="63"/>
        <v>-</v>
      </c>
      <c r="AC13" s="445">
        <f t="shared" si="9"/>
        <v>0</v>
      </c>
      <c r="AD13" s="443"/>
      <c r="AE13" s="438">
        <f t="shared" ca="1" si="64"/>
        <v>0</v>
      </c>
      <c r="AF13" s="342" t="str">
        <f t="shared" si="65"/>
        <v/>
      </c>
      <c r="AG13" s="342" t="str">
        <f t="shared" si="66"/>
        <v/>
      </c>
      <c r="AH13" s="402">
        <f>IFERROR(VLOOKUP($AG13,HomeBroker!$A$30:$F$60,2,0),0)</f>
        <v>0</v>
      </c>
      <c r="AI13" s="440">
        <f>IFERROR(VLOOKUP($AG13,HomeBroker!$A$30:$F$60,3,0),0)</f>
        <v>0</v>
      </c>
      <c r="AJ13" s="610">
        <f>IFERROR(VLOOKUP($AG13,HomeBroker!$A$30:$F$60,6,0),0)</f>
        <v>0</v>
      </c>
      <c r="AK13" s="440">
        <f>IFERROR(VLOOKUP($AG13,HomeBroker!$A$30:$F$60,4,0),0)</f>
        <v>0</v>
      </c>
      <c r="AL13" s="402">
        <f>IFERROR(VLOOKUP($AG13,HomeBroker!$A$30:$F$60,5,0),0)</f>
        <v>0</v>
      </c>
      <c r="AM13" s="442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2411.3251441655993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-25366.69</v>
      </c>
      <c r="EU13" s="72"/>
      <c r="EV13" s="117">
        <f t="shared" si="55"/>
        <v>2411.3251441655993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-25366.69</v>
      </c>
    </row>
    <row r="14" spans="1:193" ht="15">
      <c r="A14" s="434" t="s">
        <v>401</v>
      </c>
      <c r="B14" s="203"/>
      <c r="C14" s="200"/>
      <c r="D14" s="446"/>
      <c r="E14" s="447">
        <f t="shared" si="0"/>
        <v>0</v>
      </c>
      <c r="F14" s="448">
        <f t="shared" si="1"/>
        <v>0</v>
      </c>
      <c r="G14" s="202" t="str">
        <f t="shared" si="2"/>
        <v/>
      </c>
      <c r="H14" s="452">
        <f t="shared" si="58"/>
        <v>0</v>
      </c>
      <c r="I14" s="453">
        <f t="shared" si="3"/>
        <v>0</v>
      </c>
      <c r="J14" s="62"/>
      <c r="K14" s="419">
        <f>IFERROR(-1+(L14/$L$18),"")</f>
        <v>-0.11470719000000029</v>
      </c>
      <c r="L14" s="615">
        <f t="shared" si="4"/>
        <v>2485.9022104799992</v>
      </c>
      <c r="M14" s="476">
        <f t="shared" si="5"/>
        <v>-25366.69</v>
      </c>
      <c r="N14" s="476">
        <f t="shared" ca="1" si="6"/>
        <v>-25366.69</v>
      </c>
      <c r="O14" s="62"/>
      <c r="P14" s="198" t="str">
        <f t="shared" si="59"/>
        <v>-</v>
      </c>
      <c r="Q14" s="444">
        <f t="shared" si="7"/>
        <v>0</v>
      </c>
      <c r="R14" s="443"/>
      <c r="S14" s="437">
        <f t="shared" ca="1" si="60"/>
        <v>0</v>
      </c>
      <c r="T14" s="342" t="str">
        <f t="shared" si="61"/>
        <v/>
      </c>
      <c r="U14" s="342" t="str">
        <f t="shared" si="62"/>
        <v/>
      </c>
      <c r="V14" s="340">
        <f>IFERROR(VLOOKUP($U14,HomeBroker!$A$30:$F$60,2,0),0)</f>
        <v>0</v>
      </c>
      <c r="W14" s="440">
        <f>IFERROR(VLOOKUP($U14,HomeBroker!$A$30:$F$60,3,0),0)</f>
        <v>0</v>
      </c>
      <c r="X14" s="610">
        <f>IFERROR(VLOOKUP($U14,HomeBroker!$A$30:$F$60,6,0),0)</f>
        <v>0</v>
      </c>
      <c r="Y14" s="439">
        <f>IFERROR(VLOOKUP($U14,HomeBroker!$A$30:$F$60,4,0),0)</f>
        <v>0</v>
      </c>
      <c r="Z14" s="340">
        <f>IFERROR(VLOOKUP($U14,HomeBroker!$A$30:$F$60,5,0),0)</f>
        <v>0</v>
      </c>
      <c r="AA14" s="343">
        <f>IFERROR(VLOOKUP($U14,HomeBroker!$A$30:$N$60,13,0),0)</f>
        <v>0</v>
      </c>
      <c r="AB14" s="199" t="str">
        <f t="shared" si="63"/>
        <v>-</v>
      </c>
      <c r="AC14" s="445">
        <f t="shared" si="9"/>
        <v>0</v>
      </c>
      <c r="AD14" s="443"/>
      <c r="AE14" s="438">
        <f t="shared" ca="1" si="64"/>
        <v>0</v>
      </c>
      <c r="AF14" s="342" t="str">
        <f t="shared" si="65"/>
        <v/>
      </c>
      <c r="AG14" s="342" t="str">
        <f t="shared" si="66"/>
        <v/>
      </c>
      <c r="AH14" s="402">
        <f>IFERROR(VLOOKUP($AG14,HomeBroker!$A$30:$F$60,2,0),0)</f>
        <v>0</v>
      </c>
      <c r="AI14" s="440">
        <f>IFERROR(VLOOKUP($AG14,HomeBroker!$A$30:$F$60,3,0),0)</f>
        <v>0</v>
      </c>
      <c r="AJ14" s="610">
        <f>IFERROR(VLOOKUP($AG14,HomeBroker!$A$30:$F$60,6,0),0)</f>
        <v>0</v>
      </c>
      <c r="AK14" s="440">
        <f>IFERROR(VLOOKUP($AG14,HomeBroker!$A$30:$F$60,4,0),0)</f>
        <v>0</v>
      </c>
      <c r="AL14" s="402">
        <f>IFERROR(VLOOKUP($AG14,HomeBroker!$A$30:$F$60,5,0),0)</f>
        <v>0</v>
      </c>
      <c r="AM14" s="442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2485.9022104799992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-25366.69</v>
      </c>
      <c r="EU14" s="72"/>
      <c r="EV14" s="117">
        <f t="shared" si="55"/>
        <v>2485.9022104799992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-25366.69</v>
      </c>
    </row>
    <row r="15" spans="1:193" ht="15">
      <c r="A15" s="434" t="s">
        <v>401</v>
      </c>
      <c r="B15" s="203"/>
      <c r="C15" s="200"/>
      <c r="D15" s="446"/>
      <c r="E15" s="447">
        <f t="shared" si="0"/>
        <v>0</v>
      </c>
      <c r="F15" s="448">
        <f t="shared" si="1"/>
        <v>0</v>
      </c>
      <c r="G15" s="202" t="str">
        <f t="shared" si="2"/>
        <v/>
      </c>
      <c r="H15" s="452">
        <f t="shared" si="58"/>
        <v>0</v>
      </c>
      <c r="I15" s="453">
        <f t="shared" si="3"/>
        <v>0</v>
      </c>
      <c r="J15" s="62"/>
      <c r="K15" s="419">
        <f t="shared" ref="K15:K17" si="68">IFERROR(-1+(L15/$L$18),"")</f>
        <v>-8.7327000000000266E-2</v>
      </c>
      <c r="L15" s="615">
        <f t="shared" si="4"/>
        <v>2562.7857839999992</v>
      </c>
      <c r="M15" s="477">
        <f t="shared" si="5"/>
        <v>-25366.69</v>
      </c>
      <c r="N15" s="477">
        <f t="shared" ca="1" si="6"/>
        <v>-25366.69</v>
      </c>
      <c r="O15" s="62"/>
      <c r="P15" s="198" t="str">
        <f t="shared" si="59"/>
        <v>-</v>
      </c>
      <c r="Q15" s="444">
        <f t="shared" si="7"/>
        <v>0</v>
      </c>
      <c r="R15" s="443"/>
      <c r="S15" s="437">
        <f t="shared" ca="1" si="60"/>
        <v>0</v>
      </c>
      <c r="T15" s="342" t="str">
        <f t="shared" si="61"/>
        <v/>
      </c>
      <c r="U15" s="342" t="str">
        <f t="shared" si="62"/>
        <v/>
      </c>
      <c r="V15" s="340">
        <f>IFERROR(VLOOKUP($U15,HomeBroker!$A$30:$F$60,2,0),0)</f>
        <v>0</v>
      </c>
      <c r="W15" s="440">
        <f>IFERROR(VLOOKUP($U15,HomeBroker!$A$30:$F$60,3,0),0)</f>
        <v>0</v>
      </c>
      <c r="X15" s="610">
        <f>IFERROR(VLOOKUP($U15,HomeBroker!$A$30:$F$60,6,0),0)</f>
        <v>0</v>
      </c>
      <c r="Y15" s="439">
        <f>IFERROR(VLOOKUP($U15,HomeBroker!$A$30:$F$60,4,0),0)</f>
        <v>0</v>
      </c>
      <c r="Z15" s="340">
        <f>IFERROR(VLOOKUP($U15,HomeBroker!$A$30:$F$60,5,0),0)</f>
        <v>0</v>
      </c>
      <c r="AA15" s="343">
        <f>IFERROR(VLOOKUP($U15,HomeBroker!$A$30:$N$60,13,0),0)</f>
        <v>0</v>
      </c>
      <c r="AB15" s="199" t="str">
        <f t="shared" si="63"/>
        <v>-</v>
      </c>
      <c r="AC15" s="445">
        <f t="shared" si="9"/>
        <v>0</v>
      </c>
      <c r="AD15" s="443"/>
      <c r="AE15" s="438">
        <f t="shared" ca="1" si="64"/>
        <v>0</v>
      </c>
      <c r="AF15" s="342" t="str">
        <f t="shared" si="65"/>
        <v/>
      </c>
      <c r="AG15" s="342" t="str">
        <f t="shared" si="66"/>
        <v/>
      </c>
      <c r="AH15" s="402">
        <f>IFERROR(VLOOKUP($AG15,HomeBroker!$A$30:$F$60,2,0),0)</f>
        <v>0</v>
      </c>
      <c r="AI15" s="440">
        <f>IFERROR(VLOOKUP($AG15,HomeBroker!$A$30:$F$60,3,0),0)</f>
        <v>0</v>
      </c>
      <c r="AJ15" s="610">
        <f>IFERROR(VLOOKUP($AG15,HomeBroker!$A$30:$F$60,6,0),0)</f>
        <v>0</v>
      </c>
      <c r="AK15" s="440">
        <f>IFERROR(VLOOKUP($AG15,HomeBroker!$A$30:$F$60,4,0),0)</f>
        <v>0</v>
      </c>
      <c r="AL15" s="402">
        <f>IFERROR(VLOOKUP($AG15,HomeBroker!$A$30:$F$60,5,0),0)</f>
        <v>0</v>
      </c>
      <c r="AM15" s="442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2562.7857839999992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-25366.69</v>
      </c>
      <c r="EU15" s="72"/>
      <c r="EV15" s="117">
        <f t="shared" si="55"/>
        <v>2562.7857839999992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-25366.69</v>
      </c>
    </row>
    <row r="16" spans="1:193" ht="15">
      <c r="A16" s="434" t="s">
        <v>401</v>
      </c>
      <c r="B16" s="203"/>
      <c r="C16" s="200"/>
      <c r="D16" s="446"/>
      <c r="E16" s="447">
        <f>+B16*D16*-100</f>
        <v>0</v>
      </c>
      <c r="F16" s="448">
        <f t="shared" si="1"/>
        <v>0</v>
      </c>
      <c r="G16" s="202" t="str">
        <f t="shared" si="2"/>
        <v/>
      </c>
      <c r="H16" s="452">
        <f>IFERROR(+G16*B16*-100,0)</f>
        <v>0</v>
      </c>
      <c r="I16" s="453">
        <f t="shared" si="3"/>
        <v>0</v>
      </c>
      <c r="J16" s="62"/>
      <c r="K16" s="419">
        <f t="shared" si="68"/>
        <v>-5.9100000000000152E-2</v>
      </c>
      <c r="L16" s="615">
        <f t="shared" si="4"/>
        <v>2642.0471999999995</v>
      </c>
      <c r="M16" s="476">
        <f t="shared" si="5"/>
        <v>-25366.69</v>
      </c>
      <c r="N16" s="476">
        <f t="shared" ca="1" si="6"/>
        <v>-25366.69</v>
      </c>
      <c r="O16" s="62"/>
      <c r="P16" s="198" t="str">
        <f t="shared" si="59"/>
        <v>-</v>
      </c>
      <c r="Q16" s="444">
        <f t="shared" si="7"/>
        <v>0</v>
      </c>
      <c r="R16" s="443"/>
      <c r="S16" s="437">
        <f t="shared" ca="1" si="60"/>
        <v>0</v>
      </c>
      <c r="T16" s="342" t="str">
        <f t="shared" si="61"/>
        <v/>
      </c>
      <c r="U16" s="342" t="str">
        <f t="shared" si="62"/>
        <v/>
      </c>
      <c r="V16" s="340">
        <f>IFERROR(VLOOKUP($U16,HomeBroker!$A$30:$F$60,2,0),0)</f>
        <v>0</v>
      </c>
      <c r="W16" s="440">
        <f>IFERROR(VLOOKUP($U16,HomeBroker!$A$30:$F$60,3,0),0)</f>
        <v>0</v>
      </c>
      <c r="X16" s="610">
        <f>IFERROR(VLOOKUP($U16,HomeBroker!$A$30:$F$60,6,0),0)</f>
        <v>0</v>
      </c>
      <c r="Y16" s="439">
        <f>IFERROR(VLOOKUP($U16,HomeBroker!$A$30:$F$60,4,0),0)</f>
        <v>0</v>
      </c>
      <c r="Z16" s="340">
        <f>IFERROR(VLOOKUP($U16,HomeBroker!$A$30:$F$60,5,0),0)</f>
        <v>0</v>
      </c>
      <c r="AA16" s="343">
        <f>IFERROR(VLOOKUP($U16,HomeBroker!$A$30:$N$60,13,0),0)</f>
        <v>0</v>
      </c>
      <c r="AB16" s="199" t="str">
        <f t="shared" si="63"/>
        <v>-</v>
      </c>
      <c r="AC16" s="445">
        <f t="shared" si="9"/>
        <v>0</v>
      </c>
      <c r="AD16" s="443"/>
      <c r="AE16" s="438">
        <f t="shared" ca="1" si="64"/>
        <v>0</v>
      </c>
      <c r="AF16" s="342" t="str">
        <f t="shared" si="65"/>
        <v/>
      </c>
      <c r="AG16" s="342" t="str">
        <f t="shared" si="66"/>
        <v/>
      </c>
      <c r="AH16" s="402">
        <f>IFERROR(VLOOKUP($AG16,HomeBroker!$A$30:$F$60,2,0),0)</f>
        <v>0</v>
      </c>
      <c r="AI16" s="440">
        <f>IFERROR(VLOOKUP($AG16,HomeBroker!$A$30:$F$60,3,0),0)</f>
        <v>0</v>
      </c>
      <c r="AJ16" s="610">
        <f>IFERROR(VLOOKUP($AG16,HomeBroker!$A$30:$F$60,6,0),0)</f>
        <v>0</v>
      </c>
      <c r="AK16" s="440">
        <f>IFERROR(VLOOKUP($AG16,HomeBroker!$A$30:$F$60,4,0),0)</f>
        <v>0</v>
      </c>
      <c r="AL16" s="402">
        <f>IFERROR(VLOOKUP($AG16,HomeBroker!$A$30:$F$60,5,0),0)</f>
        <v>0</v>
      </c>
      <c r="AM16" s="442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2642.0471999999995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-25366.69</v>
      </c>
      <c r="EU16" s="72"/>
      <c r="EV16" s="117">
        <f t="shared" si="55"/>
        <v>2642.0471999999995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-25366.69</v>
      </c>
    </row>
    <row r="17" spans="1:193" ht="15.75">
      <c r="A17" s="434" t="s">
        <v>401</v>
      </c>
      <c r="B17" s="204"/>
      <c r="C17" s="200"/>
      <c r="D17" s="446"/>
      <c r="E17" s="447">
        <f>+B17*D17*-100</f>
        <v>0</v>
      </c>
      <c r="F17" s="448">
        <f t="shared" si="1"/>
        <v>0</v>
      </c>
      <c r="G17" s="202" t="str">
        <f t="shared" si="2"/>
        <v/>
      </c>
      <c r="H17" s="452">
        <f>IFERROR(+G17*B17*-100,0)</f>
        <v>0</v>
      </c>
      <c r="I17" s="453">
        <f t="shared" si="3"/>
        <v>0</v>
      </c>
      <c r="J17" s="62"/>
      <c r="K17" s="419">
        <f t="shared" si="68"/>
        <v>-3.0000000000000138E-2</v>
      </c>
      <c r="L17" s="615">
        <f t="shared" si="4"/>
        <v>2723.7599999999998</v>
      </c>
      <c r="M17" s="476">
        <f t="shared" si="5"/>
        <v>-25366.69</v>
      </c>
      <c r="N17" s="476">
        <f t="shared" ca="1" si="6"/>
        <v>-25366.69</v>
      </c>
      <c r="O17" s="62"/>
      <c r="P17" s="198" t="str">
        <f t="shared" si="59"/>
        <v>-</v>
      </c>
      <c r="Q17" s="444">
        <f t="shared" si="7"/>
        <v>0</v>
      </c>
      <c r="R17" s="443"/>
      <c r="S17" s="437">
        <f t="shared" ca="1" si="60"/>
        <v>0</v>
      </c>
      <c r="T17" s="342" t="str">
        <f t="shared" si="61"/>
        <v/>
      </c>
      <c r="U17" s="342" t="str">
        <f t="shared" si="62"/>
        <v/>
      </c>
      <c r="V17" s="340">
        <f>IFERROR(VLOOKUP($U17,HomeBroker!$A$30:$F$60,2,0),0)</f>
        <v>0</v>
      </c>
      <c r="W17" s="440">
        <f>IFERROR(VLOOKUP($U17,HomeBroker!$A$30:$F$60,3,0),0)</f>
        <v>0</v>
      </c>
      <c r="X17" s="610">
        <f>IFERROR(VLOOKUP($U17,HomeBroker!$A$30:$F$60,6,0),0)</f>
        <v>0</v>
      </c>
      <c r="Y17" s="439">
        <f>IFERROR(VLOOKUP($U17,HomeBroker!$A$30:$F$60,4,0),0)</f>
        <v>0</v>
      </c>
      <c r="Z17" s="340">
        <f>IFERROR(VLOOKUP($U17,HomeBroker!$A$30:$F$60,5,0),0)</f>
        <v>0</v>
      </c>
      <c r="AA17" s="343">
        <f>IFERROR(VLOOKUP($U17,HomeBroker!$A$30:$N$60,13,0),0)</f>
        <v>0</v>
      </c>
      <c r="AB17" s="199" t="str">
        <f t="shared" si="63"/>
        <v>-</v>
      </c>
      <c r="AC17" s="445">
        <f t="shared" si="9"/>
        <v>0</v>
      </c>
      <c r="AD17" s="443"/>
      <c r="AE17" s="438">
        <f t="shared" ca="1" si="64"/>
        <v>0</v>
      </c>
      <c r="AF17" s="342" t="str">
        <f t="shared" si="65"/>
        <v/>
      </c>
      <c r="AG17" s="342" t="str">
        <f t="shared" si="66"/>
        <v/>
      </c>
      <c r="AH17" s="402">
        <f>IFERROR(VLOOKUP($AG17,HomeBroker!$A$30:$F$60,2,0),0)</f>
        <v>0</v>
      </c>
      <c r="AI17" s="440">
        <f>IFERROR(VLOOKUP($AG17,HomeBroker!$A$30:$F$60,3,0),0)</f>
        <v>0</v>
      </c>
      <c r="AJ17" s="610">
        <f>IFERROR(VLOOKUP($AG17,HomeBroker!$A$30:$F$60,6,0),0)</f>
        <v>0</v>
      </c>
      <c r="AK17" s="440">
        <f>IFERROR(VLOOKUP($AG17,HomeBroker!$A$30:$F$60,4,0),0)</f>
        <v>0</v>
      </c>
      <c r="AL17" s="402">
        <f>IFERROR(VLOOKUP($AG17,HomeBroker!$A$30:$F$60,5,0),0)</f>
        <v>0</v>
      </c>
      <c r="AM17" s="442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2723.7599999999998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-25366.69</v>
      </c>
      <c r="EU17" s="72"/>
      <c r="EV17" s="117">
        <f t="shared" si="55"/>
        <v>2723.7599999999998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-25366.69</v>
      </c>
    </row>
    <row r="18" spans="1:193" ht="15">
      <c r="A18" s="434" t="s">
        <v>401</v>
      </c>
      <c r="B18" s="203"/>
      <c r="C18" s="200"/>
      <c r="D18" s="446"/>
      <c r="E18" s="447">
        <f>+B18*D18*-100</f>
        <v>0</v>
      </c>
      <c r="F18" s="448">
        <f t="shared" si="1"/>
        <v>0</v>
      </c>
      <c r="G18" s="202" t="str">
        <f t="shared" si="2"/>
        <v/>
      </c>
      <c r="H18" s="452">
        <f>IFERROR(+G18*B18*-100,0)</f>
        <v>0</v>
      </c>
      <c r="I18" s="453">
        <f t="shared" si="3"/>
        <v>0</v>
      </c>
      <c r="J18" s="62"/>
      <c r="K18" s="131">
        <v>0</v>
      </c>
      <c r="L18" s="611">
        <f>IF($N$45&lt;&gt;"",$N$45,$B$76)</f>
        <v>2808</v>
      </c>
      <c r="M18" s="477">
        <f t="shared" si="5"/>
        <v>-25366.69</v>
      </c>
      <c r="N18" s="477">
        <f t="shared" ca="1" si="6"/>
        <v>-25366.69</v>
      </c>
      <c r="O18" s="62"/>
      <c r="P18" s="198" t="str">
        <f t="shared" si="59"/>
        <v>-</v>
      </c>
      <c r="Q18" s="401">
        <f t="shared" ref="Q18:Q42" si="69">SUMIFS(AU:AU,AV:AV,R18)</f>
        <v>0</v>
      </c>
      <c r="R18" s="443"/>
      <c r="S18" s="437">
        <f t="shared" ca="1" si="60"/>
        <v>0</v>
      </c>
      <c r="T18" s="342" t="str">
        <f t="shared" si="61"/>
        <v/>
      </c>
      <c r="U18" s="342" t="str">
        <f t="shared" si="62"/>
        <v/>
      </c>
      <c r="V18" s="340">
        <f>IFERROR(VLOOKUP($U18,HomeBroker!$A$30:$F$60,2,0),0)</f>
        <v>0</v>
      </c>
      <c r="W18" s="440">
        <f>IFERROR(VLOOKUP($U18,HomeBroker!$A$30:$F$60,3,0),0)</f>
        <v>0</v>
      </c>
      <c r="X18" s="610">
        <f>IFERROR(VLOOKUP($U18,HomeBroker!$A$30:$F$60,6,0),0)</f>
        <v>0</v>
      </c>
      <c r="Y18" s="439">
        <f>IFERROR(VLOOKUP($U18,HomeBroker!$A$30:$F$60,4,0),0)</f>
        <v>0</v>
      </c>
      <c r="Z18" s="340">
        <f>IFERROR(VLOOKUP($U18,HomeBroker!$A$30:$F$60,5,0),0)</f>
        <v>0</v>
      </c>
      <c r="AA18" s="343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43"/>
      <c r="AE18" s="341">
        <f t="shared" ca="1" si="64"/>
        <v>0</v>
      </c>
      <c r="AF18" s="342" t="str">
        <f t="shared" si="65"/>
        <v/>
      </c>
      <c r="AG18" s="342" t="str">
        <f t="shared" si="66"/>
        <v/>
      </c>
      <c r="AH18" s="402">
        <f>IFERROR(VLOOKUP($AG18,HomeBroker!$A$30:$F$60,2,0),0)</f>
        <v>0</v>
      </c>
      <c r="AI18" s="440">
        <f>IFERROR(VLOOKUP($AG18,HomeBroker!$A$30:$F$60,3,0),0)</f>
        <v>0</v>
      </c>
      <c r="AJ18" s="610">
        <f>IFERROR(VLOOKUP($AG18,HomeBroker!$A$30:$F$60,6,0),0)</f>
        <v>0</v>
      </c>
      <c r="AK18" s="440">
        <f>IFERROR(VLOOKUP($AG18,HomeBroker!$A$30:$F$60,4,0),0)</f>
        <v>0</v>
      </c>
      <c r="AL18" s="402">
        <f>IFERROR(VLOOKUP($AG18,HomeBroker!$A$30:$F$60,5,0),0)</f>
        <v>0</v>
      </c>
      <c r="AM18" s="442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2808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-25366.69</v>
      </c>
      <c r="EU18" s="72"/>
      <c r="EV18" s="117">
        <f t="shared" si="55"/>
        <v>2808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-25366.69</v>
      </c>
    </row>
    <row r="19" spans="1:193" ht="15">
      <c r="A19" s="434" t="s">
        <v>401</v>
      </c>
      <c r="B19" s="203"/>
      <c r="C19" s="200"/>
      <c r="D19" s="446"/>
      <c r="E19" s="447">
        <f t="shared" si="0"/>
        <v>0</v>
      </c>
      <c r="F19" s="448">
        <f t="shared" si="1"/>
        <v>0</v>
      </c>
      <c r="G19" s="202" t="str">
        <f t="shared" si="2"/>
        <v/>
      </c>
      <c r="H19" s="452">
        <f t="shared" si="58"/>
        <v>0</v>
      </c>
      <c r="I19" s="453">
        <f t="shared" si="3"/>
        <v>0</v>
      </c>
      <c r="J19" s="62"/>
      <c r="K19" s="418">
        <f>IFERROR(+L19/$L$18-1,"")</f>
        <v>3.0000000000000027E-2</v>
      </c>
      <c r="L19" s="615">
        <f t="shared" ref="L19:L34" si="71">+L18*(1+$N$42)</f>
        <v>2892.2400000000002</v>
      </c>
      <c r="M19" s="476">
        <f t="shared" si="5"/>
        <v>-25366.69</v>
      </c>
      <c r="N19" s="476">
        <f t="shared" ca="1" si="6"/>
        <v>-25366.69</v>
      </c>
      <c r="O19" s="62"/>
      <c r="P19" s="198" t="str">
        <f t="shared" si="59"/>
        <v>-</v>
      </c>
      <c r="Q19" s="401">
        <f t="shared" si="69"/>
        <v>0</v>
      </c>
      <c r="R19" s="443"/>
      <c r="S19" s="437">
        <f t="shared" ca="1" si="60"/>
        <v>0</v>
      </c>
      <c r="T19" s="342" t="str">
        <f t="shared" si="61"/>
        <v/>
      </c>
      <c r="U19" s="342" t="str">
        <f t="shared" si="62"/>
        <v/>
      </c>
      <c r="V19" s="340">
        <f>IFERROR(VLOOKUP($U19,HomeBroker!$A$30:$F$60,2,0),0)</f>
        <v>0</v>
      </c>
      <c r="W19" s="440">
        <f>IFERROR(VLOOKUP($U19,HomeBroker!$A$30:$F$60,3,0),0)</f>
        <v>0</v>
      </c>
      <c r="X19" s="610">
        <f>IFERROR(VLOOKUP($U19,HomeBroker!$A$30:$F$60,6,0),0)</f>
        <v>0</v>
      </c>
      <c r="Y19" s="439">
        <f>IFERROR(VLOOKUP($U19,HomeBroker!$A$30:$F$60,4,0),0)</f>
        <v>0</v>
      </c>
      <c r="Z19" s="340">
        <f>IFERROR(VLOOKUP($U19,HomeBroker!$A$30:$F$60,5,0),0)</f>
        <v>0</v>
      </c>
      <c r="AA19" s="343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43"/>
      <c r="AE19" s="341">
        <f t="shared" ca="1" si="64"/>
        <v>0</v>
      </c>
      <c r="AF19" s="342" t="str">
        <f t="shared" si="65"/>
        <v/>
      </c>
      <c r="AG19" s="342" t="str">
        <f t="shared" si="66"/>
        <v/>
      </c>
      <c r="AH19" s="402">
        <f>IFERROR(VLOOKUP($AG19,HomeBroker!$A$30:$F$60,2,0),0)</f>
        <v>0</v>
      </c>
      <c r="AI19" s="440">
        <f>IFERROR(VLOOKUP($AG19,HomeBroker!$A$30:$F$60,3,0),0)</f>
        <v>0</v>
      </c>
      <c r="AJ19" s="610">
        <f>IFERROR(VLOOKUP($AG19,HomeBroker!$A$30:$F$60,6,0),0)</f>
        <v>0</v>
      </c>
      <c r="AK19" s="440">
        <f>IFERROR(VLOOKUP($AG19,HomeBroker!$A$30:$F$60,4,0),0)</f>
        <v>0</v>
      </c>
      <c r="AL19" s="402">
        <f>IFERROR(VLOOKUP($AG19,HomeBroker!$A$30:$F$60,5,0),0)</f>
        <v>0</v>
      </c>
      <c r="AM19" s="442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2892.2400000000002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-25366.69</v>
      </c>
      <c r="EU19" s="72"/>
      <c r="EV19" s="117">
        <f t="shared" si="55"/>
        <v>2892.2400000000002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-25366.69</v>
      </c>
    </row>
    <row r="20" spans="1:193" ht="15">
      <c r="A20" s="434" t="s">
        <v>401</v>
      </c>
      <c r="B20" s="203"/>
      <c r="C20" s="200"/>
      <c r="D20" s="446"/>
      <c r="E20" s="447">
        <f t="shared" si="0"/>
        <v>0</v>
      </c>
      <c r="F20" s="448">
        <f t="shared" si="1"/>
        <v>0</v>
      </c>
      <c r="G20" s="202" t="str">
        <f t="shared" si="2"/>
        <v/>
      </c>
      <c r="H20" s="452">
        <f t="shared" si="58"/>
        <v>0</v>
      </c>
      <c r="I20" s="453">
        <f t="shared" si="3"/>
        <v>0</v>
      </c>
      <c r="J20" s="62"/>
      <c r="K20" s="419">
        <f t="shared" ref="K20:K23" si="72">IFERROR(+L20/$L$18-1,"")</f>
        <v>6.0900000000000176E-2</v>
      </c>
      <c r="L20" s="615">
        <f t="shared" si="71"/>
        <v>2979.0072000000005</v>
      </c>
      <c r="M20" s="476">
        <f t="shared" si="5"/>
        <v>53640.51</v>
      </c>
      <c r="N20" s="476">
        <f t="shared" ca="1" si="6"/>
        <v>-25366.69</v>
      </c>
      <c r="O20" s="62"/>
      <c r="P20" s="198" t="str">
        <f t="shared" si="59"/>
        <v>-</v>
      </c>
      <c r="Q20" s="401">
        <f t="shared" si="69"/>
        <v>0</v>
      </c>
      <c r="R20" s="443"/>
      <c r="S20" s="437">
        <f t="shared" ca="1" si="60"/>
        <v>0</v>
      </c>
      <c r="T20" s="342" t="str">
        <f t="shared" si="61"/>
        <v/>
      </c>
      <c r="U20" s="342" t="str">
        <f t="shared" si="62"/>
        <v/>
      </c>
      <c r="V20" s="340">
        <f>IFERROR(VLOOKUP($U20,HomeBroker!$A$30:$F$60,2,0),0)</f>
        <v>0</v>
      </c>
      <c r="W20" s="440">
        <f>IFERROR(VLOOKUP($U20,HomeBroker!$A$30:$F$60,3,0),0)</f>
        <v>0</v>
      </c>
      <c r="X20" s="610">
        <f>IFERROR(VLOOKUP($U20,HomeBroker!$A$30:$F$60,6,0),0)</f>
        <v>0</v>
      </c>
      <c r="Y20" s="439">
        <f>IFERROR(VLOOKUP($U20,HomeBroker!$A$30:$F$60,4,0),0)</f>
        <v>0</v>
      </c>
      <c r="Z20" s="340">
        <f>IFERROR(VLOOKUP($U20,HomeBroker!$A$30:$F$60,5,0),0)</f>
        <v>0</v>
      </c>
      <c r="AA20" s="343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43"/>
      <c r="AE20" s="341">
        <f t="shared" ca="1" si="64"/>
        <v>0</v>
      </c>
      <c r="AF20" s="342" t="str">
        <f t="shared" si="65"/>
        <v/>
      </c>
      <c r="AG20" s="342" t="str">
        <f t="shared" si="66"/>
        <v/>
      </c>
      <c r="AH20" s="402">
        <f>IFERROR(VLOOKUP($AG20,HomeBroker!$A$30:$F$60,2,0),0)</f>
        <v>0</v>
      </c>
      <c r="AI20" s="440">
        <f>IFERROR(VLOOKUP($AG20,HomeBroker!$A$30:$F$60,3,0),0)</f>
        <v>0</v>
      </c>
      <c r="AJ20" s="610">
        <f>IFERROR(VLOOKUP($AG20,HomeBroker!$A$30:$F$60,6,0),0)</f>
        <v>0</v>
      </c>
      <c r="AK20" s="440">
        <f>IFERROR(VLOOKUP($AG20,HomeBroker!$A$30:$F$60,4,0),0)</f>
        <v>0</v>
      </c>
      <c r="AL20" s="402">
        <f>IFERROR(VLOOKUP($AG20,HomeBroker!$A$30:$F$60,5,0),0)</f>
        <v>0</v>
      </c>
      <c r="AM20" s="442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2979.0072000000005</v>
      </c>
      <c r="DF20" s="118">
        <f t="shared" si="18"/>
        <v>0</v>
      </c>
      <c r="DG20" s="118">
        <f t="shared" si="19"/>
        <v>0</v>
      </c>
      <c r="DH20" s="118">
        <f t="shared" si="20"/>
        <v>39503.600000000231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39503.600000000231</v>
      </c>
      <c r="EQ20" s="119"/>
      <c r="ER20" s="126"/>
      <c r="ES20" s="122"/>
      <c r="ET20" s="123">
        <f t="shared" si="54"/>
        <v>53640.51</v>
      </c>
      <c r="EU20" s="72"/>
      <c r="EV20" s="117">
        <f t="shared" si="55"/>
        <v>2979.0072000000005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-25366.69</v>
      </c>
    </row>
    <row r="21" spans="1:193" ht="15">
      <c r="A21" s="434" t="s">
        <v>401</v>
      </c>
      <c r="B21" s="203"/>
      <c r="C21" s="200"/>
      <c r="D21" s="446"/>
      <c r="E21" s="447">
        <f t="shared" si="0"/>
        <v>0</v>
      </c>
      <c r="F21" s="448">
        <f t="shared" si="1"/>
        <v>0</v>
      </c>
      <c r="G21" s="202" t="str">
        <f t="shared" si="2"/>
        <v/>
      </c>
      <c r="H21" s="452">
        <f t="shared" si="58"/>
        <v>0</v>
      </c>
      <c r="I21" s="453">
        <f t="shared" si="3"/>
        <v>0</v>
      </c>
      <c r="J21" s="62"/>
      <c r="K21" s="419">
        <f t="shared" si="72"/>
        <v>9.2727000000000226E-2</v>
      </c>
      <c r="L21" s="615">
        <f t="shared" si="71"/>
        <v>3068.3774160000007</v>
      </c>
      <c r="M21" s="477">
        <f t="shared" si="5"/>
        <v>33606.86</v>
      </c>
      <c r="N21" s="477">
        <f t="shared" ca="1" si="6"/>
        <v>-25366.69</v>
      </c>
      <c r="O21" s="62"/>
      <c r="P21" s="198" t="str">
        <f t="shared" si="59"/>
        <v>-</v>
      </c>
      <c r="Q21" s="401">
        <f t="shared" si="69"/>
        <v>0</v>
      </c>
      <c r="R21" s="443"/>
      <c r="S21" s="437">
        <f t="shared" ca="1" si="60"/>
        <v>0</v>
      </c>
      <c r="T21" s="342" t="str">
        <f t="shared" si="61"/>
        <v/>
      </c>
      <c r="U21" s="342" t="str">
        <f t="shared" si="62"/>
        <v/>
      </c>
      <c r="V21" s="340">
        <f>IFERROR(VLOOKUP($U21,HomeBroker!$A$30:$F$60,2,0),0)</f>
        <v>0</v>
      </c>
      <c r="W21" s="440">
        <f>IFERROR(VLOOKUP($U21,HomeBroker!$A$30:$F$60,3,0),0)</f>
        <v>0</v>
      </c>
      <c r="X21" s="610">
        <f>IFERROR(VLOOKUP($U21,HomeBroker!$A$30:$F$60,6,0),0)</f>
        <v>0</v>
      </c>
      <c r="Y21" s="439">
        <f>IFERROR(VLOOKUP($U21,HomeBroker!$A$30:$F$60,4,0),0)</f>
        <v>0</v>
      </c>
      <c r="Z21" s="340">
        <f>IFERROR(VLOOKUP($U21,HomeBroker!$A$30:$F$60,5,0),0)</f>
        <v>0</v>
      </c>
      <c r="AA21" s="343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43"/>
      <c r="AE21" s="341">
        <f t="shared" ca="1" si="64"/>
        <v>0</v>
      </c>
      <c r="AF21" s="342" t="str">
        <f t="shared" si="65"/>
        <v/>
      </c>
      <c r="AG21" s="342" t="str">
        <f t="shared" si="66"/>
        <v/>
      </c>
      <c r="AH21" s="402">
        <f>IFERROR(VLOOKUP($AG21,HomeBroker!$A$30:$F$60,2,0),0)</f>
        <v>0</v>
      </c>
      <c r="AI21" s="440">
        <f>IFERROR(VLOOKUP($AG21,HomeBroker!$A$30:$F$60,3,0),0)</f>
        <v>0</v>
      </c>
      <c r="AJ21" s="610">
        <f>IFERROR(VLOOKUP($AG21,HomeBroker!$A$30:$F$60,6,0),0)</f>
        <v>0</v>
      </c>
      <c r="AK21" s="440">
        <f>IFERROR(VLOOKUP($AG21,HomeBroker!$A$30:$F$60,4,0),0)</f>
        <v>0</v>
      </c>
      <c r="AL21" s="402">
        <f>IFERROR(VLOOKUP($AG21,HomeBroker!$A$30:$F$60,5,0),0)</f>
        <v>0</v>
      </c>
      <c r="AM21" s="442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3068.3774160000007</v>
      </c>
      <c r="DF21" s="118">
        <f t="shared" si="18"/>
        <v>0</v>
      </c>
      <c r="DG21" s="118">
        <f t="shared" si="19"/>
        <v>0</v>
      </c>
      <c r="DH21" s="118">
        <f t="shared" si="20"/>
        <v>84188.708000000363</v>
      </c>
      <c r="DI21" s="118">
        <f t="shared" si="21"/>
        <v>-54701.932800000577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29486.775199999785</v>
      </c>
      <c r="EQ21" s="119"/>
      <c r="ER21" s="126"/>
      <c r="ES21" s="122"/>
      <c r="ET21" s="123">
        <f t="shared" si="54"/>
        <v>33606.86</v>
      </c>
      <c r="EU21" s="72"/>
      <c r="EV21" s="117">
        <f t="shared" si="55"/>
        <v>3068.3774160000007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-25366.69</v>
      </c>
    </row>
    <row r="22" spans="1:193" ht="15">
      <c r="A22" s="434" t="s">
        <v>401</v>
      </c>
      <c r="B22" s="203"/>
      <c r="C22" s="200"/>
      <c r="D22" s="446"/>
      <c r="E22" s="447">
        <f t="shared" si="0"/>
        <v>0</v>
      </c>
      <c r="F22" s="448">
        <f t="shared" si="1"/>
        <v>0</v>
      </c>
      <c r="G22" s="202" t="str">
        <f t="shared" si="2"/>
        <v/>
      </c>
      <c r="H22" s="452">
        <f t="shared" si="58"/>
        <v>0</v>
      </c>
      <c r="I22" s="453">
        <f t="shared" si="3"/>
        <v>0</v>
      </c>
      <c r="J22" s="62"/>
      <c r="K22" s="419">
        <f t="shared" si="72"/>
        <v>0.12550881000000036</v>
      </c>
      <c r="L22" s="615">
        <f t="shared" si="71"/>
        <v>3160.4287384800009</v>
      </c>
      <c r="M22" s="476">
        <f t="shared" si="5"/>
        <v>13833.77</v>
      </c>
      <c r="N22" s="476">
        <f t="shared" ca="1" si="6"/>
        <v>-25366.69</v>
      </c>
      <c r="O22" s="62"/>
      <c r="P22" s="198" t="str">
        <f t="shared" si="59"/>
        <v>-</v>
      </c>
      <c r="Q22" s="401">
        <f t="shared" si="69"/>
        <v>0</v>
      </c>
      <c r="R22" s="443"/>
      <c r="S22" s="437">
        <f t="shared" ca="1" si="60"/>
        <v>0</v>
      </c>
      <c r="T22" s="342" t="str">
        <f t="shared" si="61"/>
        <v/>
      </c>
      <c r="U22" s="342" t="str">
        <f t="shared" si="62"/>
        <v/>
      </c>
      <c r="V22" s="340">
        <f>IFERROR(VLOOKUP($U22,HomeBroker!$A$30:$F$60,2,0),0)</f>
        <v>0</v>
      </c>
      <c r="W22" s="440">
        <f>IFERROR(VLOOKUP($U22,HomeBroker!$A$30:$F$60,3,0),0)</f>
        <v>0</v>
      </c>
      <c r="X22" s="610">
        <f>IFERROR(VLOOKUP($U22,HomeBroker!$A$30:$F$60,6,0),0)</f>
        <v>0</v>
      </c>
      <c r="Y22" s="439">
        <f>IFERROR(VLOOKUP($U22,HomeBroker!$A$30:$F$60,4,0),0)</f>
        <v>0</v>
      </c>
      <c r="Z22" s="340">
        <f>IFERROR(VLOOKUP($U22,HomeBroker!$A$30:$F$60,5,0),0)</f>
        <v>0</v>
      </c>
      <c r="AA22" s="343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43"/>
      <c r="AE22" s="341">
        <f t="shared" ca="1" si="64"/>
        <v>0</v>
      </c>
      <c r="AF22" s="342" t="str">
        <f t="shared" si="65"/>
        <v/>
      </c>
      <c r="AG22" s="342" t="str">
        <f t="shared" si="66"/>
        <v/>
      </c>
      <c r="AH22" s="402">
        <f>IFERROR(VLOOKUP($AG22,HomeBroker!$A$30:$F$60,2,0),0)</f>
        <v>0</v>
      </c>
      <c r="AI22" s="440">
        <f>IFERROR(VLOOKUP($AG22,HomeBroker!$A$30:$F$60,3,0),0)</f>
        <v>0</v>
      </c>
      <c r="AJ22" s="610">
        <f>IFERROR(VLOOKUP($AG22,HomeBroker!$A$30:$F$60,6,0),0)</f>
        <v>0</v>
      </c>
      <c r="AK22" s="440">
        <f>IFERROR(VLOOKUP($AG22,HomeBroker!$A$30:$F$60,4,0),0)</f>
        <v>0</v>
      </c>
      <c r="AL22" s="402">
        <f>IFERROR(VLOOKUP($AG22,HomeBroker!$A$30:$F$60,5,0),0)</f>
        <v>0</v>
      </c>
      <c r="AM22" s="442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3160.4287384800009</v>
      </c>
      <c r="DF22" s="118">
        <f t="shared" si="18"/>
        <v>17728.855416001534</v>
      </c>
      <c r="DG22" s="118">
        <f t="shared" si="19"/>
        <v>0</v>
      </c>
      <c r="DH22" s="118">
        <f t="shared" si="20"/>
        <v>130214.36924000045</v>
      </c>
      <c r="DI22" s="118">
        <f t="shared" si="21"/>
        <v>-128342.99078400072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19600.233872001263</v>
      </c>
      <c r="EQ22" s="119"/>
      <c r="ER22" s="126"/>
      <c r="ES22" s="122"/>
      <c r="ET22" s="123">
        <f t="shared" si="54"/>
        <v>13833.77</v>
      </c>
      <c r="EU22" s="72"/>
      <c r="EV22" s="117">
        <f t="shared" si="55"/>
        <v>3160.4287384800009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-25366.69</v>
      </c>
    </row>
    <row r="23" spans="1:193" ht="15">
      <c r="A23" s="434" t="s">
        <v>401</v>
      </c>
      <c r="B23" s="203"/>
      <c r="C23" s="200"/>
      <c r="D23" s="446"/>
      <c r="E23" s="447">
        <f t="shared" si="0"/>
        <v>0</v>
      </c>
      <c r="F23" s="448">
        <f t="shared" si="1"/>
        <v>0</v>
      </c>
      <c r="G23" s="202" t="str">
        <f t="shared" si="2"/>
        <v/>
      </c>
      <c r="H23" s="452">
        <f t="shared" si="58"/>
        <v>0</v>
      </c>
      <c r="I23" s="453">
        <f t="shared" si="3"/>
        <v>0</v>
      </c>
      <c r="J23" s="62"/>
      <c r="K23" s="419">
        <f t="shared" si="72"/>
        <v>0.15927407430000029</v>
      </c>
      <c r="L23" s="615">
        <f t="shared" si="71"/>
        <v>3255.241600634401</v>
      </c>
      <c r="M23" s="476">
        <f t="shared" si="5"/>
        <v>279309.78999999998</v>
      </c>
      <c r="N23" s="476">
        <f t="shared" ca="1" si="6"/>
        <v>-25366.69</v>
      </c>
      <c r="O23" s="62"/>
      <c r="P23" s="198" t="str">
        <f t="shared" si="59"/>
        <v>-</v>
      </c>
      <c r="Q23" s="401">
        <f t="shared" si="69"/>
        <v>0</v>
      </c>
      <c r="R23" s="194"/>
      <c r="S23" s="437">
        <f t="shared" ca="1" si="60"/>
        <v>0</v>
      </c>
      <c r="T23" s="342" t="str">
        <f t="shared" si="61"/>
        <v/>
      </c>
      <c r="U23" s="342" t="str">
        <f t="shared" si="62"/>
        <v/>
      </c>
      <c r="V23" s="340">
        <f>IFERROR(VLOOKUP($U23,HomeBroker!$A$30:$F$60,2,0),0)</f>
        <v>0</v>
      </c>
      <c r="W23" s="440">
        <f>IFERROR(VLOOKUP($U23,HomeBroker!$A$30:$F$60,3,0),0)</f>
        <v>0</v>
      </c>
      <c r="X23" s="610">
        <f>IFERROR(VLOOKUP($U23,HomeBroker!$A$30:$F$60,6,0),0)</f>
        <v>0</v>
      </c>
      <c r="Y23" s="439">
        <f>IFERROR(VLOOKUP($U23,HomeBroker!$A$30:$F$60,4,0),0)</f>
        <v>0</v>
      </c>
      <c r="Z23" s="340">
        <f>IFERROR(VLOOKUP($U23,HomeBroker!$A$30:$F$60,5,0),0)</f>
        <v>0</v>
      </c>
      <c r="AA23" s="343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41">
        <f t="shared" ca="1" si="64"/>
        <v>0</v>
      </c>
      <c r="AF23" s="342" t="str">
        <f t="shared" si="65"/>
        <v/>
      </c>
      <c r="AG23" s="342" t="str">
        <f t="shared" si="66"/>
        <v/>
      </c>
      <c r="AH23" s="402">
        <f>IFERROR(VLOOKUP($AG23,HomeBroker!$A$30:$F$60,2,0),0)</f>
        <v>0</v>
      </c>
      <c r="AI23" s="440">
        <f>IFERROR(VLOOKUP($AG23,HomeBroker!$A$30:$F$60,3,0),0)</f>
        <v>0</v>
      </c>
      <c r="AJ23" s="610">
        <f>IFERROR(VLOOKUP($AG23,HomeBroker!$A$30:$F$60,6,0),0)</f>
        <v>0</v>
      </c>
      <c r="AK23" s="440">
        <f>IFERROR(VLOOKUP($AG23,HomeBroker!$A$30:$F$60,4,0),0)</f>
        <v>0</v>
      </c>
      <c r="AL23" s="402">
        <f>IFERROR(VLOOKUP($AG23,HomeBroker!$A$30:$F$60,5,0),0)</f>
        <v>0</v>
      </c>
      <c r="AM23" s="442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3255.241600634401</v>
      </c>
      <c r="DF23" s="118">
        <f t="shared" si="18"/>
        <v>178910.72107848176</v>
      </c>
      <c r="DG23" s="118">
        <f t="shared" si="19"/>
        <v>0</v>
      </c>
      <c r="DH23" s="118">
        <f t="shared" si="20"/>
        <v>177620.80031720051</v>
      </c>
      <c r="DI23" s="118">
        <f t="shared" si="21"/>
        <v>-204193.28050752083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152338.24088816141</v>
      </c>
      <c r="EQ23" s="119"/>
      <c r="ER23" s="126"/>
      <c r="ES23" s="122"/>
      <c r="ET23" s="123">
        <f t="shared" si="54"/>
        <v>279309.78999999998</v>
      </c>
      <c r="EU23" s="72"/>
      <c r="EV23" s="117">
        <f t="shared" si="55"/>
        <v>3255.241600634401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-25366.69</v>
      </c>
    </row>
    <row r="24" spans="1:193" ht="15">
      <c r="A24" s="434" t="s">
        <v>401</v>
      </c>
      <c r="B24" s="203"/>
      <c r="C24" s="200"/>
      <c r="D24" s="446"/>
      <c r="E24" s="447">
        <f t="shared" si="0"/>
        <v>0</v>
      </c>
      <c r="F24" s="448">
        <f t="shared" si="1"/>
        <v>0</v>
      </c>
      <c r="G24" s="202" t="str">
        <f t="shared" si="2"/>
        <v/>
      </c>
      <c r="H24" s="452">
        <f t="shared" si="58"/>
        <v>0</v>
      </c>
      <c r="I24" s="453">
        <f t="shared" si="3"/>
        <v>0</v>
      </c>
      <c r="J24" s="62"/>
      <c r="K24" s="416">
        <f>IFERROR(+L24/$L$18-1,"")</f>
        <v>0.19405229652900036</v>
      </c>
      <c r="L24" s="614">
        <f t="shared" si="71"/>
        <v>3352.8988486534331</v>
      </c>
      <c r="M24" s="477">
        <f t="shared" si="5"/>
        <v>372894</v>
      </c>
      <c r="N24" s="477">
        <f t="shared" ca="1" si="6"/>
        <v>-25366.69</v>
      </c>
      <c r="O24" s="62"/>
      <c r="P24" s="198" t="str">
        <f t="shared" si="59"/>
        <v>-</v>
      </c>
      <c r="Q24" s="401">
        <f t="shared" si="69"/>
        <v>0</v>
      </c>
      <c r="R24" s="194"/>
      <c r="S24" s="437">
        <f t="shared" ca="1" si="60"/>
        <v>0</v>
      </c>
      <c r="T24" s="342" t="str">
        <f t="shared" si="61"/>
        <v/>
      </c>
      <c r="U24" s="342" t="str">
        <f t="shared" si="62"/>
        <v/>
      </c>
      <c r="V24" s="340">
        <f>IFERROR(VLOOKUP($U24,HomeBroker!$A$30:$F$60,2,0),0)</f>
        <v>0</v>
      </c>
      <c r="W24" s="440">
        <f>IFERROR(VLOOKUP($U24,HomeBroker!$A$30:$F$60,3,0),0)</f>
        <v>0</v>
      </c>
      <c r="X24" s="610">
        <f>IFERROR(VLOOKUP($U24,HomeBroker!$A$30:$F$60,6,0),0)</f>
        <v>0</v>
      </c>
      <c r="Y24" s="439">
        <f>IFERROR(VLOOKUP($U24,HomeBroker!$A$30:$F$60,4,0),0)</f>
        <v>0</v>
      </c>
      <c r="Z24" s="340">
        <f>IFERROR(VLOOKUP($U24,HomeBroker!$A$30:$F$60,5,0),0)</f>
        <v>0</v>
      </c>
      <c r="AA24" s="343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41">
        <f t="shared" ca="1" si="64"/>
        <v>0</v>
      </c>
      <c r="AF24" s="342" t="str">
        <f t="shared" si="65"/>
        <v/>
      </c>
      <c r="AG24" s="342" t="str">
        <f t="shared" si="66"/>
        <v/>
      </c>
      <c r="AH24" s="402">
        <f>IFERROR(VLOOKUP($AG24,HomeBroker!$A$30:$F$60,2,0),0)</f>
        <v>0</v>
      </c>
      <c r="AI24" s="440">
        <f>IFERROR(VLOOKUP($AG24,HomeBroker!$A$30:$F$60,3,0),0)</f>
        <v>0</v>
      </c>
      <c r="AJ24" s="610">
        <f>IFERROR(VLOOKUP($AG24,HomeBroker!$A$30:$F$60,6,0),0)</f>
        <v>0</v>
      </c>
      <c r="AK24" s="440">
        <f>IFERROR(VLOOKUP($AG24,HomeBroker!$A$30:$F$60,4,0),0)</f>
        <v>0</v>
      </c>
      <c r="AL24" s="402">
        <f>IFERROR(VLOOKUP($AG24,HomeBroker!$A$30:$F$60,5,0),0)</f>
        <v>0</v>
      </c>
      <c r="AM24" s="442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3352.8988486534331</v>
      </c>
      <c r="DF24" s="118">
        <f t="shared" si="18"/>
        <v>344928.04271083628</v>
      </c>
      <c r="DG24" s="118">
        <f t="shared" si="19"/>
        <v>-89928.042710836278</v>
      </c>
      <c r="DH24" s="118">
        <f t="shared" si="20"/>
        <v>226449.42432671654</v>
      </c>
      <c r="DI24" s="118">
        <f t="shared" si="21"/>
        <v>-282319.07892274647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199130.3454039701</v>
      </c>
      <c r="EQ24" s="119"/>
      <c r="ER24" s="126"/>
      <c r="ES24" s="122"/>
      <c r="ET24" s="123">
        <f t="shared" si="54"/>
        <v>372894</v>
      </c>
      <c r="EU24" s="72"/>
      <c r="EV24" s="117">
        <f t="shared" si="55"/>
        <v>3352.8988486534331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-25366.69</v>
      </c>
    </row>
    <row r="25" spans="1:193" ht="15">
      <c r="A25" s="434" t="s">
        <v>401</v>
      </c>
      <c r="B25" s="203"/>
      <c r="C25" s="200"/>
      <c r="D25" s="446"/>
      <c r="E25" s="447">
        <f t="shared" si="0"/>
        <v>0</v>
      </c>
      <c r="F25" s="448">
        <f t="shared" si="1"/>
        <v>0</v>
      </c>
      <c r="G25" s="202" t="str">
        <f t="shared" si="2"/>
        <v/>
      </c>
      <c r="H25" s="452">
        <f t="shared" si="58"/>
        <v>0</v>
      </c>
      <c r="I25" s="453">
        <f t="shared" si="3"/>
        <v>0</v>
      </c>
      <c r="J25" s="62"/>
      <c r="K25" s="417"/>
      <c r="L25" s="614">
        <f t="shared" si="71"/>
        <v>3453.4858141130362</v>
      </c>
      <c r="M25" s="476">
        <f t="shared" si="5"/>
        <v>312541.82</v>
      </c>
      <c r="N25" s="476">
        <f t="shared" ca="1" si="6"/>
        <v>-25366.69</v>
      </c>
      <c r="O25" s="62"/>
      <c r="P25" s="198" t="str">
        <f t="shared" si="59"/>
        <v>-</v>
      </c>
      <c r="Q25" s="401">
        <f t="shared" si="69"/>
        <v>0</v>
      </c>
      <c r="R25" s="194"/>
      <c r="S25" s="437">
        <f t="shared" ca="1" si="60"/>
        <v>0</v>
      </c>
      <c r="T25" s="342" t="str">
        <f t="shared" si="61"/>
        <v/>
      </c>
      <c r="U25" s="342" t="str">
        <f t="shared" si="62"/>
        <v/>
      </c>
      <c r="V25" s="340">
        <f>IFERROR(VLOOKUP($U25,HomeBroker!$A$30:$F$60,2,0),0)</f>
        <v>0</v>
      </c>
      <c r="W25" s="440">
        <f>IFERROR(VLOOKUP($U25,HomeBroker!$A$30:$F$60,3,0),0)</f>
        <v>0</v>
      </c>
      <c r="X25" s="610">
        <f>IFERROR(VLOOKUP($U25,HomeBroker!$A$30:$F$60,6,0),0)</f>
        <v>0</v>
      </c>
      <c r="Y25" s="439">
        <f>IFERROR(VLOOKUP($U25,HomeBroker!$A$30:$F$60,4,0),0)</f>
        <v>0</v>
      </c>
      <c r="Z25" s="340">
        <f>IFERROR(VLOOKUP($U25,HomeBroker!$A$30:$F$60,5,0),0)</f>
        <v>0</v>
      </c>
      <c r="AA25" s="343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41">
        <f t="shared" ca="1" si="64"/>
        <v>0</v>
      </c>
      <c r="AF25" s="342" t="str">
        <f t="shared" si="65"/>
        <v/>
      </c>
      <c r="AG25" s="342" t="str">
        <f t="shared" si="66"/>
        <v/>
      </c>
      <c r="AH25" s="402">
        <f>IFERROR(VLOOKUP($AG25,HomeBroker!$A$30:$F$60,2,0),0)</f>
        <v>0</v>
      </c>
      <c r="AI25" s="440">
        <f>IFERROR(VLOOKUP($AG25,HomeBroker!$A$30:$F$60,3,0),0)</f>
        <v>0</v>
      </c>
      <c r="AJ25" s="610">
        <f>IFERROR(VLOOKUP($AG25,HomeBroker!$A$30:$F$60,6,0),0)</f>
        <v>0</v>
      </c>
      <c r="AK25" s="440">
        <f>IFERROR(VLOOKUP($AG25,HomeBroker!$A$30:$F$60,4,0),0)</f>
        <v>0</v>
      </c>
      <c r="AL25" s="402">
        <f>IFERROR(VLOOKUP($AG25,HomeBroker!$A$30:$F$60,5,0),0)</f>
        <v>0</v>
      </c>
      <c r="AM25" s="442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3453.4858141130362</v>
      </c>
      <c r="DF25" s="118">
        <f t="shared" si="18"/>
        <v>515925.88399216154</v>
      </c>
      <c r="DG25" s="118">
        <f t="shared" si="19"/>
        <v>-260925.88399216157</v>
      </c>
      <c r="DH25" s="118">
        <f t="shared" si="20"/>
        <v>276742.90705651813</v>
      </c>
      <c r="DI25" s="118">
        <f t="shared" si="21"/>
        <v>-362788.65129042894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168954.25576608919</v>
      </c>
      <c r="EQ25" s="119"/>
      <c r="ER25" s="126"/>
      <c r="ES25" s="122"/>
      <c r="ET25" s="123">
        <f t="shared" si="54"/>
        <v>312541.82</v>
      </c>
      <c r="EU25" s="72"/>
      <c r="EV25" s="117">
        <f t="shared" si="55"/>
        <v>3453.4858141130362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-25366.69</v>
      </c>
    </row>
    <row r="26" spans="1:193" ht="15">
      <c r="A26" s="434" t="s">
        <v>401</v>
      </c>
      <c r="B26" s="203"/>
      <c r="C26" s="200"/>
      <c r="D26" s="446"/>
      <c r="E26" s="447">
        <f t="shared" si="0"/>
        <v>0</v>
      </c>
      <c r="F26" s="448">
        <f t="shared" si="1"/>
        <v>0</v>
      </c>
      <c r="G26" s="202" t="str">
        <f t="shared" si="2"/>
        <v/>
      </c>
      <c r="H26" s="452">
        <f t="shared" si="58"/>
        <v>0</v>
      </c>
      <c r="I26" s="453">
        <f t="shared" si="3"/>
        <v>0</v>
      </c>
      <c r="J26" s="62"/>
      <c r="K26" s="417"/>
      <c r="L26" s="614">
        <f t="shared" si="71"/>
        <v>3557.0903885364273</v>
      </c>
      <c r="M26" s="476">
        <f t="shared" si="5"/>
        <v>250379.07</v>
      </c>
      <c r="N26" s="476">
        <f t="shared" ca="1" si="6"/>
        <v>-25366.69</v>
      </c>
      <c r="O26" s="62"/>
      <c r="P26" s="198" t="str">
        <f t="shared" si="59"/>
        <v>-</v>
      </c>
      <c r="Q26" s="401">
        <f t="shared" si="69"/>
        <v>0</v>
      </c>
      <c r="R26" s="194"/>
      <c r="S26" s="437">
        <f t="shared" ca="1" si="60"/>
        <v>0</v>
      </c>
      <c r="T26" s="342" t="str">
        <f t="shared" si="61"/>
        <v/>
      </c>
      <c r="U26" s="342" t="str">
        <f t="shared" si="62"/>
        <v/>
      </c>
      <c r="V26" s="340">
        <f>IFERROR(VLOOKUP($U26,HomeBroker!$A$30:$F$60,2,0),0)</f>
        <v>0</v>
      </c>
      <c r="W26" s="440">
        <f>IFERROR(VLOOKUP($U26,HomeBroker!$A$30:$F$60,3,0),0)</f>
        <v>0</v>
      </c>
      <c r="X26" s="610">
        <f>IFERROR(VLOOKUP($U26,HomeBroker!$A$30:$F$60,6,0),0)</f>
        <v>0</v>
      </c>
      <c r="Y26" s="439">
        <f>IFERROR(VLOOKUP($U26,HomeBroker!$A$30:$F$60,4,0),0)</f>
        <v>0</v>
      </c>
      <c r="Z26" s="340">
        <f>IFERROR(VLOOKUP($U26,HomeBroker!$A$30:$F$60,5,0),0)</f>
        <v>0</v>
      </c>
      <c r="AA26" s="343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41">
        <f t="shared" ca="1" si="64"/>
        <v>0</v>
      </c>
      <c r="AF26" s="342" t="str">
        <f t="shared" si="65"/>
        <v/>
      </c>
      <c r="AG26" s="342" t="str">
        <f t="shared" si="66"/>
        <v/>
      </c>
      <c r="AH26" s="402">
        <f>IFERROR(VLOOKUP($AG26,HomeBroker!$A$30:$F$60,2,0),0)</f>
        <v>0</v>
      </c>
      <c r="AI26" s="440">
        <f>IFERROR(VLOOKUP($AG26,HomeBroker!$A$30:$F$60,3,0),0)</f>
        <v>0</v>
      </c>
      <c r="AJ26" s="610">
        <f>IFERROR(VLOOKUP($AG26,HomeBroker!$A$30:$F$60,6,0),0)</f>
        <v>0</v>
      </c>
      <c r="AK26" s="440">
        <f>IFERROR(VLOOKUP($AG26,HomeBroker!$A$30:$F$60,4,0),0)</f>
        <v>0</v>
      </c>
      <c r="AL26" s="402">
        <f>IFERROR(VLOOKUP($AG26,HomeBroker!$A$30:$F$60,5,0),0)</f>
        <v>0</v>
      </c>
      <c r="AM26" s="442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3557.0903885364273</v>
      </c>
      <c r="DF26" s="118">
        <f t="shared" si="18"/>
        <v>692053.6605119264</v>
      </c>
      <c r="DG26" s="118">
        <f t="shared" si="19"/>
        <v>-437053.66051192646</v>
      </c>
      <c r="DH26" s="118">
        <f t="shared" si="20"/>
        <v>328545.19426821364</v>
      </c>
      <c r="DI26" s="118">
        <f t="shared" si="21"/>
        <v>-445672.31082914188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137872.88343907171</v>
      </c>
      <c r="EQ26" s="119"/>
      <c r="ER26" s="126"/>
      <c r="ES26" s="122"/>
      <c r="ET26" s="123">
        <f t="shared" si="54"/>
        <v>250379.07</v>
      </c>
      <c r="EU26" s="72"/>
      <c r="EV26" s="117">
        <f t="shared" si="55"/>
        <v>3557.0903885364273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-25366.69</v>
      </c>
    </row>
    <row r="27" spans="1:193" ht="15">
      <c r="A27" s="434" t="s">
        <v>401</v>
      </c>
      <c r="B27" s="205"/>
      <c r="C27" s="200"/>
      <c r="D27" s="446"/>
      <c r="E27" s="447">
        <f t="shared" si="0"/>
        <v>0</v>
      </c>
      <c r="F27" s="448">
        <f t="shared" si="1"/>
        <v>0</v>
      </c>
      <c r="G27" s="202" t="str">
        <f t="shared" si="2"/>
        <v/>
      </c>
      <c r="H27" s="452">
        <f t="shared" si="58"/>
        <v>0</v>
      </c>
      <c r="I27" s="453">
        <f t="shared" si="3"/>
        <v>0</v>
      </c>
      <c r="J27" s="62"/>
      <c r="K27" s="417"/>
      <c r="L27" s="614">
        <f t="shared" si="71"/>
        <v>3663.8031001925201</v>
      </c>
      <c r="M27" s="477">
        <f t="shared" si="5"/>
        <v>186351.45</v>
      </c>
      <c r="N27" s="477">
        <f t="shared" ca="1" si="6"/>
        <v>-25366.69</v>
      </c>
      <c r="O27" s="62"/>
      <c r="P27" s="198" t="str">
        <f t="shared" si="59"/>
        <v>-</v>
      </c>
      <c r="Q27" s="401">
        <f t="shared" si="69"/>
        <v>0</v>
      </c>
      <c r="R27" s="194"/>
      <c r="S27" s="437">
        <f t="shared" ca="1" si="60"/>
        <v>0</v>
      </c>
      <c r="T27" s="34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2" t="str">
        <f t="shared" si="62"/>
        <v/>
      </c>
      <c r="V27" s="340">
        <f>IFERROR(VLOOKUP($U27,HomeBroker!$A$30:$F$60,2,0),0)</f>
        <v>0</v>
      </c>
      <c r="W27" s="440">
        <f>IFERROR(VLOOKUP($U27,HomeBroker!$A$30:$F$60,3,0),0)</f>
        <v>0</v>
      </c>
      <c r="X27" s="610">
        <f>IFERROR(VLOOKUP($U27,HomeBroker!$A$30:$F$60,6,0),0)</f>
        <v>0</v>
      </c>
      <c r="Y27" s="439">
        <f>IFERROR(VLOOKUP($U27,HomeBroker!$A$30:$F$60,4,0),0)</f>
        <v>0</v>
      </c>
      <c r="Z27" s="340">
        <f>IFERROR(VLOOKUP($U27,HomeBroker!$A$30:$F$60,5,0),0)</f>
        <v>0</v>
      </c>
      <c r="AA27" s="343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41">
        <f t="shared" ca="1" si="64"/>
        <v>0</v>
      </c>
      <c r="AF27" s="34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02">
        <f>IFERROR(VLOOKUP($AG27,HomeBroker!$A$30:$F$60,2,0),0)</f>
        <v>0</v>
      </c>
      <c r="AI27" s="440">
        <f>IFERROR(VLOOKUP($AG27,HomeBroker!$A$30:$F$60,3,0),0)</f>
        <v>0</v>
      </c>
      <c r="AJ27" s="610">
        <f>IFERROR(VLOOKUP($AG27,HomeBroker!$A$30:$F$60,6,0),0)</f>
        <v>0</v>
      </c>
      <c r="AK27" s="440">
        <f>IFERROR(VLOOKUP($AG27,HomeBroker!$A$30:$F$60,4,0),0)</f>
        <v>0</v>
      </c>
      <c r="AL27" s="402">
        <f>IFERROR(VLOOKUP($AG27,HomeBroker!$A$30:$F$60,5,0),0)</f>
        <v>0</v>
      </c>
      <c r="AM27" s="442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3663.8031001925201</v>
      </c>
      <c r="DF27" s="118">
        <f t="shared" si="18"/>
        <v>873465.27032728423</v>
      </c>
      <c r="DG27" s="118">
        <f t="shared" si="19"/>
        <v>-618465.27032728423</v>
      </c>
      <c r="DH27" s="118">
        <f t="shared" si="20"/>
        <v>381901.55009626003</v>
      </c>
      <c r="DI27" s="118">
        <f t="shared" si="21"/>
        <v>-531042.48015401606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105859.06994224398</v>
      </c>
      <c r="EQ27" s="119"/>
      <c r="ER27" s="126"/>
      <c r="ES27" s="122"/>
      <c r="ET27" s="123">
        <f t="shared" si="54"/>
        <v>186351.45</v>
      </c>
      <c r="EU27" s="72"/>
      <c r="EV27" s="117">
        <f t="shared" si="55"/>
        <v>3663.8031001925201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-25366.69</v>
      </c>
    </row>
    <row r="28" spans="1:193" ht="15">
      <c r="A28" s="434" t="s">
        <v>401</v>
      </c>
      <c r="B28" s="203"/>
      <c r="C28" s="200"/>
      <c r="D28" s="446"/>
      <c r="E28" s="447">
        <f t="shared" si="0"/>
        <v>0</v>
      </c>
      <c r="F28" s="448">
        <f t="shared" si="1"/>
        <v>0</v>
      </c>
      <c r="G28" s="202" t="str">
        <f t="shared" si="2"/>
        <v/>
      </c>
      <c r="H28" s="452">
        <f t="shared" si="58"/>
        <v>0</v>
      </c>
      <c r="I28" s="453">
        <f t="shared" si="3"/>
        <v>0</v>
      </c>
      <c r="J28" s="62"/>
      <c r="K28" s="420"/>
      <c r="L28" s="614">
        <f t="shared" si="71"/>
        <v>3773.7171931982957</v>
      </c>
      <c r="M28" s="476">
        <f t="shared" si="5"/>
        <v>120402.99</v>
      </c>
      <c r="N28" s="476">
        <f t="shared" ca="1" si="6"/>
        <v>-25366.69</v>
      </c>
      <c r="O28" s="62"/>
      <c r="P28" s="198" t="str">
        <f t="shared" si="59"/>
        <v>-</v>
      </c>
      <c r="Q28" s="401">
        <f t="shared" si="69"/>
        <v>0</v>
      </c>
      <c r="R28" s="194"/>
      <c r="S28" s="437">
        <f t="shared" ca="1" si="60"/>
        <v>0</v>
      </c>
      <c r="T28" s="342" t="str">
        <f t="shared" si="73"/>
        <v/>
      </c>
      <c r="U28" s="342" t="str">
        <f t="shared" si="62"/>
        <v/>
      </c>
      <c r="V28" s="340">
        <f>IFERROR(VLOOKUP($U28,HomeBroker!$A$30:$F$60,2,0),0)</f>
        <v>0</v>
      </c>
      <c r="W28" s="440">
        <f>IFERROR(VLOOKUP($U28,HomeBroker!$A$30:$F$60,3,0),0)</f>
        <v>0</v>
      </c>
      <c r="X28" s="610">
        <f>IFERROR(VLOOKUP($U28,HomeBroker!$A$30:$F$60,6,0),0)</f>
        <v>0</v>
      </c>
      <c r="Y28" s="439">
        <f>IFERROR(VLOOKUP($U28,HomeBroker!$A$30:$F$60,4,0),0)</f>
        <v>0</v>
      </c>
      <c r="Z28" s="340">
        <f>IFERROR(VLOOKUP($U28,HomeBroker!$A$30:$F$60,5,0),0)</f>
        <v>0</v>
      </c>
      <c r="AA28" s="343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41">
        <f t="shared" ca="1" si="64"/>
        <v>0</v>
      </c>
      <c r="AF28" s="342" t="str">
        <f t="shared" si="74"/>
        <v/>
      </c>
      <c r="AG28" s="342" t="str">
        <f t="shared" si="75"/>
        <v/>
      </c>
      <c r="AH28" s="402">
        <f>IFERROR(VLOOKUP($AG28,HomeBroker!$A$30:$F$60,2,0),0)</f>
        <v>0</v>
      </c>
      <c r="AI28" s="440">
        <f>IFERROR(VLOOKUP($AG28,HomeBroker!$A$30:$F$60,3,0),0)</f>
        <v>0</v>
      </c>
      <c r="AJ28" s="610">
        <f>IFERROR(VLOOKUP($AG28,HomeBroker!$A$30:$F$60,6,0),0)</f>
        <v>0</v>
      </c>
      <c r="AK28" s="440">
        <f>IFERROR(VLOOKUP($AG28,HomeBroker!$A$30:$F$60,4,0),0)</f>
        <v>0</v>
      </c>
      <c r="AL28" s="402">
        <f>IFERROR(VLOOKUP($AG28,HomeBroker!$A$30:$F$60,5,0),0)</f>
        <v>0</v>
      </c>
      <c r="AM28" s="442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3773.7171931982957</v>
      </c>
      <c r="DF28" s="118">
        <f t="shared" si="18"/>
        <v>1060319.2284371026</v>
      </c>
      <c r="DG28" s="118">
        <f t="shared" si="19"/>
        <v>-805319.22843710275</v>
      </c>
      <c r="DH28" s="118">
        <f t="shared" si="20"/>
        <v>436858.59659914789</v>
      </c>
      <c r="DI28" s="118">
        <f t="shared" si="21"/>
        <v>-618973.75455863657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72884.842040511197</v>
      </c>
      <c r="EQ28" s="119"/>
      <c r="ER28" s="126"/>
      <c r="ES28" s="122"/>
      <c r="ET28" s="123">
        <f t="shared" si="54"/>
        <v>120402.99</v>
      </c>
      <c r="EU28" s="72"/>
      <c r="EV28" s="117">
        <f t="shared" si="55"/>
        <v>3773.7171931982957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-25366.69</v>
      </c>
    </row>
    <row r="29" spans="1:193" ht="15">
      <c r="A29" s="434" t="s">
        <v>401</v>
      </c>
      <c r="B29" s="203"/>
      <c r="C29" s="200"/>
      <c r="D29" s="446"/>
      <c r="E29" s="447">
        <f t="shared" si="0"/>
        <v>0</v>
      </c>
      <c r="F29" s="448">
        <f t="shared" si="1"/>
        <v>0</v>
      </c>
      <c r="G29" s="202" t="str">
        <f t="shared" si="2"/>
        <v/>
      </c>
      <c r="H29" s="452">
        <f t="shared" si="58"/>
        <v>0</v>
      </c>
      <c r="I29" s="453">
        <f t="shared" si="3"/>
        <v>0</v>
      </c>
      <c r="J29" s="62"/>
      <c r="K29" s="106">
        <f>IFERROR(+L29/$L$18-1,"")</f>
        <v>0.38423387072444615</v>
      </c>
      <c r="L29" s="616">
        <f t="shared" si="71"/>
        <v>3886.9287089942445</v>
      </c>
      <c r="M29" s="476">
        <f t="shared" si="5"/>
        <v>52476.08</v>
      </c>
      <c r="N29" s="476">
        <f t="shared" ca="1" si="6"/>
        <v>-25366.69</v>
      </c>
      <c r="O29" s="62"/>
      <c r="P29" s="198" t="str">
        <f t="shared" si="59"/>
        <v>-</v>
      </c>
      <c r="Q29" s="401">
        <f t="shared" si="69"/>
        <v>0</v>
      </c>
      <c r="R29" s="194"/>
      <c r="S29" s="437">
        <f t="shared" ca="1" si="60"/>
        <v>0</v>
      </c>
      <c r="T29" s="342" t="str">
        <f t="shared" si="73"/>
        <v/>
      </c>
      <c r="U29" s="342" t="str">
        <f t="shared" si="62"/>
        <v/>
      </c>
      <c r="V29" s="340">
        <f>IFERROR(VLOOKUP($U29,HomeBroker!$A$30:$F$60,2,0),0)</f>
        <v>0</v>
      </c>
      <c r="W29" s="440">
        <f>IFERROR(VLOOKUP($U29,HomeBroker!$A$30:$F$60,3,0),0)</f>
        <v>0</v>
      </c>
      <c r="X29" s="610">
        <f>IFERROR(VLOOKUP($U29,HomeBroker!$A$30:$F$60,6,0),0)</f>
        <v>0</v>
      </c>
      <c r="Y29" s="439">
        <f>IFERROR(VLOOKUP($U29,HomeBroker!$A$30:$F$60,4,0),0)</f>
        <v>0</v>
      </c>
      <c r="Z29" s="340">
        <f>IFERROR(VLOOKUP($U29,HomeBroker!$A$30:$F$60,5,0),0)</f>
        <v>0</v>
      </c>
      <c r="AA29" s="343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41">
        <f t="shared" ca="1" si="64"/>
        <v>0</v>
      </c>
      <c r="AF29" s="342" t="str">
        <f t="shared" si="74"/>
        <v/>
      </c>
      <c r="AG29" s="342" t="str">
        <f t="shared" si="75"/>
        <v/>
      </c>
      <c r="AH29" s="402">
        <f>IFERROR(VLOOKUP($AG29,HomeBroker!$A$30:$F$60,2,0),0)</f>
        <v>0</v>
      </c>
      <c r="AI29" s="440">
        <f>IFERROR(VLOOKUP($AG29,HomeBroker!$A$30:$F$60,3,0),0)</f>
        <v>0</v>
      </c>
      <c r="AJ29" s="610">
        <f>IFERROR(VLOOKUP($AG29,HomeBroker!$A$30:$F$60,6,0),0)</f>
        <v>0</v>
      </c>
      <c r="AK29" s="440">
        <f>IFERROR(VLOOKUP($AG29,HomeBroker!$A$30:$F$60,4,0),0)</f>
        <v>0</v>
      </c>
      <c r="AL29" s="402">
        <f>IFERROR(VLOOKUP($AG29,HomeBroker!$A$30:$F$60,5,0),0)</f>
        <v>0</v>
      </c>
      <c r="AM29" s="442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3886.9287089942445</v>
      </c>
      <c r="DF29" s="118">
        <f t="shared" si="18"/>
        <v>1252778.8052902156</v>
      </c>
      <c r="DG29" s="118">
        <f t="shared" si="19"/>
        <v>-997778.80529021565</v>
      </c>
      <c r="DH29" s="118">
        <f t="shared" si="20"/>
        <v>493464.35449712223</v>
      </c>
      <c r="DI29" s="118">
        <f t="shared" si="21"/>
        <v>-709542.96719539561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38921.387301726616</v>
      </c>
      <c r="EQ29" s="119"/>
      <c r="ER29" s="126"/>
      <c r="ES29" s="122"/>
      <c r="ET29" s="123">
        <f t="shared" si="54"/>
        <v>52476.08</v>
      </c>
      <c r="EU29" s="72"/>
      <c r="EV29" s="117">
        <f t="shared" si="55"/>
        <v>3886.9287089942445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-25366.69</v>
      </c>
    </row>
    <row r="30" spans="1:193" ht="15">
      <c r="A30" s="434" t="s">
        <v>401</v>
      </c>
      <c r="B30" s="203"/>
      <c r="C30" s="200"/>
      <c r="D30" s="446"/>
      <c r="E30" s="447">
        <f t="shared" si="0"/>
        <v>0</v>
      </c>
      <c r="F30" s="448">
        <f t="shared" si="1"/>
        <v>0</v>
      </c>
      <c r="G30" s="202" t="str">
        <f t="shared" si="2"/>
        <v/>
      </c>
      <c r="H30" s="452">
        <f t="shared" si="58"/>
        <v>0</v>
      </c>
      <c r="I30" s="453">
        <f t="shared" si="3"/>
        <v>0</v>
      </c>
      <c r="J30" s="62"/>
      <c r="K30" s="106"/>
      <c r="L30" s="616">
        <f t="shared" si="71"/>
        <v>4003.536570264072</v>
      </c>
      <c r="M30" s="477">
        <f t="shared" si="5"/>
        <v>-17488.63</v>
      </c>
      <c r="N30" s="477">
        <f t="shared" ca="1" si="6"/>
        <v>-25366.69</v>
      </c>
      <c r="O30" s="62"/>
      <c r="P30" s="198" t="str">
        <f t="shared" si="59"/>
        <v>-</v>
      </c>
      <c r="Q30" s="401">
        <f t="shared" si="69"/>
        <v>0</v>
      </c>
      <c r="R30" s="194"/>
      <c r="S30" s="437">
        <f t="shared" ca="1" si="60"/>
        <v>0</v>
      </c>
      <c r="T30" s="342" t="str">
        <f t="shared" si="73"/>
        <v/>
      </c>
      <c r="U30" s="342" t="str">
        <f t="shared" si="62"/>
        <v/>
      </c>
      <c r="V30" s="340">
        <f>IFERROR(VLOOKUP($U30,HomeBroker!$A$30:$F$60,2,0),0)</f>
        <v>0</v>
      </c>
      <c r="W30" s="440">
        <f>IFERROR(VLOOKUP($U30,HomeBroker!$A$30:$F$60,3,0),0)</f>
        <v>0</v>
      </c>
      <c r="X30" s="610">
        <f>IFERROR(VLOOKUP($U30,HomeBroker!$A$30:$F$60,6,0),0)</f>
        <v>0</v>
      </c>
      <c r="Y30" s="439">
        <f>IFERROR(VLOOKUP($U30,HomeBroker!$A$30:$F$60,4,0),0)</f>
        <v>0</v>
      </c>
      <c r="Z30" s="340">
        <f>IFERROR(VLOOKUP($U30,HomeBroker!$A$30:$F$60,5,0),0)</f>
        <v>0</v>
      </c>
      <c r="AA30" s="343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41">
        <f t="shared" ca="1" si="64"/>
        <v>0</v>
      </c>
      <c r="AF30" s="342" t="str">
        <f t="shared" si="74"/>
        <v/>
      </c>
      <c r="AG30" s="342" t="str">
        <f t="shared" si="75"/>
        <v/>
      </c>
      <c r="AH30" s="402">
        <f>IFERROR(VLOOKUP($AG30,HomeBroker!$A$30:$F$60,2,0),0)</f>
        <v>0</v>
      </c>
      <c r="AI30" s="440">
        <f>IFERROR(VLOOKUP($AG30,HomeBroker!$A$30:$F$60,3,0),0)</f>
        <v>0</v>
      </c>
      <c r="AJ30" s="610">
        <f>IFERROR(VLOOKUP($AG30,HomeBroker!$A$30:$F$60,6,0),0)</f>
        <v>0</v>
      </c>
      <c r="AK30" s="440">
        <f>IFERROR(VLOOKUP($AG30,HomeBroker!$A$30:$F$60,4,0),0)</f>
        <v>0</v>
      </c>
      <c r="AL30" s="402">
        <f>IFERROR(VLOOKUP($AG30,HomeBroker!$A$30:$F$60,5,0),0)</f>
        <v>0</v>
      </c>
      <c r="AM30" s="442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4003.536570264072</v>
      </c>
      <c r="DF30" s="118">
        <f t="shared" si="18"/>
        <v>1451012.1694489224</v>
      </c>
      <c r="DG30" s="118">
        <f t="shared" si="19"/>
        <v>-1196012.1694489224</v>
      </c>
      <c r="DH30" s="118">
        <f t="shared" si="20"/>
        <v>551768.28513203596</v>
      </c>
      <c r="DI30" s="118">
        <f t="shared" si="21"/>
        <v>-802829.25621125754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3939.0289207784226</v>
      </c>
      <c r="EQ30" s="119"/>
      <c r="ER30" s="126"/>
      <c r="ES30" s="122"/>
      <c r="ET30" s="123">
        <f t="shared" si="54"/>
        <v>-17488.63</v>
      </c>
      <c r="EU30" s="72"/>
      <c r="EV30" s="117">
        <f t="shared" si="55"/>
        <v>4003.536570264072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-25366.69</v>
      </c>
    </row>
    <row r="31" spans="1:193" ht="15">
      <c r="A31" s="434" t="s">
        <v>401</v>
      </c>
      <c r="B31" s="203"/>
      <c r="C31" s="200"/>
      <c r="D31" s="446"/>
      <c r="E31" s="447">
        <f t="shared" si="0"/>
        <v>0</v>
      </c>
      <c r="F31" s="448">
        <f t="shared" si="1"/>
        <v>0</v>
      </c>
      <c r="G31" s="202" t="str">
        <f t="shared" si="2"/>
        <v/>
      </c>
      <c r="H31" s="452">
        <f t="shared" si="58"/>
        <v>0</v>
      </c>
      <c r="I31" s="453">
        <f t="shared" si="3"/>
        <v>0</v>
      </c>
      <c r="J31" s="62"/>
      <c r="K31" s="106"/>
      <c r="L31" s="616">
        <f t="shared" si="71"/>
        <v>4123.6426673719943</v>
      </c>
      <c r="M31" s="476">
        <f t="shared" si="5"/>
        <v>-89552.29</v>
      </c>
      <c r="N31" s="476">
        <f t="shared" ca="1" si="6"/>
        <v>-25366.69</v>
      </c>
      <c r="O31" s="62"/>
      <c r="P31" s="198" t="str">
        <f t="shared" si="59"/>
        <v>-</v>
      </c>
      <c r="Q31" s="401">
        <f t="shared" si="69"/>
        <v>0</v>
      </c>
      <c r="R31" s="194"/>
      <c r="S31" s="437">
        <f t="shared" ca="1" si="60"/>
        <v>0</v>
      </c>
      <c r="T31" s="342" t="str">
        <f t="shared" si="73"/>
        <v/>
      </c>
      <c r="U31" s="342" t="str">
        <f t="shared" si="62"/>
        <v/>
      </c>
      <c r="V31" s="340">
        <f>IFERROR(VLOOKUP($U31,HomeBroker!$A$30:$F$60,2,0),0)</f>
        <v>0</v>
      </c>
      <c r="W31" s="440">
        <f>IFERROR(VLOOKUP($U31,HomeBroker!$A$30:$F$60,3,0),0)</f>
        <v>0</v>
      </c>
      <c r="X31" s="610">
        <f>IFERROR(VLOOKUP($U31,HomeBroker!$A$30:$F$60,6,0),0)</f>
        <v>0</v>
      </c>
      <c r="Y31" s="439">
        <f>IFERROR(VLOOKUP($U31,HomeBroker!$A$30:$F$60,4,0),0)</f>
        <v>0</v>
      </c>
      <c r="Z31" s="340">
        <f>IFERROR(VLOOKUP($U31,HomeBroker!$A$30:$F$60,5,0),0)</f>
        <v>0</v>
      </c>
      <c r="AA31" s="343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41">
        <f t="shared" ca="1" si="64"/>
        <v>0</v>
      </c>
      <c r="AF31" s="342" t="str">
        <f t="shared" si="74"/>
        <v/>
      </c>
      <c r="AG31" s="342" t="str">
        <f t="shared" si="75"/>
        <v/>
      </c>
      <c r="AH31" s="402">
        <f>IFERROR(VLOOKUP($AG31,HomeBroker!$A$30:$F$60,2,0),0)</f>
        <v>0</v>
      </c>
      <c r="AI31" s="440">
        <f>IFERROR(VLOOKUP($AG31,HomeBroker!$A$30:$F$60,3,0),0)</f>
        <v>0</v>
      </c>
      <c r="AJ31" s="610">
        <f>IFERROR(VLOOKUP($AG31,HomeBroker!$A$30:$F$60,6,0),0)</f>
        <v>0</v>
      </c>
      <c r="AK31" s="440">
        <f>IFERROR(VLOOKUP($AG31,HomeBroker!$A$30:$F$60,4,0),0)</f>
        <v>0</v>
      </c>
      <c r="AL31" s="402">
        <f>IFERROR(VLOOKUP($AG31,HomeBroker!$A$30:$F$60,5,0),0)</f>
        <v>0</v>
      </c>
      <c r="AM31" s="442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4123.6426673719943</v>
      </c>
      <c r="DF31" s="118">
        <f t="shared" si="18"/>
        <v>1655192.5345323903</v>
      </c>
      <c r="DG31" s="118">
        <f t="shared" si="19"/>
        <v>-1400192.5345323903</v>
      </c>
      <c r="DH31" s="118">
        <f t="shared" si="20"/>
        <v>611821.33368599718</v>
      </c>
      <c r="DI31" s="118">
        <f t="shared" si="21"/>
        <v>-898914.13389759546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-32092.800211598282</v>
      </c>
      <c r="EQ31" s="119"/>
      <c r="ER31" s="126"/>
      <c r="ES31" s="122"/>
      <c r="ET31" s="123">
        <f t="shared" si="54"/>
        <v>-89552.29</v>
      </c>
      <c r="EU31" s="72"/>
      <c r="EV31" s="117">
        <f t="shared" si="55"/>
        <v>4123.6426673719943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-25366.69</v>
      </c>
    </row>
    <row r="32" spans="1:193" ht="15">
      <c r="A32" s="434" t="s">
        <v>401</v>
      </c>
      <c r="B32" s="203"/>
      <c r="C32" s="200"/>
      <c r="D32" s="446"/>
      <c r="E32" s="447">
        <f t="shared" si="0"/>
        <v>0</v>
      </c>
      <c r="F32" s="448">
        <f t="shared" si="1"/>
        <v>0</v>
      </c>
      <c r="G32" s="202" t="str">
        <f t="shared" si="2"/>
        <v/>
      </c>
      <c r="H32" s="452">
        <f t="shared" si="58"/>
        <v>0</v>
      </c>
      <c r="I32" s="453">
        <f t="shared" si="3"/>
        <v>0</v>
      </c>
      <c r="J32" s="62"/>
      <c r="K32" s="106"/>
      <c r="L32" s="616">
        <f t="shared" si="71"/>
        <v>4247.3519473931547</v>
      </c>
      <c r="M32" s="476">
        <f t="shared" si="5"/>
        <v>-163777.85999999999</v>
      </c>
      <c r="N32" s="476">
        <f t="shared" ca="1" si="6"/>
        <v>-25366.69</v>
      </c>
      <c r="O32" s="62"/>
      <c r="P32" s="198" t="str">
        <f t="shared" si="59"/>
        <v>-</v>
      </c>
      <c r="Q32" s="401">
        <f t="shared" si="69"/>
        <v>0</v>
      </c>
      <c r="R32" s="194"/>
      <c r="S32" s="437">
        <f t="shared" ca="1" si="60"/>
        <v>0</v>
      </c>
      <c r="T32" s="342" t="str">
        <f t="shared" si="73"/>
        <v/>
      </c>
      <c r="U32" s="342" t="str">
        <f t="shared" si="62"/>
        <v/>
      </c>
      <c r="V32" s="340">
        <f>IFERROR(VLOOKUP($U32,HomeBroker!$A$30:$F$60,2,0),0)</f>
        <v>0</v>
      </c>
      <c r="W32" s="440">
        <f>IFERROR(VLOOKUP($U32,HomeBroker!$A$30:$F$60,3,0),0)</f>
        <v>0</v>
      </c>
      <c r="X32" s="610">
        <f>IFERROR(VLOOKUP($U32,HomeBroker!$A$30:$F$60,6,0),0)</f>
        <v>0</v>
      </c>
      <c r="Y32" s="439">
        <f>IFERROR(VLOOKUP($U32,HomeBroker!$A$30:$F$60,4,0),0)</f>
        <v>0</v>
      </c>
      <c r="Z32" s="340">
        <f>IFERROR(VLOOKUP($U32,HomeBroker!$A$30:$F$60,5,0),0)</f>
        <v>0</v>
      </c>
      <c r="AA32" s="343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41">
        <f t="shared" ca="1" si="64"/>
        <v>0</v>
      </c>
      <c r="AF32" s="342" t="str">
        <f t="shared" si="74"/>
        <v/>
      </c>
      <c r="AG32" s="342" t="str">
        <f t="shared" si="75"/>
        <v/>
      </c>
      <c r="AH32" s="402">
        <f>IFERROR(VLOOKUP($AG32,HomeBroker!$A$30:$F$60,2,0),0)</f>
        <v>0</v>
      </c>
      <c r="AI32" s="440">
        <f>IFERROR(VLOOKUP($AG32,HomeBroker!$A$30:$F$60,3,0),0)</f>
        <v>0</v>
      </c>
      <c r="AJ32" s="610">
        <f>IFERROR(VLOOKUP($AG32,HomeBroker!$A$30:$F$60,6,0),0)</f>
        <v>0</v>
      </c>
      <c r="AK32" s="440">
        <f>IFERROR(VLOOKUP($AG32,HomeBroker!$A$30:$F$60,4,0),0)</f>
        <v>0</v>
      </c>
      <c r="AL32" s="402">
        <f>IFERROR(VLOOKUP($AG32,HomeBroker!$A$30:$F$60,5,0),0)</f>
        <v>0</v>
      </c>
      <c r="AM32" s="442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4247.3519473931547</v>
      </c>
      <c r="DF32" s="118">
        <f t="shared" si="18"/>
        <v>1865498.3105683629</v>
      </c>
      <c r="DG32" s="118">
        <f t="shared" si="19"/>
        <v>-1610498.3105683629</v>
      </c>
      <c r="DH32" s="118">
        <f t="shared" si="20"/>
        <v>673675.97369657736</v>
      </c>
      <c r="DI32" s="118">
        <f t="shared" si="21"/>
        <v>-997881.55791452376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-69205.584217946394</v>
      </c>
      <c r="EQ32" s="119"/>
      <c r="ER32" s="126"/>
      <c r="ES32" s="122"/>
      <c r="ET32" s="123">
        <f t="shared" si="54"/>
        <v>-163777.85999999999</v>
      </c>
      <c r="EU32" s="72"/>
      <c r="EV32" s="117">
        <f t="shared" si="55"/>
        <v>4247.3519473931547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-25366.69</v>
      </c>
    </row>
    <row r="33" spans="1:193" ht="15">
      <c r="A33" s="434" t="s">
        <v>401</v>
      </c>
      <c r="B33" s="203"/>
      <c r="C33" s="200"/>
      <c r="D33" s="446"/>
      <c r="E33" s="447">
        <f t="shared" si="0"/>
        <v>0</v>
      </c>
      <c r="F33" s="448">
        <f t="shared" si="1"/>
        <v>0</v>
      </c>
      <c r="G33" s="202" t="str">
        <f t="shared" si="2"/>
        <v/>
      </c>
      <c r="H33" s="452">
        <f t="shared" si="58"/>
        <v>0</v>
      </c>
      <c r="I33" s="453">
        <f t="shared" si="3"/>
        <v>0</v>
      </c>
      <c r="J33" s="62"/>
      <c r="K33" s="106"/>
      <c r="L33" s="616">
        <f t="shared" si="71"/>
        <v>4374.772505814949</v>
      </c>
      <c r="M33" s="477">
        <f t="shared" si="5"/>
        <v>-240230.2</v>
      </c>
      <c r="N33" s="477">
        <f t="shared" ca="1" si="6"/>
        <v>-25366.69</v>
      </c>
      <c r="O33" s="62"/>
      <c r="P33" s="198" t="str">
        <f t="shared" si="59"/>
        <v>-</v>
      </c>
      <c r="Q33" s="401">
        <f t="shared" si="69"/>
        <v>0</v>
      </c>
      <c r="R33" s="194"/>
      <c r="S33" s="437">
        <f t="shared" ca="1" si="60"/>
        <v>0</v>
      </c>
      <c r="T33" s="342" t="str">
        <f t="shared" si="73"/>
        <v/>
      </c>
      <c r="U33" s="342" t="str">
        <f t="shared" si="62"/>
        <v/>
      </c>
      <c r="V33" s="340">
        <f>IFERROR(VLOOKUP($U33,HomeBroker!$A$30:$F$60,2,0),0)</f>
        <v>0</v>
      </c>
      <c r="W33" s="440">
        <f>IFERROR(VLOOKUP($U33,HomeBroker!$A$30:$F$60,3,0),0)</f>
        <v>0</v>
      </c>
      <c r="X33" s="610">
        <f>IFERROR(VLOOKUP($U33,HomeBroker!$A$30:$F$60,6,0),0)</f>
        <v>0</v>
      </c>
      <c r="Y33" s="439">
        <f>IFERROR(VLOOKUP($U33,HomeBroker!$A$30:$F$60,4,0),0)</f>
        <v>0</v>
      </c>
      <c r="Z33" s="340">
        <f>IFERROR(VLOOKUP($U33,HomeBroker!$A$30:$F$60,5,0),0)</f>
        <v>0</v>
      </c>
      <c r="AA33" s="343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41">
        <f t="shared" ca="1" si="64"/>
        <v>0</v>
      </c>
      <c r="AF33" s="342" t="str">
        <f t="shared" si="74"/>
        <v/>
      </c>
      <c r="AG33" s="342" t="str">
        <f t="shared" si="75"/>
        <v/>
      </c>
      <c r="AH33" s="402">
        <f>IFERROR(VLOOKUP($AG33,HomeBroker!$A$30:$F$60,2,0),0)</f>
        <v>0</v>
      </c>
      <c r="AI33" s="440">
        <f>IFERROR(VLOOKUP($AG33,HomeBroker!$A$30:$F$60,3,0),0)</f>
        <v>0</v>
      </c>
      <c r="AJ33" s="610">
        <f>IFERROR(VLOOKUP($AG33,HomeBroker!$A$30:$F$60,6,0),0)</f>
        <v>0</v>
      </c>
      <c r="AK33" s="440">
        <f>IFERROR(VLOOKUP($AG33,HomeBroker!$A$30:$F$60,4,0),0)</f>
        <v>0</v>
      </c>
      <c r="AL33" s="402">
        <f>IFERROR(VLOOKUP($AG33,HomeBroker!$A$30:$F$60,5,0),0)</f>
        <v>0</v>
      </c>
      <c r="AM33" s="442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4374.772505814949</v>
      </c>
      <c r="DF33" s="118">
        <f t="shared" si="18"/>
        <v>2082113.2598854133</v>
      </c>
      <c r="DG33" s="118">
        <f t="shared" si="19"/>
        <v>-1827113.2598854133</v>
      </c>
      <c r="DH33" s="118">
        <f t="shared" si="20"/>
        <v>737386.25290747453</v>
      </c>
      <c r="DI33" s="118">
        <f t="shared" si="21"/>
        <v>-1099818.0046519593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-107431.75174448476</v>
      </c>
      <c r="EQ33" s="119"/>
      <c r="ER33" s="126"/>
      <c r="ES33" s="122"/>
      <c r="ET33" s="123">
        <f t="shared" si="54"/>
        <v>-240230.2</v>
      </c>
      <c r="EU33" s="72"/>
      <c r="EV33" s="117">
        <f t="shared" si="55"/>
        <v>4374.772505814949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-25366.69</v>
      </c>
    </row>
    <row r="34" spans="1:193" ht="15.75" thickBot="1">
      <c r="A34" s="434" t="s">
        <v>401</v>
      </c>
      <c r="B34" s="203"/>
      <c r="C34" s="200"/>
      <c r="D34" s="446"/>
      <c r="E34" s="447">
        <f t="shared" si="0"/>
        <v>0</v>
      </c>
      <c r="F34" s="448">
        <f t="shared" si="1"/>
        <v>0</v>
      </c>
      <c r="G34" s="202" t="str">
        <f t="shared" si="2"/>
        <v/>
      </c>
      <c r="H34" s="452">
        <f t="shared" si="58"/>
        <v>0</v>
      </c>
      <c r="I34" s="453">
        <f t="shared" si="3"/>
        <v>0</v>
      </c>
      <c r="J34" s="62"/>
      <c r="K34" s="133"/>
      <c r="L34" s="617">
        <f t="shared" si="71"/>
        <v>4506.0156809893979</v>
      </c>
      <c r="M34" s="478">
        <f t="shared" si="5"/>
        <v>-318976.09999999998</v>
      </c>
      <c r="N34" s="478">
        <f t="shared" ca="1" si="6"/>
        <v>-25366.69</v>
      </c>
      <c r="O34" s="134"/>
      <c r="P34" s="198" t="str">
        <f t="shared" si="59"/>
        <v>-</v>
      </c>
      <c r="Q34" s="401">
        <f t="shared" si="69"/>
        <v>0</v>
      </c>
      <c r="R34" s="194"/>
      <c r="S34" s="437">
        <f t="shared" ca="1" si="60"/>
        <v>0</v>
      </c>
      <c r="T34" s="342" t="str">
        <f t="shared" si="73"/>
        <v/>
      </c>
      <c r="U34" s="342" t="str">
        <f t="shared" si="62"/>
        <v/>
      </c>
      <c r="V34" s="340">
        <f>IFERROR(VLOOKUP($U34,HomeBroker!$A$30:$F$60,2,0),0)</f>
        <v>0</v>
      </c>
      <c r="W34" s="440">
        <f>IFERROR(VLOOKUP($U34,HomeBroker!$A$30:$F$60,3,0),0)</f>
        <v>0</v>
      </c>
      <c r="X34" s="610">
        <f>IFERROR(VLOOKUP($U34,HomeBroker!$A$30:$F$60,6,0),0)</f>
        <v>0</v>
      </c>
      <c r="Y34" s="439">
        <f>IFERROR(VLOOKUP($U34,HomeBroker!$A$30:$F$60,4,0),0)</f>
        <v>0</v>
      </c>
      <c r="Z34" s="340">
        <f>IFERROR(VLOOKUP($U34,HomeBroker!$A$30:$F$60,5,0),0)</f>
        <v>0</v>
      </c>
      <c r="AA34" s="343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41">
        <f t="shared" ca="1" si="64"/>
        <v>0</v>
      </c>
      <c r="AF34" s="342" t="str">
        <f t="shared" si="74"/>
        <v/>
      </c>
      <c r="AG34" s="342" t="str">
        <f t="shared" si="75"/>
        <v/>
      </c>
      <c r="AH34" s="402">
        <f>IFERROR(VLOOKUP($AG34,HomeBroker!$A$30:$F$60,2,0),0)</f>
        <v>0</v>
      </c>
      <c r="AI34" s="440">
        <f>IFERROR(VLOOKUP($AG34,HomeBroker!$A$30:$F$60,3,0),0)</f>
        <v>0</v>
      </c>
      <c r="AJ34" s="610">
        <f>IFERROR(VLOOKUP($AG34,HomeBroker!$A$30:$F$60,6,0),0)</f>
        <v>0</v>
      </c>
      <c r="AK34" s="440">
        <f>IFERROR(VLOOKUP($AG34,HomeBroker!$A$30:$F$60,4,0),0)</f>
        <v>0</v>
      </c>
      <c r="AL34" s="402">
        <f>IFERROR(VLOOKUP($AG34,HomeBroker!$A$30:$F$60,5,0),0)</f>
        <v>0</v>
      </c>
      <c r="AM34" s="442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4506.0156809893979</v>
      </c>
      <c r="DF34" s="118">
        <f t="shared" si="18"/>
        <v>2305226.6576819764</v>
      </c>
      <c r="DG34" s="118">
        <f t="shared" si="19"/>
        <v>-2050226.6576819764</v>
      </c>
      <c r="DH34" s="118">
        <f t="shared" si="20"/>
        <v>803007.84049469896</v>
      </c>
      <c r="DI34" s="118">
        <f t="shared" si="21"/>
        <v>-1204812.5447915182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-146804.7042968194</v>
      </c>
      <c r="EQ34" s="119"/>
      <c r="ER34" s="135"/>
      <c r="ES34" s="136"/>
      <c r="ET34" s="137">
        <f t="shared" si="54"/>
        <v>-318976.09999999998</v>
      </c>
      <c r="EU34" s="72"/>
      <c r="EV34" s="117">
        <f t="shared" si="55"/>
        <v>4506.0156809893979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-25366.69</v>
      </c>
    </row>
    <row r="35" spans="1:193" ht="15">
      <c r="A35" s="434" t="s">
        <v>401</v>
      </c>
      <c r="B35" s="203"/>
      <c r="C35" s="200"/>
      <c r="D35" s="446"/>
      <c r="E35" s="447">
        <f t="shared" si="0"/>
        <v>0</v>
      </c>
      <c r="F35" s="448">
        <f t="shared" ref="F35:F66" si="76">IF(B35&gt;0,+B35*D35*(1+($N$53+0.002)*1.21)*-100,B35*D35*(1-($N$53+0.002)*1.21)*-100)</f>
        <v>0</v>
      </c>
      <c r="G35" s="202" t="str">
        <f t="shared" si="2"/>
        <v/>
      </c>
      <c r="H35" s="452">
        <f t="shared" si="58"/>
        <v>0</v>
      </c>
      <c r="I35" s="453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401">
        <f t="shared" si="69"/>
        <v>0</v>
      </c>
      <c r="R35" s="194"/>
      <c r="S35" s="437">
        <f t="shared" ca="1" si="60"/>
        <v>0</v>
      </c>
      <c r="T35" s="342" t="str">
        <f t="shared" si="73"/>
        <v/>
      </c>
      <c r="U35" s="342" t="str">
        <f t="shared" si="62"/>
        <v/>
      </c>
      <c r="V35" s="340">
        <f>IFERROR(VLOOKUP($U35,HomeBroker!$A$30:$F$60,2,0),0)</f>
        <v>0</v>
      </c>
      <c r="W35" s="440">
        <f>IFERROR(VLOOKUP($U35,HomeBroker!$A$30:$F$60,3,0),0)</f>
        <v>0</v>
      </c>
      <c r="X35" s="610">
        <f>IFERROR(VLOOKUP($U35,HomeBroker!$A$30:$F$60,6,0),0)</f>
        <v>0</v>
      </c>
      <c r="Y35" s="439">
        <f>IFERROR(VLOOKUP($U35,HomeBroker!$A$30:$F$60,4,0),0)</f>
        <v>0</v>
      </c>
      <c r="Z35" s="340">
        <f>IFERROR(VLOOKUP($U35,HomeBroker!$A$30:$F$60,5,0),0)</f>
        <v>0</v>
      </c>
      <c r="AA35" s="343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41">
        <f t="shared" ca="1" si="64"/>
        <v>0</v>
      </c>
      <c r="AF35" s="342" t="str">
        <f t="shared" si="74"/>
        <v/>
      </c>
      <c r="AG35" s="342" t="str">
        <f t="shared" si="75"/>
        <v/>
      </c>
      <c r="AH35" s="402">
        <f>IFERROR(VLOOKUP($AG35,HomeBroker!$A$30:$F$60,2,0),0)</f>
        <v>0</v>
      </c>
      <c r="AI35" s="440">
        <f>IFERROR(VLOOKUP($AG35,HomeBroker!$A$30:$F$60,3,0),0)</f>
        <v>0</v>
      </c>
      <c r="AJ35" s="610">
        <f>IFERROR(VLOOKUP($AG35,HomeBroker!$A$30:$F$60,6,0),0)</f>
        <v>0</v>
      </c>
      <c r="AK35" s="440">
        <f>IFERROR(VLOOKUP($AG35,HomeBroker!$A$30:$F$60,4,0),0)</f>
        <v>0</v>
      </c>
      <c r="AL35" s="402">
        <f>IFERROR(VLOOKUP($AG35,HomeBroker!$A$30:$F$60,5,0),0)</f>
        <v>0</v>
      </c>
      <c r="AM35" s="442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34" t="s">
        <v>401</v>
      </c>
      <c r="B36" s="203"/>
      <c r="C36" s="200"/>
      <c r="D36" s="446"/>
      <c r="E36" s="447">
        <f t="shared" si="0"/>
        <v>0</v>
      </c>
      <c r="F36" s="448">
        <f t="shared" si="76"/>
        <v>0</v>
      </c>
      <c r="G36" s="202" t="str">
        <f t="shared" si="2"/>
        <v/>
      </c>
      <c r="H36" s="452">
        <f t="shared" si="58"/>
        <v>0</v>
      </c>
      <c r="I36" s="453">
        <f t="shared" si="3"/>
        <v>0</v>
      </c>
      <c r="J36" s="62"/>
      <c r="K36" s="799" t="s">
        <v>442</v>
      </c>
      <c r="L36" s="778"/>
      <c r="M36" s="779"/>
      <c r="N36" s="424">
        <f>SUM(AY:AY)+SUM(BE:BE)+SUM(BJ:BJ)+$F$76</f>
        <v>-25366.692800000019</v>
      </c>
      <c r="O36" s="62"/>
      <c r="P36" s="198" t="str">
        <f t="shared" si="59"/>
        <v>-</v>
      </c>
      <c r="Q36" s="401">
        <f t="shared" si="69"/>
        <v>0</v>
      </c>
      <c r="R36" s="194"/>
      <c r="S36" s="437">
        <f t="shared" ca="1" si="60"/>
        <v>0</v>
      </c>
      <c r="T36" s="342" t="str">
        <f t="shared" si="73"/>
        <v/>
      </c>
      <c r="U36" s="342" t="str">
        <f t="shared" si="62"/>
        <v/>
      </c>
      <c r="V36" s="340">
        <f>IFERROR(VLOOKUP($U36,HomeBroker!$A$30:$F$60,2,0),0)</f>
        <v>0</v>
      </c>
      <c r="W36" s="440">
        <f>IFERROR(VLOOKUP($U36,HomeBroker!$A$30:$F$60,3,0),0)</f>
        <v>0</v>
      </c>
      <c r="X36" s="610">
        <f>IFERROR(VLOOKUP($U36,HomeBroker!$A$30:$F$60,6,0),0)</f>
        <v>0</v>
      </c>
      <c r="Y36" s="439">
        <f>IFERROR(VLOOKUP($U36,HomeBroker!$A$30:$F$60,4,0),0)</f>
        <v>0</v>
      </c>
      <c r="Z36" s="340">
        <f>IFERROR(VLOOKUP($U36,HomeBroker!$A$30:$F$60,5,0),0)</f>
        <v>0</v>
      </c>
      <c r="AA36" s="343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41">
        <f t="shared" ca="1" si="64"/>
        <v>0</v>
      </c>
      <c r="AF36" s="342" t="str">
        <f t="shared" si="74"/>
        <v/>
      </c>
      <c r="AG36" s="342" t="str">
        <f t="shared" si="75"/>
        <v/>
      </c>
      <c r="AH36" s="402">
        <f>IFERROR(VLOOKUP($AG36,HomeBroker!$A$30:$F$60,2,0),0)</f>
        <v>0</v>
      </c>
      <c r="AI36" s="440">
        <f>IFERROR(VLOOKUP($AG36,HomeBroker!$A$30:$F$60,3,0),0)</f>
        <v>0</v>
      </c>
      <c r="AJ36" s="610">
        <f>IFERROR(VLOOKUP($AG36,HomeBroker!$A$30:$F$60,6,0),0)</f>
        <v>0</v>
      </c>
      <c r="AK36" s="440">
        <f>IFERROR(VLOOKUP($AG36,HomeBroker!$A$30:$F$60,4,0),0)</f>
        <v>0</v>
      </c>
      <c r="AL36" s="402">
        <f>IFERROR(VLOOKUP($AG36,HomeBroker!$A$30:$F$60,5,0),0)</f>
        <v>0</v>
      </c>
      <c r="AM36" s="442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7">DE3</f>
        <v>1778.1693390961038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1778.1693390961038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35" t="s">
        <v>401</v>
      </c>
      <c r="B37" s="426"/>
      <c r="C37" s="427"/>
      <c r="D37" s="449"/>
      <c r="E37" s="450">
        <f t="shared" si="0"/>
        <v>0</v>
      </c>
      <c r="F37" s="451">
        <f t="shared" si="76"/>
        <v>0</v>
      </c>
      <c r="G37" s="428" t="str">
        <f t="shared" si="2"/>
        <v/>
      </c>
      <c r="H37" s="454">
        <f t="shared" si="58"/>
        <v>0</v>
      </c>
      <c r="I37" s="451">
        <f t="shared" si="3"/>
        <v>0</v>
      </c>
      <c r="J37" s="62"/>
      <c r="K37" s="799" t="s">
        <v>443</v>
      </c>
      <c r="L37" s="778"/>
      <c r="M37" s="779"/>
      <c r="N37" s="425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16333.307199999996</v>
      </c>
      <c r="O37" s="62"/>
      <c r="P37" s="198" t="str">
        <f t="shared" si="59"/>
        <v>-</v>
      </c>
      <c r="Q37" s="401">
        <f t="shared" si="69"/>
        <v>0</v>
      </c>
      <c r="R37" s="194"/>
      <c r="S37" s="437">
        <f t="shared" ca="1" si="60"/>
        <v>0</v>
      </c>
      <c r="T37" s="342" t="str">
        <f t="shared" si="73"/>
        <v/>
      </c>
      <c r="U37" s="342" t="str">
        <f t="shared" si="62"/>
        <v/>
      </c>
      <c r="V37" s="340">
        <f>IFERROR(VLOOKUP($U37,HomeBroker!$A$30:$F$60,2,0),0)</f>
        <v>0</v>
      </c>
      <c r="W37" s="440">
        <f>IFERROR(VLOOKUP($U37,HomeBroker!$A$30:$F$60,3,0),0)</f>
        <v>0</v>
      </c>
      <c r="X37" s="610">
        <f>IFERROR(VLOOKUP($U37,HomeBroker!$A$30:$F$60,6,0),0)</f>
        <v>0</v>
      </c>
      <c r="Y37" s="439">
        <f>IFERROR(VLOOKUP($U37,HomeBroker!$A$30:$F$60,4,0),0)</f>
        <v>0</v>
      </c>
      <c r="Z37" s="340">
        <f>IFERROR(VLOOKUP($U37,HomeBroker!$A$30:$F$60,5,0),0)</f>
        <v>0</v>
      </c>
      <c r="AA37" s="343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41">
        <f t="shared" ca="1" si="64"/>
        <v>0</v>
      </c>
      <c r="AF37" s="342" t="str">
        <f t="shared" si="74"/>
        <v/>
      </c>
      <c r="AG37" s="342" t="str">
        <f t="shared" si="75"/>
        <v/>
      </c>
      <c r="AH37" s="402">
        <f>IFERROR(VLOOKUP($AG37,HomeBroker!$A$30:$F$60,2,0),0)</f>
        <v>0</v>
      </c>
      <c r="AI37" s="440">
        <f>IFERROR(VLOOKUP($AG37,HomeBroker!$A$30:$F$60,3,0),0)</f>
        <v>0</v>
      </c>
      <c r="AJ37" s="610">
        <f>IFERROR(VLOOKUP($AG37,HomeBroker!$A$30:$F$60,6,0),0)</f>
        <v>0</v>
      </c>
      <c r="AK37" s="440">
        <f>IFERROR(VLOOKUP($AG37,HomeBroker!$A$30:$F$60,4,0),0)</f>
        <v>0</v>
      </c>
      <c r="AL37" s="402">
        <f>IFERROR(VLOOKUP($AG37,HomeBroker!$A$30:$F$60,5,0),0)</f>
        <v>0</v>
      </c>
      <c r="AM37" s="442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7"/>
        <v>1833.1642671093855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1833.1642671093855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36" t="s">
        <v>401</v>
      </c>
      <c r="B38" s="144"/>
      <c r="C38" s="200"/>
      <c r="D38" s="201"/>
      <c r="E38" s="455">
        <f t="shared" si="0"/>
        <v>0</v>
      </c>
      <c r="F38" s="456">
        <f t="shared" si="76"/>
        <v>0</v>
      </c>
      <c r="G38" s="202" t="str">
        <f>IFERROR(VLOOKUP(C38,$AD$3:$AM$50,7,0),"")</f>
        <v/>
      </c>
      <c r="H38" s="465">
        <f t="shared" si="58"/>
        <v>0</v>
      </c>
      <c r="I38" s="466">
        <f t="shared" si="3"/>
        <v>0</v>
      </c>
      <c r="J38" s="62"/>
      <c r="K38" s="800" t="s">
        <v>444</v>
      </c>
      <c r="L38" s="778"/>
      <c r="M38" s="779"/>
      <c r="N38" s="145">
        <f>SUM(Q3:Q42)</f>
        <v>-3</v>
      </c>
      <c r="O38" s="62"/>
      <c r="P38" s="198" t="str">
        <f t="shared" si="59"/>
        <v>-</v>
      </c>
      <c r="Q38" s="401">
        <f t="shared" si="69"/>
        <v>0</v>
      </c>
      <c r="R38" s="194"/>
      <c r="S38" s="437">
        <f t="shared" ca="1" si="60"/>
        <v>0</v>
      </c>
      <c r="T38" s="342" t="str">
        <f t="shared" si="73"/>
        <v/>
      </c>
      <c r="U38" s="342" t="str">
        <f t="shared" si="62"/>
        <v/>
      </c>
      <c r="V38" s="340">
        <f>IFERROR(VLOOKUP($U38,HomeBroker!$A$30:$F$60,2,0),0)</f>
        <v>0</v>
      </c>
      <c r="W38" s="440">
        <f>IFERROR(VLOOKUP($U38,HomeBroker!$A$30:$F$60,3,0),0)</f>
        <v>0</v>
      </c>
      <c r="X38" s="610">
        <f>IFERROR(VLOOKUP($U38,HomeBroker!$A$30:$F$60,6,0),0)</f>
        <v>0</v>
      </c>
      <c r="Y38" s="439">
        <f>IFERROR(VLOOKUP($U38,HomeBroker!$A$30:$F$60,4,0),0)</f>
        <v>0</v>
      </c>
      <c r="Z38" s="340">
        <f>IFERROR(VLOOKUP($U38,HomeBroker!$A$30:$F$60,5,0),0)</f>
        <v>0</v>
      </c>
      <c r="AA38" s="343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41">
        <f t="shared" ca="1" si="64"/>
        <v>0</v>
      </c>
      <c r="AF38" s="342" t="str">
        <f t="shared" si="74"/>
        <v/>
      </c>
      <c r="AG38" s="342" t="str">
        <f t="shared" si="75"/>
        <v/>
      </c>
      <c r="AH38" s="402">
        <f>IFERROR(VLOOKUP($AG38,HomeBroker!$A$30:$F$60,2,0),0)</f>
        <v>0</v>
      </c>
      <c r="AI38" s="440">
        <f>IFERROR(VLOOKUP($AG38,HomeBroker!$A$30:$F$60,3,0),0)</f>
        <v>0</v>
      </c>
      <c r="AJ38" s="610">
        <f>IFERROR(VLOOKUP($AG38,HomeBroker!$A$30:$F$60,6,0),0)</f>
        <v>0</v>
      </c>
      <c r="AK38" s="440">
        <f>IFERROR(VLOOKUP($AG38,HomeBroker!$A$30:$F$60,4,0),0)</f>
        <v>0</v>
      </c>
      <c r="AL38" s="402">
        <f>IFERROR(VLOOKUP($AG38,HomeBroker!$A$30:$F$60,5,0),0)</f>
        <v>0</v>
      </c>
      <c r="AM38" s="442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7"/>
        <v>1889.8600691849335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1889.8600691849335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36" t="s">
        <v>401</v>
      </c>
      <c r="B39" s="144"/>
      <c r="C39" s="200"/>
      <c r="D39" s="201"/>
      <c r="E39" s="455">
        <f t="shared" si="0"/>
        <v>0</v>
      </c>
      <c r="F39" s="456">
        <f t="shared" si="76"/>
        <v>0</v>
      </c>
      <c r="G39" s="202" t="str">
        <f>IFERROR(VLOOKUP(C39,$AD$3:$AM$50,7,0),"")</f>
        <v/>
      </c>
      <c r="H39" s="465">
        <f t="shared" si="58"/>
        <v>0</v>
      </c>
      <c r="I39" s="466">
        <f t="shared" si="3"/>
        <v>0</v>
      </c>
      <c r="J39" s="62"/>
      <c r="K39" s="801" t="s">
        <v>445</v>
      </c>
      <c r="L39" s="778"/>
      <c r="M39" s="779"/>
      <c r="N39" s="150">
        <f>SUM(AC3:AC42)</f>
        <v>0</v>
      </c>
      <c r="O39" s="62"/>
      <c r="P39" s="198" t="str">
        <f t="shared" si="59"/>
        <v>-</v>
      </c>
      <c r="Q39" s="401">
        <f t="shared" si="69"/>
        <v>0</v>
      </c>
      <c r="R39" s="194"/>
      <c r="S39" s="437">
        <f t="shared" ca="1" si="60"/>
        <v>0</v>
      </c>
      <c r="T39" s="342" t="str">
        <f t="shared" si="73"/>
        <v/>
      </c>
      <c r="U39" s="342" t="str">
        <f t="shared" si="62"/>
        <v/>
      </c>
      <c r="V39" s="340">
        <f>IFERROR(VLOOKUP($U39,HomeBroker!$A$30:$F$60,2,0),0)</f>
        <v>0</v>
      </c>
      <c r="W39" s="440">
        <f>IFERROR(VLOOKUP($U39,HomeBroker!$A$30:$F$60,3,0),0)</f>
        <v>0</v>
      </c>
      <c r="X39" s="610">
        <f>IFERROR(VLOOKUP($U39,HomeBroker!$A$30:$F$60,6,0),0)</f>
        <v>0</v>
      </c>
      <c r="Y39" s="439">
        <f>IFERROR(VLOOKUP($U39,HomeBroker!$A$30:$F$60,4,0),0)</f>
        <v>0</v>
      </c>
      <c r="Z39" s="340">
        <f>IFERROR(VLOOKUP($U39,HomeBroker!$A$30:$F$60,5,0),0)</f>
        <v>0</v>
      </c>
      <c r="AA39" s="343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41">
        <f t="shared" ca="1" si="64"/>
        <v>0</v>
      </c>
      <c r="AF39" s="342" t="str">
        <f t="shared" si="74"/>
        <v/>
      </c>
      <c r="AG39" s="342" t="str">
        <f t="shared" si="75"/>
        <v/>
      </c>
      <c r="AH39" s="402">
        <f>IFERROR(VLOOKUP($AG39,HomeBroker!$A$30:$F$60,2,0),0)</f>
        <v>0</v>
      </c>
      <c r="AI39" s="440">
        <f>IFERROR(VLOOKUP($AG39,HomeBroker!$A$30:$F$60,3,0),0)</f>
        <v>0</v>
      </c>
      <c r="AJ39" s="610">
        <f>IFERROR(VLOOKUP($AG39,HomeBroker!$A$30:$F$60,6,0),0)</f>
        <v>0</v>
      </c>
      <c r="AK39" s="440">
        <f>IFERROR(VLOOKUP($AG39,HomeBroker!$A$30:$F$60,4,0),0)</f>
        <v>0</v>
      </c>
      <c r="AL39" s="402">
        <f>IFERROR(VLOOKUP($AG39,HomeBroker!$A$30:$F$60,5,0),0)</f>
        <v>0</v>
      </c>
      <c r="AM39" s="442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7"/>
        <v>1948.3093496751892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1948.3093496751892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36" t="s">
        <v>401</v>
      </c>
      <c r="B40" s="144"/>
      <c r="C40" s="200"/>
      <c r="D40" s="201"/>
      <c r="E40" s="455">
        <f t="shared" si="0"/>
        <v>0</v>
      </c>
      <c r="F40" s="456">
        <f t="shared" si="76"/>
        <v>0</v>
      </c>
      <c r="G40" s="202" t="str">
        <f t="shared" ref="G40:G72" si="124">IFERROR(VLOOKUP(C40,$AD$3:$AM$42,7,0),"")</f>
        <v/>
      </c>
      <c r="H40" s="465">
        <f t="shared" si="58"/>
        <v>0</v>
      </c>
      <c r="I40" s="466">
        <f t="shared" si="3"/>
        <v>0</v>
      </c>
      <c r="J40" s="62"/>
      <c r="K40" s="798" t="s">
        <v>0</v>
      </c>
      <c r="L40" s="778"/>
      <c r="M40" s="779"/>
      <c r="N40" s="151">
        <f>AB43+SUM(B73:B75)</f>
        <v>0</v>
      </c>
      <c r="O40" s="62"/>
      <c r="P40" s="198" t="str">
        <f t="shared" si="59"/>
        <v>-</v>
      </c>
      <c r="Q40" s="401">
        <f t="shared" si="69"/>
        <v>0</v>
      </c>
      <c r="R40" s="194"/>
      <c r="S40" s="437">
        <f t="shared" ca="1" si="60"/>
        <v>0</v>
      </c>
      <c r="T40" s="342" t="str">
        <f t="shared" si="73"/>
        <v/>
      </c>
      <c r="U40" s="342" t="str">
        <f t="shared" si="62"/>
        <v/>
      </c>
      <c r="V40" s="340">
        <f>IFERROR(VLOOKUP($U40,HomeBroker!$A$30:$F$60,2,0),0)</f>
        <v>0</v>
      </c>
      <c r="W40" s="440">
        <f>IFERROR(VLOOKUP($U40,HomeBroker!$A$30:$F$60,3,0),0)</f>
        <v>0</v>
      </c>
      <c r="X40" s="610">
        <f>IFERROR(VLOOKUP($U40,HomeBroker!$A$30:$F$60,6,0),0)</f>
        <v>0</v>
      </c>
      <c r="Y40" s="439">
        <f>IFERROR(VLOOKUP($U40,HomeBroker!$A$30:$F$60,4,0),0)</f>
        <v>0</v>
      </c>
      <c r="Z40" s="340">
        <f>IFERROR(VLOOKUP($U40,HomeBroker!$A$30:$F$60,5,0),0)</f>
        <v>0</v>
      </c>
      <c r="AA40" s="343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41">
        <f t="shared" ca="1" si="64"/>
        <v>0</v>
      </c>
      <c r="AF40" s="342" t="str">
        <f t="shared" si="74"/>
        <v/>
      </c>
      <c r="AG40" s="342" t="str">
        <f t="shared" si="75"/>
        <v/>
      </c>
      <c r="AH40" s="402">
        <f>IFERROR(VLOOKUP($AG40,HomeBroker!$A$30:$F$60,2,0),0)</f>
        <v>0</v>
      </c>
      <c r="AI40" s="440">
        <f>IFERROR(VLOOKUP($AG40,HomeBroker!$A$30:$F$60,3,0),0)</f>
        <v>0</v>
      </c>
      <c r="AJ40" s="610">
        <f>IFERROR(VLOOKUP($AG40,HomeBroker!$A$30:$F$60,6,0),0)</f>
        <v>0</v>
      </c>
      <c r="AK40" s="440">
        <f>IFERROR(VLOOKUP($AG40,HomeBroker!$A$30:$F$60,4,0),0)</f>
        <v>0</v>
      </c>
      <c r="AL40" s="402">
        <f>IFERROR(VLOOKUP($AG40,HomeBroker!$A$30:$F$60,5,0),0)</f>
        <v>0</v>
      </c>
      <c r="AM40" s="442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7"/>
        <v>2008.5663398713291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2008.5663398713291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36" t="s">
        <v>401</v>
      </c>
      <c r="B41" s="144"/>
      <c r="C41" s="200"/>
      <c r="D41" s="201"/>
      <c r="E41" s="455">
        <f t="shared" si="0"/>
        <v>0</v>
      </c>
      <c r="F41" s="456">
        <f t="shared" si="76"/>
        <v>0</v>
      </c>
      <c r="G41" s="202" t="str">
        <f t="shared" si="124"/>
        <v/>
      </c>
      <c r="H41" s="465">
        <f t="shared" si="58"/>
        <v>0</v>
      </c>
      <c r="I41" s="466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401">
        <f t="shared" si="69"/>
        <v>0</v>
      </c>
      <c r="R41" s="194"/>
      <c r="S41" s="437">
        <f t="shared" ca="1" si="60"/>
        <v>0</v>
      </c>
      <c r="T41" s="342" t="str">
        <f t="shared" si="73"/>
        <v/>
      </c>
      <c r="U41" s="342" t="str">
        <f t="shared" si="62"/>
        <v/>
      </c>
      <c r="V41" s="340">
        <f>IFERROR(VLOOKUP($U41,HomeBroker!$A$30:$F$60,2,0),0)</f>
        <v>0</v>
      </c>
      <c r="W41" s="440">
        <f>IFERROR(VLOOKUP($U41,HomeBroker!$A$30:$F$60,3,0),0)</f>
        <v>0</v>
      </c>
      <c r="X41" s="610">
        <f>IFERROR(VLOOKUP($U41,HomeBroker!$A$30:$F$60,6,0),0)</f>
        <v>0</v>
      </c>
      <c r="Y41" s="439">
        <f>IFERROR(VLOOKUP($U41,HomeBroker!$A$30:$F$60,4,0),0)</f>
        <v>0</v>
      </c>
      <c r="Z41" s="340">
        <f>IFERROR(VLOOKUP($U41,HomeBroker!$A$30:$F$60,5,0),0)</f>
        <v>0</v>
      </c>
      <c r="AA41" s="343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41">
        <f t="shared" ca="1" si="64"/>
        <v>0</v>
      </c>
      <c r="AF41" s="342" t="str">
        <f t="shared" si="74"/>
        <v/>
      </c>
      <c r="AG41" s="342" t="str">
        <f t="shared" si="75"/>
        <v/>
      </c>
      <c r="AH41" s="402">
        <f>IFERROR(VLOOKUP($AG41,HomeBroker!$A$30:$F$60,2,0),0)</f>
        <v>0</v>
      </c>
      <c r="AI41" s="440">
        <f>IFERROR(VLOOKUP($AG41,HomeBroker!$A$30:$F$60,3,0),0)</f>
        <v>0</v>
      </c>
      <c r="AJ41" s="610">
        <f>IFERROR(VLOOKUP($AG41,HomeBroker!$A$30:$F$60,6,0),0)</f>
        <v>0</v>
      </c>
      <c r="AK41" s="440">
        <f>IFERROR(VLOOKUP($AG41,HomeBroker!$A$30:$F$60,4,0),0)</f>
        <v>0</v>
      </c>
      <c r="AL41" s="402">
        <f>IFERROR(VLOOKUP($AG41,HomeBroker!$A$30:$F$60,5,0),0)</f>
        <v>0</v>
      </c>
      <c r="AM41" s="442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7"/>
        <v>2070.686948320958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2070.686948320958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36" t="s">
        <v>401</v>
      </c>
      <c r="B42" s="144"/>
      <c r="C42" s="200"/>
      <c r="D42" s="201"/>
      <c r="E42" s="455">
        <f t="shared" si="0"/>
        <v>0</v>
      </c>
      <c r="F42" s="456">
        <f t="shared" si="76"/>
        <v>0</v>
      </c>
      <c r="G42" s="202" t="str">
        <f t="shared" si="124"/>
        <v/>
      </c>
      <c r="H42" s="465">
        <f t="shared" si="58"/>
        <v>0</v>
      </c>
      <c r="I42" s="466">
        <f t="shared" si="3"/>
        <v>0</v>
      </c>
      <c r="J42" s="62"/>
      <c r="K42" s="782" t="s">
        <v>446</v>
      </c>
      <c r="L42" s="778"/>
      <c r="M42" s="779"/>
      <c r="N42" s="153">
        <v>0.03</v>
      </c>
      <c r="O42" s="62"/>
      <c r="P42" s="198" t="str">
        <f t="shared" si="59"/>
        <v>-</v>
      </c>
      <c r="Q42" s="401">
        <f t="shared" si="69"/>
        <v>0</v>
      </c>
      <c r="R42" s="194"/>
      <c r="S42" s="437">
        <f t="shared" ca="1" si="60"/>
        <v>0</v>
      </c>
      <c r="T42" s="342" t="str">
        <f t="shared" si="73"/>
        <v/>
      </c>
      <c r="U42" s="342" t="str">
        <f t="shared" si="62"/>
        <v/>
      </c>
      <c r="V42" s="340">
        <f>IFERROR(VLOOKUP($U42,HomeBroker!$A$30:$F$60,2,0),0)</f>
        <v>0</v>
      </c>
      <c r="W42" s="440">
        <f>IFERROR(VLOOKUP($U42,HomeBroker!$A$30:$F$60,3,0),0)</f>
        <v>0</v>
      </c>
      <c r="X42" s="610">
        <f>IFERROR(VLOOKUP($U42,HomeBroker!$A$30:$F$60,6,0),0)</f>
        <v>0</v>
      </c>
      <c r="Y42" s="439">
        <f>IFERROR(VLOOKUP($U42,HomeBroker!$A$30:$F$60,4,0),0)</f>
        <v>0</v>
      </c>
      <c r="Z42" s="340">
        <f>IFERROR(VLOOKUP($U42,HomeBroker!$A$30:$F$60,5,0),0)</f>
        <v>0</v>
      </c>
      <c r="AA42" s="343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41">
        <f t="shared" ca="1" si="64"/>
        <v>0</v>
      </c>
      <c r="AF42" s="342" t="str">
        <f t="shared" si="74"/>
        <v/>
      </c>
      <c r="AG42" s="342" t="str">
        <f t="shared" si="75"/>
        <v/>
      </c>
      <c r="AH42" s="402">
        <f>IFERROR(VLOOKUP($AG42,HomeBroker!$A$30:$F$60,2,0),0)</f>
        <v>0</v>
      </c>
      <c r="AI42" s="440">
        <f>IFERROR(VLOOKUP($AG42,HomeBroker!$A$30:$F$60,3,0),0)</f>
        <v>0</v>
      </c>
      <c r="AJ42" s="610">
        <f>IFERROR(VLOOKUP($AG42,HomeBroker!$A$30:$F$60,6,0),0)</f>
        <v>0</v>
      </c>
      <c r="AK42" s="440">
        <f>IFERROR(VLOOKUP($AG42,HomeBroker!$A$30:$F$60,4,0),0)</f>
        <v>0</v>
      </c>
      <c r="AL42" s="402">
        <f>IFERROR(VLOOKUP($AG42,HomeBroker!$A$30:$F$60,5,0),0)</f>
        <v>0</v>
      </c>
      <c r="AM42" s="442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7"/>
        <v>2134.7288127020188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2134.7288127020188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36" t="s">
        <v>401</v>
      </c>
      <c r="B43" s="144"/>
      <c r="C43" s="200"/>
      <c r="D43" s="201"/>
      <c r="E43" s="455">
        <f t="shared" si="0"/>
        <v>0</v>
      </c>
      <c r="F43" s="456">
        <f t="shared" si="76"/>
        <v>0</v>
      </c>
      <c r="G43" s="202" t="str">
        <f t="shared" si="124"/>
        <v/>
      </c>
      <c r="H43" s="465">
        <f t="shared" si="58"/>
        <v>0</v>
      </c>
      <c r="I43" s="466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83"/>
      <c r="Q43" s="784"/>
      <c r="R43" s="784"/>
      <c r="S43" s="784"/>
      <c r="T43" s="784"/>
      <c r="U43" s="784"/>
      <c r="V43" s="784"/>
      <c r="W43" s="784"/>
      <c r="X43" s="784"/>
      <c r="Y43" s="784"/>
      <c r="Z43" s="784"/>
      <c r="AA43" s="785"/>
      <c r="AB43" s="789"/>
      <c r="AC43" s="789"/>
      <c r="AD43" s="789"/>
      <c r="AE43" s="789"/>
      <c r="AF43" s="789"/>
      <c r="AG43" s="789"/>
      <c r="AH43" s="789"/>
      <c r="AI43" s="789"/>
      <c r="AJ43" s="789"/>
      <c r="AK43" s="789"/>
      <c r="AL43" s="789"/>
      <c r="AM43" s="790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7"/>
        <v>2200.7513533010501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2200.7513533010501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36" t="s">
        <v>401</v>
      </c>
      <c r="B44" s="144"/>
      <c r="C44" s="200"/>
      <c r="D44" s="201"/>
      <c r="E44" s="455">
        <f t="shared" si="0"/>
        <v>0</v>
      </c>
      <c r="F44" s="456">
        <f t="shared" si="76"/>
        <v>0</v>
      </c>
      <c r="G44" s="202" t="str">
        <f t="shared" si="124"/>
        <v/>
      </c>
      <c r="H44" s="465">
        <f t="shared" si="58"/>
        <v>0</v>
      </c>
      <c r="I44" s="466">
        <f t="shared" si="3"/>
        <v>0</v>
      </c>
      <c r="J44" s="62"/>
      <c r="K44" s="780" t="s">
        <v>450</v>
      </c>
      <c r="L44" s="778"/>
      <c r="M44" s="779"/>
      <c r="N44" s="157"/>
      <c r="O44" s="62"/>
      <c r="P44" s="786"/>
      <c r="Q44" s="787"/>
      <c r="R44" s="787"/>
      <c r="S44" s="787"/>
      <c r="T44" s="787"/>
      <c r="U44" s="787"/>
      <c r="V44" s="787"/>
      <c r="W44" s="787"/>
      <c r="X44" s="787"/>
      <c r="Y44" s="787"/>
      <c r="Z44" s="787"/>
      <c r="AA44" s="788"/>
      <c r="AB44" s="791"/>
      <c r="AC44" s="791"/>
      <c r="AD44" s="791"/>
      <c r="AE44" s="791"/>
      <c r="AF44" s="791"/>
      <c r="AG44" s="791"/>
      <c r="AH44" s="791"/>
      <c r="AI44" s="791"/>
      <c r="AJ44" s="791"/>
      <c r="AK44" s="791"/>
      <c r="AL44" s="791"/>
      <c r="AM44" s="792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7"/>
        <v>2268.8158281454125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2268.8158281454125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36" t="s">
        <v>401</v>
      </c>
      <c r="B45" s="144"/>
      <c r="C45" s="200"/>
      <c r="D45" s="201"/>
      <c r="E45" s="455">
        <f t="shared" si="0"/>
        <v>0</v>
      </c>
      <c r="F45" s="456">
        <f t="shared" si="76"/>
        <v>0</v>
      </c>
      <c r="G45" s="202" t="str">
        <f t="shared" si="124"/>
        <v/>
      </c>
      <c r="H45" s="465">
        <f t="shared" si="58"/>
        <v>0</v>
      </c>
      <c r="I45" s="466">
        <f t="shared" si="3"/>
        <v>0</v>
      </c>
      <c r="J45" s="62"/>
      <c r="K45" s="793" t="s">
        <v>451</v>
      </c>
      <c r="L45" s="778"/>
      <c r="M45" s="779"/>
      <c r="N45" s="429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7"/>
        <v>2338.9853898406313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2338.9853898406313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36" t="s">
        <v>401</v>
      </c>
      <c r="B46" s="144"/>
      <c r="C46" s="200"/>
      <c r="D46" s="201"/>
      <c r="E46" s="455">
        <f t="shared" si="0"/>
        <v>0</v>
      </c>
      <c r="F46" s="456">
        <f t="shared" si="76"/>
        <v>0</v>
      </c>
      <c r="G46" s="202" t="str">
        <f t="shared" si="124"/>
        <v/>
      </c>
      <c r="H46" s="465">
        <f t="shared" si="58"/>
        <v>0</v>
      </c>
      <c r="I46" s="466">
        <f t="shared" si="3"/>
        <v>0</v>
      </c>
      <c r="J46" s="62"/>
      <c r="K46" s="797" t="s">
        <v>452</v>
      </c>
      <c r="L46" s="778"/>
      <c r="M46" s="779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7"/>
        <v>2411.3251441655993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2411.3251441655993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36" t="s">
        <v>401</v>
      </c>
      <c r="B47" s="144"/>
      <c r="C47" s="200"/>
      <c r="D47" s="201"/>
      <c r="E47" s="455">
        <f t="shared" si="0"/>
        <v>0</v>
      </c>
      <c r="F47" s="456">
        <f t="shared" si="76"/>
        <v>0</v>
      </c>
      <c r="G47" s="202" t="str">
        <f t="shared" si="124"/>
        <v/>
      </c>
      <c r="H47" s="465">
        <f t="shared" si="58"/>
        <v>0</v>
      </c>
      <c r="I47" s="466">
        <f t="shared" si="3"/>
        <v>0</v>
      </c>
      <c r="J47" s="62"/>
      <c r="K47" s="777" t="s">
        <v>453</v>
      </c>
      <c r="L47" s="778"/>
      <c r="M47" s="779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7"/>
        <v>2485.9022104799992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2485.9022104799992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36" t="s">
        <v>401</v>
      </c>
      <c r="B48" s="144"/>
      <c r="C48" s="200"/>
      <c r="D48" s="201"/>
      <c r="E48" s="455">
        <f t="shared" si="0"/>
        <v>0</v>
      </c>
      <c r="F48" s="456">
        <f t="shared" si="76"/>
        <v>0</v>
      </c>
      <c r="G48" s="202" t="str">
        <f t="shared" si="124"/>
        <v/>
      </c>
      <c r="H48" s="465">
        <f t="shared" si="58"/>
        <v>0</v>
      </c>
      <c r="I48" s="466">
        <f t="shared" si="3"/>
        <v>0</v>
      </c>
      <c r="J48" s="62"/>
      <c r="K48" s="780" t="s">
        <v>454</v>
      </c>
      <c r="L48" s="778"/>
      <c r="M48" s="779"/>
      <c r="N48" s="161">
        <f>HomeBroker!AE1*365</f>
        <v>0.68500000000000005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7"/>
        <v>2562.7857839999992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2562.7857839999992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36" t="s">
        <v>401</v>
      </c>
      <c r="B49" s="144"/>
      <c r="C49" s="200"/>
      <c r="D49" s="201"/>
      <c r="E49" s="455">
        <f t="shared" si="0"/>
        <v>0</v>
      </c>
      <c r="F49" s="456">
        <f t="shared" si="76"/>
        <v>0</v>
      </c>
      <c r="G49" s="202" t="str">
        <f t="shared" si="124"/>
        <v/>
      </c>
      <c r="H49" s="465">
        <f t="shared" si="58"/>
        <v>0</v>
      </c>
      <c r="I49" s="466">
        <f t="shared" si="3"/>
        <v>0</v>
      </c>
      <c r="J49" s="62"/>
      <c r="K49" s="781" t="s">
        <v>455</v>
      </c>
      <c r="L49" s="778"/>
      <c r="M49" s="779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7"/>
        <v>2642.0471999999995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2642.0471999999995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36" t="s">
        <v>401</v>
      </c>
      <c r="B50" s="144"/>
      <c r="C50" s="200"/>
      <c r="D50" s="201"/>
      <c r="E50" s="455">
        <f t="shared" si="0"/>
        <v>0</v>
      </c>
      <c r="F50" s="456">
        <f t="shared" si="76"/>
        <v>0</v>
      </c>
      <c r="G50" s="202" t="str">
        <f t="shared" si="124"/>
        <v/>
      </c>
      <c r="H50" s="465">
        <f t="shared" si="58"/>
        <v>0</v>
      </c>
      <c r="I50" s="466">
        <f t="shared" si="3"/>
        <v>0</v>
      </c>
      <c r="J50" s="62"/>
      <c r="K50" s="781" t="s">
        <v>456</v>
      </c>
      <c r="L50" s="778"/>
      <c r="M50" s="779"/>
      <c r="N50" s="163">
        <f ca="1">N49-TODAY()-N44</f>
        <v>16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7"/>
        <v>2723.7599999999998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2723.7599999999998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36" t="s">
        <v>401</v>
      </c>
      <c r="B51" s="144"/>
      <c r="C51" s="200"/>
      <c r="D51" s="201"/>
      <c r="E51" s="455">
        <f t="shared" si="0"/>
        <v>0</v>
      </c>
      <c r="F51" s="456">
        <f t="shared" si="76"/>
        <v>0</v>
      </c>
      <c r="G51" s="202" t="str">
        <f t="shared" si="124"/>
        <v/>
      </c>
      <c r="H51" s="465">
        <f t="shared" si="58"/>
        <v>0</v>
      </c>
      <c r="I51" s="466">
        <f t="shared" si="3"/>
        <v>0</v>
      </c>
      <c r="J51" s="62"/>
      <c r="K51" s="781" t="s">
        <v>457</v>
      </c>
      <c r="L51" s="778"/>
      <c r="M51" s="779"/>
      <c r="N51" s="164">
        <f ca="1">N50/365</f>
        <v>4.3835616438356165E-2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7"/>
        <v>2808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2808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36" t="s">
        <v>401</v>
      </c>
      <c r="B52" s="144"/>
      <c r="C52" s="200"/>
      <c r="D52" s="201"/>
      <c r="E52" s="455">
        <f t="shared" si="0"/>
        <v>0</v>
      </c>
      <c r="F52" s="456">
        <f t="shared" si="76"/>
        <v>0</v>
      </c>
      <c r="G52" s="202" t="str">
        <f t="shared" si="124"/>
        <v/>
      </c>
      <c r="H52" s="465">
        <f t="shared" si="58"/>
        <v>0</v>
      </c>
      <c r="I52" s="466">
        <f t="shared" si="3"/>
        <v>0</v>
      </c>
      <c r="J52" s="62"/>
      <c r="K52" s="782" t="s">
        <v>0</v>
      </c>
      <c r="L52" s="778"/>
      <c r="M52" s="779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7"/>
        <v>2892.2400000000002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2892.2400000000002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36" t="s">
        <v>401</v>
      </c>
      <c r="B53" s="144"/>
      <c r="C53" s="200"/>
      <c r="D53" s="201"/>
      <c r="E53" s="455">
        <f t="shared" si="0"/>
        <v>0</v>
      </c>
      <c r="F53" s="456">
        <f t="shared" si="76"/>
        <v>0</v>
      </c>
      <c r="G53" s="202" t="str">
        <f t="shared" si="124"/>
        <v/>
      </c>
      <c r="H53" s="465">
        <f t="shared" si="58"/>
        <v>0</v>
      </c>
      <c r="I53" s="466">
        <f t="shared" si="3"/>
        <v>0</v>
      </c>
      <c r="J53" s="62"/>
      <c r="K53" s="794" t="s">
        <v>1</v>
      </c>
      <c r="L53" s="795"/>
      <c r="M53" s="796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7"/>
        <v>2979.0072000000005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2979.0072000000005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36" t="s">
        <v>401</v>
      </c>
      <c r="B54" s="144"/>
      <c r="C54" s="200"/>
      <c r="D54" s="201"/>
      <c r="E54" s="455">
        <f t="shared" si="0"/>
        <v>0</v>
      </c>
      <c r="F54" s="456">
        <f t="shared" si="76"/>
        <v>0</v>
      </c>
      <c r="G54" s="202" t="str">
        <f t="shared" si="124"/>
        <v/>
      </c>
      <c r="H54" s="465">
        <f t="shared" si="58"/>
        <v>0</v>
      </c>
      <c r="I54" s="466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7"/>
        <v>3068.3774160000007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3068.3774160000007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36" t="s">
        <v>401</v>
      </c>
      <c r="B55" s="144"/>
      <c r="C55" s="200"/>
      <c r="D55" s="201"/>
      <c r="E55" s="455">
        <f t="shared" si="0"/>
        <v>0</v>
      </c>
      <c r="F55" s="456">
        <f t="shared" si="76"/>
        <v>0</v>
      </c>
      <c r="G55" s="202" t="str">
        <f t="shared" si="124"/>
        <v/>
      </c>
      <c r="H55" s="465">
        <f t="shared" si="58"/>
        <v>0</v>
      </c>
      <c r="I55" s="466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7"/>
        <v>3160.4287384800009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3160.4287384800009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36" t="s">
        <v>401</v>
      </c>
      <c r="B56" s="144"/>
      <c r="C56" s="200"/>
      <c r="D56" s="201"/>
      <c r="E56" s="455">
        <f t="shared" si="0"/>
        <v>0</v>
      </c>
      <c r="F56" s="456">
        <f t="shared" si="76"/>
        <v>0</v>
      </c>
      <c r="G56" s="202" t="str">
        <f t="shared" si="124"/>
        <v/>
      </c>
      <c r="H56" s="465">
        <f t="shared" si="58"/>
        <v>0</v>
      </c>
      <c r="I56" s="466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7"/>
        <v>3255.241600634401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3255.241600634401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36" t="s">
        <v>401</v>
      </c>
      <c r="B57" s="144"/>
      <c r="C57" s="200"/>
      <c r="D57" s="201"/>
      <c r="E57" s="455">
        <f t="shared" si="0"/>
        <v>0</v>
      </c>
      <c r="F57" s="456">
        <f t="shared" si="76"/>
        <v>0</v>
      </c>
      <c r="G57" s="202" t="str">
        <f t="shared" si="124"/>
        <v/>
      </c>
      <c r="H57" s="465">
        <f t="shared" si="58"/>
        <v>0</v>
      </c>
      <c r="I57" s="466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7"/>
        <v>3352.8988486534331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3352.8988486534331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36" t="s">
        <v>401</v>
      </c>
      <c r="B58" s="144"/>
      <c r="C58" s="200"/>
      <c r="D58" s="201"/>
      <c r="E58" s="455">
        <f t="shared" si="0"/>
        <v>0</v>
      </c>
      <c r="F58" s="456">
        <f t="shared" si="76"/>
        <v>0</v>
      </c>
      <c r="G58" s="202" t="str">
        <f t="shared" si="124"/>
        <v/>
      </c>
      <c r="H58" s="465">
        <f t="shared" si="58"/>
        <v>0</v>
      </c>
      <c r="I58" s="466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7"/>
        <v>3453.4858141130362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3453.4858141130362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36" t="s">
        <v>401</v>
      </c>
      <c r="B59" s="144"/>
      <c r="C59" s="200"/>
      <c r="D59" s="201"/>
      <c r="E59" s="455">
        <f t="shared" si="0"/>
        <v>0</v>
      </c>
      <c r="F59" s="456">
        <f t="shared" si="76"/>
        <v>0</v>
      </c>
      <c r="G59" s="202" t="str">
        <f t="shared" si="124"/>
        <v/>
      </c>
      <c r="H59" s="465">
        <f t="shared" si="58"/>
        <v>0</v>
      </c>
      <c r="I59" s="466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7"/>
        <v>3557.0903885364273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3557.0903885364273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36" t="s">
        <v>401</v>
      </c>
      <c r="B60" s="144"/>
      <c r="C60" s="200"/>
      <c r="D60" s="201"/>
      <c r="E60" s="455">
        <f t="shared" si="0"/>
        <v>0</v>
      </c>
      <c r="F60" s="456">
        <f t="shared" si="76"/>
        <v>0</v>
      </c>
      <c r="G60" s="202" t="str">
        <f t="shared" si="124"/>
        <v/>
      </c>
      <c r="H60" s="465">
        <f t="shared" si="58"/>
        <v>0</v>
      </c>
      <c r="I60" s="466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7"/>
        <v>3663.8031001925201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3663.8031001925201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36" t="s">
        <v>401</v>
      </c>
      <c r="B61" s="144"/>
      <c r="C61" s="200"/>
      <c r="D61" s="201"/>
      <c r="E61" s="455">
        <f t="shared" si="0"/>
        <v>0</v>
      </c>
      <c r="F61" s="456">
        <f t="shared" si="76"/>
        <v>0</v>
      </c>
      <c r="G61" s="202" t="str">
        <f t="shared" si="124"/>
        <v/>
      </c>
      <c r="H61" s="465">
        <f t="shared" si="58"/>
        <v>0</v>
      </c>
      <c r="I61" s="466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7"/>
        <v>3773.7171931982957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3773.7171931982957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36" t="s">
        <v>401</v>
      </c>
      <c r="B62" s="144"/>
      <c r="C62" s="200"/>
      <c r="D62" s="201"/>
      <c r="E62" s="455">
        <f t="shared" si="0"/>
        <v>0</v>
      </c>
      <c r="F62" s="456">
        <f t="shared" si="76"/>
        <v>0</v>
      </c>
      <c r="G62" s="202" t="str">
        <f t="shared" si="124"/>
        <v/>
      </c>
      <c r="H62" s="465">
        <f t="shared" si="58"/>
        <v>0</v>
      </c>
      <c r="I62" s="466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7"/>
        <v>3886.9287089942445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3886.9287089942445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36" t="s">
        <v>401</v>
      </c>
      <c r="B63" s="144"/>
      <c r="C63" s="200"/>
      <c r="D63" s="201"/>
      <c r="E63" s="455">
        <f t="shared" si="0"/>
        <v>0</v>
      </c>
      <c r="F63" s="456">
        <f t="shared" si="76"/>
        <v>0</v>
      </c>
      <c r="G63" s="202" t="str">
        <f t="shared" si="124"/>
        <v/>
      </c>
      <c r="H63" s="465">
        <f t="shared" si="58"/>
        <v>0</v>
      </c>
      <c r="I63" s="466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7"/>
        <v>4003.536570264072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4003.536570264072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36" t="s">
        <v>401</v>
      </c>
      <c r="B64" s="144"/>
      <c r="C64" s="200"/>
      <c r="D64" s="201"/>
      <c r="E64" s="455">
        <f t="shared" si="0"/>
        <v>0</v>
      </c>
      <c r="F64" s="456">
        <f t="shared" si="76"/>
        <v>0</v>
      </c>
      <c r="G64" s="202" t="str">
        <f t="shared" si="124"/>
        <v/>
      </c>
      <c r="H64" s="465">
        <f t="shared" si="58"/>
        <v>0</v>
      </c>
      <c r="I64" s="466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7"/>
        <v>4123.6426673719943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4123.6426673719943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36" t="s">
        <v>401</v>
      </c>
      <c r="B65" s="144"/>
      <c r="C65" s="200"/>
      <c r="D65" s="201"/>
      <c r="E65" s="455">
        <f t="shared" si="0"/>
        <v>0</v>
      </c>
      <c r="F65" s="456">
        <f t="shared" si="76"/>
        <v>0</v>
      </c>
      <c r="G65" s="202" t="str">
        <f t="shared" si="124"/>
        <v/>
      </c>
      <c r="H65" s="465">
        <f t="shared" si="58"/>
        <v>0</v>
      </c>
      <c r="I65" s="466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7"/>
        <v>4247.3519473931547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4247.3519473931547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36" t="s">
        <v>401</v>
      </c>
      <c r="B66" s="144"/>
      <c r="C66" s="200"/>
      <c r="D66" s="201"/>
      <c r="E66" s="455">
        <f t="shared" si="0"/>
        <v>0</v>
      </c>
      <c r="F66" s="456">
        <f t="shared" si="76"/>
        <v>0</v>
      </c>
      <c r="G66" s="202" t="str">
        <f t="shared" si="124"/>
        <v/>
      </c>
      <c r="H66" s="465">
        <f t="shared" si="58"/>
        <v>0</v>
      </c>
      <c r="I66" s="466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7"/>
        <v>4374.772505814949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4374.772505814949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36" t="s">
        <v>401</v>
      </c>
      <c r="B67" s="144"/>
      <c r="C67" s="200"/>
      <c r="D67" s="201"/>
      <c r="E67" s="455">
        <f t="shared" si="0"/>
        <v>0</v>
      </c>
      <c r="F67" s="456">
        <f t="shared" ref="F67:F72" si="125">IF(B67&gt;0,+B67*D67*(1+($N$53+0.002)*1.21)*-100,B67*D67*(1-($N$53+0.002)*1.21)*-100)</f>
        <v>0</v>
      </c>
      <c r="G67" s="202" t="str">
        <f t="shared" si="124"/>
        <v/>
      </c>
      <c r="H67" s="465">
        <f t="shared" si="58"/>
        <v>0</v>
      </c>
      <c r="I67" s="466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7"/>
        <v>4506.0156809893979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4506.0156809893979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36" t="s">
        <v>401</v>
      </c>
      <c r="B68" s="144"/>
      <c r="C68" s="200"/>
      <c r="D68" s="201"/>
      <c r="E68" s="455">
        <f t="shared" si="0"/>
        <v>0</v>
      </c>
      <c r="F68" s="456">
        <f t="shared" si="125"/>
        <v>0</v>
      </c>
      <c r="G68" s="202" t="str">
        <f t="shared" si="124"/>
        <v/>
      </c>
      <c r="H68" s="465">
        <f>IFERROR(+G68*B68*-100,0)</f>
        <v>0</v>
      </c>
      <c r="I68" s="466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36" t="s">
        <v>401</v>
      </c>
      <c r="B69" s="144"/>
      <c r="C69" s="200"/>
      <c r="D69" s="201"/>
      <c r="E69" s="455">
        <f t="shared" si="0"/>
        <v>0</v>
      </c>
      <c r="F69" s="456">
        <f t="shared" si="125"/>
        <v>0</v>
      </c>
      <c r="G69" s="202" t="str">
        <f t="shared" si="124"/>
        <v/>
      </c>
      <c r="H69" s="465">
        <f>IFERROR(+G69*B69*-100,0)</f>
        <v>0</v>
      </c>
      <c r="I69" s="466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36" t="s">
        <v>401</v>
      </c>
      <c r="B70" s="144"/>
      <c r="C70" s="200"/>
      <c r="D70" s="201"/>
      <c r="E70" s="455">
        <f t="shared" si="0"/>
        <v>0</v>
      </c>
      <c r="F70" s="456">
        <f t="shared" si="125"/>
        <v>0</v>
      </c>
      <c r="G70" s="202" t="str">
        <f t="shared" si="124"/>
        <v/>
      </c>
      <c r="H70" s="465">
        <f>IFERROR(+G70*B70*-100,0)</f>
        <v>0</v>
      </c>
      <c r="I70" s="466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6">DE3</f>
        <v>1778.1693390961038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1778.1693390961038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36" t="s">
        <v>401</v>
      </c>
      <c r="B71" s="144"/>
      <c r="C71" s="200"/>
      <c r="D71" s="201"/>
      <c r="E71" s="455">
        <f t="shared" si="0"/>
        <v>0</v>
      </c>
      <c r="F71" s="456">
        <f t="shared" si="125"/>
        <v>0</v>
      </c>
      <c r="G71" s="202" t="str">
        <f t="shared" si="124"/>
        <v/>
      </c>
      <c r="H71" s="465">
        <f>IFERROR(+G71*B71*-100,0)</f>
        <v>0</v>
      </c>
      <c r="I71" s="466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6"/>
        <v>1833.1642671093855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1833.1642671093855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36" t="s">
        <v>401</v>
      </c>
      <c r="B72" s="178"/>
      <c r="C72" s="207"/>
      <c r="D72" s="208"/>
      <c r="E72" s="457">
        <f t="shared" si="0"/>
        <v>0</v>
      </c>
      <c r="F72" s="458">
        <f t="shared" si="125"/>
        <v>0</v>
      </c>
      <c r="G72" s="206" t="str">
        <f t="shared" si="124"/>
        <v/>
      </c>
      <c r="H72" s="467">
        <f>IFERROR(+G72*B72*-100,0)</f>
        <v>0</v>
      </c>
      <c r="I72" s="468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6"/>
        <v>1889.8600691849335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1889.8600691849335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774" t="s">
        <v>403</v>
      </c>
      <c r="B73" s="179"/>
      <c r="C73" s="180"/>
      <c r="D73" s="181"/>
      <c r="E73" s="459">
        <f>-C73*B73</f>
        <v>0</v>
      </c>
      <c r="F73" s="460">
        <f>IF(B73&gt;0,-C73*(1+($N$52+0.0008)*1.21)*B73,-C73*(1-($N$52+0.0008)*1.21)*B73)</f>
        <v>0</v>
      </c>
      <c r="G73" s="212">
        <f>B76</f>
        <v>2808</v>
      </c>
      <c r="H73" s="469">
        <f>-G73*B73</f>
        <v>0</v>
      </c>
      <c r="I73" s="470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6"/>
        <v>1948.3093496751892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1948.3093496751892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775"/>
      <c r="B74" s="144"/>
      <c r="C74" s="125"/>
      <c r="D74" s="182"/>
      <c r="E74" s="461">
        <f>-C74*B74</f>
        <v>0</v>
      </c>
      <c r="F74" s="462">
        <f>IF(B74&gt;0,-C74*(1+($N$52+0.0008)*1.21)*B74,-C74*(1-($N$52+0.0008)*1.21)*B74)</f>
        <v>0</v>
      </c>
      <c r="G74" s="212">
        <f>G73</f>
        <v>2808</v>
      </c>
      <c r="H74" s="469">
        <f>-G74*B74</f>
        <v>0</v>
      </c>
      <c r="I74" s="470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6"/>
        <v>2008.5663398713291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2008.5663398713291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776"/>
      <c r="B75" s="178"/>
      <c r="C75" s="183"/>
      <c r="D75" s="184"/>
      <c r="E75" s="463">
        <f>-C75*B75</f>
        <v>0</v>
      </c>
      <c r="F75" s="464">
        <f>IF(B75&gt;0,-C75*(1+($N$52+0.0008)*1.21)*B75,-C75*(1-($N$52+0.0008)*1.21)*B75)</f>
        <v>0</v>
      </c>
      <c r="G75" s="213">
        <f>G74</f>
        <v>2808</v>
      </c>
      <c r="H75" s="471">
        <f>-G75*B75</f>
        <v>0</v>
      </c>
      <c r="I75" s="472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6"/>
        <v>2070.686948320958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2070.686948320958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33">
        <f>IFERROR(VLOOKUP("GGAL - 48hs",HomeBroker!$A$18:$F$106,6,0),0)</f>
        <v>2808</v>
      </c>
      <c r="C76" s="186"/>
      <c r="D76" s="187" t="s">
        <v>459</v>
      </c>
      <c r="E76" s="430">
        <f>SUM(E3:E75)</f>
        <v>-21800</v>
      </c>
      <c r="F76" s="431">
        <f>SUM(F3:F75)</f>
        <v>-25366.692800000019</v>
      </c>
      <c r="G76" s="188"/>
      <c r="H76" s="189"/>
      <c r="I76" s="432">
        <f>SUM(I3:I75)</f>
        <v>-4516.6928000000044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6"/>
        <v>2134.7288127020188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2134.7288127020188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2200.7513533010501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2200.7513533010501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2268.8158281454125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2268.8158281454125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2338.9853898406313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2338.9853898406313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2411.3251441655993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2411.3251441655993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2485.9022104799992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2485.9022104799992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2562.7857839999992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2562.7857839999992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2642.0471999999995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2642.0471999999995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2723.7599999999998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2723.7599999999998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2808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2808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2892.2400000000002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2892.2400000000002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2979.0072000000005</v>
      </c>
      <c r="DF87" s="118">
        <f t="shared" si="127"/>
        <v>39503.600000000231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39503.600000000231</v>
      </c>
      <c r="EU87" s="72"/>
      <c r="EV87" s="117">
        <f t="shared" si="168"/>
        <v>2979.0072000000005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3068.3774160000007</v>
      </c>
      <c r="DF88" s="118">
        <f t="shared" si="127"/>
        <v>84188.708000000363</v>
      </c>
      <c r="DG88" s="118">
        <f t="shared" si="128"/>
        <v>-54701.932800000577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29486.775199999785</v>
      </c>
      <c r="EU88" s="72"/>
      <c r="EV88" s="117">
        <f t="shared" si="168"/>
        <v>3068.3774160000007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3160.4287384800009</v>
      </c>
      <c r="DF89" s="118">
        <f t="shared" si="127"/>
        <v>130214.36924000045</v>
      </c>
      <c r="DG89" s="118">
        <f t="shared" si="128"/>
        <v>-128342.99078400072</v>
      </c>
      <c r="DH89" s="118">
        <f t="shared" si="129"/>
        <v>17728.855416001534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19600.233872001263</v>
      </c>
      <c r="EU89" s="72"/>
      <c r="EV89" s="117">
        <f t="shared" si="168"/>
        <v>3160.4287384800009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3255.241600634401</v>
      </c>
      <c r="DF90" s="118">
        <f t="shared" si="127"/>
        <v>177620.80031720051</v>
      </c>
      <c r="DG90" s="118">
        <f t="shared" si="128"/>
        <v>-204193.28050752083</v>
      </c>
      <c r="DH90" s="118">
        <f t="shared" si="129"/>
        <v>178910.72107848176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152338.24088816144</v>
      </c>
      <c r="EU90" s="72"/>
      <c r="EV90" s="117">
        <f t="shared" si="168"/>
        <v>3255.241600634401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3352.8988486534331</v>
      </c>
      <c r="DF91" s="118">
        <f t="shared" si="127"/>
        <v>226449.42432671654</v>
      </c>
      <c r="DG91" s="118">
        <f t="shared" si="128"/>
        <v>-282319.07892274647</v>
      </c>
      <c r="DH91" s="118">
        <f t="shared" si="129"/>
        <v>344928.04271083628</v>
      </c>
      <c r="DI91" s="118">
        <f t="shared" si="130"/>
        <v>-89928.042710836278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199130.3454039701</v>
      </c>
      <c r="EU91" s="72"/>
      <c r="EV91" s="117">
        <f t="shared" si="168"/>
        <v>3352.8988486534331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3453.4858141130362</v>
      </c>
      <c r="DF92" s="118">
        <f t="shared" si="127"/>
        <v>276742.90705651813</v>
      </c>
      <c r="DG92" s="118">
        <f t="shared" si="128"/>
        <v>-362788.65129042894</v>
      </c>
      <c r="DH92" s="118">
        <f t="shared" si="129"/>
        <v>515925.88399216154</v>
      </c>
      <c r="DI92" s="118">
        <f t="shared" si="130"/>
        <v>-260925.88399216157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168954.25576608916</v>
      </c>
      <c r="EU92" s="72"/>
      <c r="EV92" s="117">
        <f t="shared" si="168"/>
        <v>3453.4858141130362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3557.0903885364273</v>
      </c>
      <c r="DF93" s="118">
        <f t="shared" si="127"/>
        <v>328545.19426821364</v>
      </c>
      <c r="DG93" s="118">
        <f t="shared" si="128"/>
        <v>-445672.31082914188</v>
      </c>
      <c r="DH93" s="118">
        <f t="shared" si="129"/>
        <v>692053.6605119264</v>
      </c>
      <c r="DI93" s="118">
        <f t="shared" si="130"/>
        <v>-437053.66051192646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137872.88343907177</v>
      </c>
      <c r="EU93" s="72"/>
      <c r="EV93" s="117">
        <f t="shared" si="168"/>
        <v>3557.0903885364273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3663.8031001925201</v>
      </c>
      <c r="DF94" s="118">
        <f t="shared" si="127"/>
        <v>381901.55009626003</v>
      </c>
      <c r="DG94" s="118">
        <f t="shared" si="128"/>
        <v>-531042.48015401606</v>
      </c>
      <c r="DH94" s="118">
        <f t="shared" si="129"/>
        <v>873465.27032728423</v>
      </c>
      <c r="DI94" s="118">
        <f t="shared" si="130"/>
        <v>-618465.27032728423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105859.06994224398</v>
      </c>
      <c r="EU94" s="72"/>
      <c r="EV94" s="117">
        <f t="shared" si="168"/>
        <v>3663.8031001925201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3773.7171931982957</v>
      </c>
      <c r="DF95" s="118">
        <f t="shared" si="127"/>
        <v>436858.59659914789</v>
      </c>
      <c r="DG95" s="118">
        <f t="shared" si="128"/>
        <v>-618973.75455863657</v>
      </c>
      <c r="DH95" s="118">
        <f t="shared" si="129"/>
        <v>1060319.2284371026</v>
      </c>
      <c r="DI95" s="118">
        <f t="shared" si="130"/>
        <v>-805319.22843710275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72884.842040511197</v>
      </c>
      <c r="EU95" s="72"/>
      <c r="EV95" s="117">
        <f t="shared" si="168"/>
        <v>3773.7171931982957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3886.9287089942445</v>
      </c>
      <c r="DF96" s="118">
        <f t="shared" si="127"/>
        <v>493464.35449712223</v>
      </c>
      <c r="DG96" s="118">
        <f t="shared" si="128"/>
        <v>-709542.96719539561</v>
      </c>
      <c r="DH96" s="118">
        <f t="shared" si="129"/>
        <v>1252778.8052902156</v>
      </c>
      <c r="DI96" s="118">
        <f t="shared" si="130"/>
        <v>-997778.80529021565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38921.387301726616</v>
      </c>
      <c r="EU96" s="72"/>
      <c r="EV96" s="117">
        <f t="shared" si="168"/>
        <v>3886.9287089942445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4003.536570264072</v>
      </c>
      <c r="DF97" s="118">
        <f t="shared" si="127"/>
        <v>551768.28513203596</v>
      </c>
      <c r="DG97" s="118">
        <f t="shared" si="128"/>
        <v>-802829.25621125754</v>
      </c>
      <c r="DH97" s="118">
        <f t="shared" si="129"/>
        <v>1451012.1694489224</v>
      </c>
      <c r="DI97" s="118">
        <f t="shared" si="130"/>
        <v>-1196012.1694489224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0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3939.028920778539</v>
      </c>
      <c r="EU97" s="72"/>
      <c r="EV97" s="117">
        <f t="shared" si="168"/>
        <v>4003.536570264072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4123.6426673719943</v>
      </c>
      <c r="DF98" s="118">
        <f t="shared" si="127"/>
        <v>611821.33368599718</v>
      </c>
      <c r="DG98" s="118">
        <f t="shared" si="128"/>
        <v>-898914.13389759546</v>
      </c>
      <c r="DH98" s="118">
        <f t="shared" si="129"/>
        <v>1655192.5345323903</v>
      </c>
      <c r="DI98" s="118">
        <f t="shared" si="130"/>
        <v>-1400192.5345323903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0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-32092.800211598398</v>
      </c>
      <c r="EU98" s="72"/>
      <c r="EV98" s="117">
        <f t="shared" si="168"/>
        <v>4123.6426673719943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4247.3519473931547</v>
      </c>
      <c r="DF99" s="118">
        <f t="shared" si="127"/>
        <v>673675.97369657736</v>
      </c>
      <c r="DG99" s="118">
        <f t="shared" si="128"/>
        <v>-997881.55791452376</v>
      </c>
      <c r="DH99" s="118">
        <f t="shared" si="129"/>
        <v>1865498.3105683629</v>
      </c>
      <c r="DI99" s="118">
        <f t="shared" si="130"/>
        <v>-1610498.3105683629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0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-69205.584217946511</v>
      </c>
      <c r="EU99" s="72"/>
      <c r="EV99" s="117">
        <f t="shared" si="168"/>
        <v>4247.3519473931547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4374.772505814949</v>
      </c>
      <c r="DF100" s="118">
        <f t="shared" si="127"/>
        <v>737386.25290747453</v>
      </c>
      <c r="DG100" s="118">
        <f t="shared" si="128"/>
        <v>-1099818.0046519593</v>
      </c>
      <c r="DH100" s="118">
        <f t="shared" si="129"/>
        <v>2082113.2598854133</v>
      </c>
      <c r="DI100" s="118">
        <f t="shared" si="130"/>
        <v>-1827113.2598854133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0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-107431.75174448476</v>
      </c>
      <c r="EU100" s="72"/>
      <c r="EV100" s="117">
        <f t="shared" si="168"/>
        <v>4374.772505814949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4506.0156809893979</v>
      </c>
      <c r="DF101" s="118">
        <f t="shared" si="127"/>
        <v>803007.84049469896</v>
      </c>
      <c r="DG101" s="118">
        <f t="shared" si="128"/>
        <v>-1204812.5447915182</v>
      </c>
      <c r="DH101" s="118">
        <f t="shared" si="129"/>
        <v>2305226.6576819764</v>
      </c>
      <c r="DI101" s="118">
        <f t="shared" si="130"/>
        <v>-2050226.6576819764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0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-146804.7042968194</v>
      </c>
      <c r="EU101" s="72"/>
      <c r="EV101" s="117">
        <f t="shared" si="168"/>
        <v>4506.0156809893979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1778.1693390961038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1778.1693390961038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1833.1642671093855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1833.1642671093855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1889.8600691849335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1889.8600691849335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1948.3093496751892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1948.3093496751892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2008.5663398713291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2008.5663398713291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2070.686948320958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2070.686948320958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2134.7288127020188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2134.7288127020188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2200.7513533010501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2200.7513533010501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2268.8158281454125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2268.8158281454125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2338.9853898406313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2338.9853898406313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2411.3251441655993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2411.3251441655993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2485.9022104799992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2485.9022104799992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2562.7857839999992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2562.7857839999992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2642.0471999999995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2642.0471999999995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2723.7599999999998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2723.7599999999998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2808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2808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2892.2400000000002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2892.2400000000002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2979.0072000000005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2979.0072000000005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3068.3774160000007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3068.3774160000007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3160.4287384800009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3160.4287384800009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3255.241600634401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3255.241600634401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3352.8988486534331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3352.8988486534331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3453.4858141130362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3453.4858141130362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3557.0903885364273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3557.0903885364273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3663.8031001925201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3663.8031001925201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3773.7171931982957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3773.7171931982957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3886.9287089942445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3886.9287089942445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4003.536570264072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4003.536570264072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4123.6426673719943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4123.6426673719943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4247.3519473931547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4247.3519473931547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4374.772505814949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4374.772505814949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4506.0156809893979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4506.0156809893979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5" priority="461">
      <formula>AC3&gt;0</formula>
    </cfRule>
  </conditionalFormatting>
  <conditionalFormatting sqref="AD3 AD27:AD42">
    <cfRule type="expression" dxfId="484" priority="462">
      <formula>AC3&lt;0</formula>
    </cfRule>
  </conditionalFormatting>
  <conditionalFormatting sqref="M3:N34">
    <cfRule type="cellIs" dxfId="483" priority="463" operator="greaterThan">
      <formula>0</formula>
    </cfRule>
  </conditionalFormatting>
  <conditionalFormatting sqref="M3:N34">
    <cfRule type="cellIs" dxfId="482" priority="464" operator="lessThan">
      <formula>0</formula>
    </cfRule>
  </conditionalFormatting>
  <conditionalFormatting sqref="B73:B74 B17:B18 B20:B30 AC3:AC17">
    <cfRule type="cellIs" dxfId="481" priority="465" operator="greaterThan">
      <formula>0</formula>
    </cfRule>
  </conditionalFormatting>
  <conditionalFormatting sqref="B73:B74 B17:B18 B20:B30 AC3:AC17">
    <cfRule type="cellIs" dxfId="480" priority="466" operator="lessThan">
      <formula>0</formula>
    </cfRule>
  </conditionalFormatting>
  <conditionalFormatting sqref="BA61:BA76">
    <cfRule type="cellIs" dxfId="479" priority="467" operator="greaterThan">
      <formula>0</formula>
    </cfRule>
  </conditionalFormatting>
  <conditionalFormatting sqref="BA61:BA76">
    <cfRule type="cellIs" dxfId="478" priority="468" operator="lessThan">
      <formula>0</formula>
    </cfRule>
  </conditionalFormatting>
  <conditionalFormatting sqref="BA6:BA8">
    <cfRule type="cellIs" dxfId="477" priority="469" operator="greaterThan">
      <formula>0</formula>
    </cfRule>
  </conditionalFormatting>
  <conditionalFormatting sqref="BA6:BA8">
    <cfRule type="cellIs" dxfId="476" priority="470" operator="lessThan">
      <formula>0</formula>
    </cfRule>
  </conditionalFormatting>
  <conditionalFormatting sqref="B43 B17:B18 B41 B20:B30 Q3 AC3:AC42">
    <cfRule type="cellIs" dxfId="475" priority="471" operator="greaterThan">
      <formula>0</formula>
    </cfRule>
  </conditionalFormatting>
  <conditionalFormatting sqref="B43 B17:B18 B41 B20:B30 Q3 AC3:AC42">
    <cfRule type="cellIs" dxfId="474" priority="472" operator="lessThan">
      <formula>0</formula>
    </cfRule>
  </conditionalFormatting>
  <conditionalFormatting sqref="B30">
    <cfRule type="cellIs" dxfId="473" priority="473" operator="greaterThan">
      <formula>0</formula>
    </cfRule>
  </conditionalFormatting>
  <conditionalFormatting sqref="B30">
    <cfRule type="cellIs" dxfId="472" priority="474" operator="lessThan">
      <formula>0</formula>
    </cfRule>
  </conditionalFormatting>
  <conditionalFormatting sqref="B75">
    <cfRule type="cellIs" dxfId="471" priority="475" operator="greaterThan">
      <formula>0</formula>
    </cfRule>
  </conditionalFormatting>
  <conditionalFormatting sqref="B75">
    <cfRule type="cellIs" dxfId="470" priority="476" operator="lessThan">
      <formula>0</formula>
    </cfRule>
  </conditionalFormatting>
  <conditionalFormatting sqref="BA9">
    <cfRule type="cellIs" dxfId="469" priority="477" operator="greaterThan">
      <formula>0</formula>
    </cfRule>
  </conditionalFormatting>
  <conditionalFormatting sqref="BA9">
    <cfRule type="cellIs" dxfId="468" priority="478" operator="lessThan">
      <formula>0</formula>
    </cfRule>
  </conditionalFormatting>
  <conditionalFormatting sqref="AU14:AU16">
    <cfRule type="cellIs" dxfId="467" priority="479" operator="greaterThan">
      <formula>0</formula>
    </cfRule>
  </conditionalFormatting>
  <conditionalFormatting sqref="AU14:AU16">
    <cfRule type="cellIs" dxfId="466" priority="480" operator="lessThan">
      <formula>0</formula>
    </cfRule>
  </conditionalFormatting>
  <conditionalFormatting sqref="AU28">
    <cfRule type="cellIs" dxfId="465" priority="481" operator="greaterThan">
      <formula>0</formula>
    </cfRule>
  </conditionalFormatting>
  <conditionalFormatting sqref="AU28">
    <cfRule type="cellIs" dxfId="464" priority="482" operator="lessThan">
      <formula>0</formula>
    </cfRule>
  </conditionalFormatting>
  <conditionalFormatting sqref="BA27">
    <cfRule type="cellIs" dxfId="463" priority="483" operator="greaterThan">
      <formula>0</formula>
    </cfRule>
  </conditionalFormatting>
  <conditionalFormatting sqref="BA27">
    <cfRule type="cellIs" dxfId="462" priority="484" operator="lessThan">
      <formula>0</formula>
    </cfRule>
  </conditionalFormatting>
  <conditionalFormatting sqref="BA22">
    <cfRule type="cellIs" dxfId="461" priority="485" operator="greaterThan">
      <formula>0</formula>
    </cfRule>
  </conditionalFormatting>
  <conditionalFormatting sqref="BA22">
    <cfRule type="cellIs" dxfId="460" priority="486" operator="lessThan">
      <formula>0</formula>
    </cfRule>
  </conditionalFormatting>
  <conditionalFormatting sqref="AU16:AU42">
    <cfRule type="cellIs" dxfId="459" priority="487" operator="greaterThan">
      <formula>0</formula>
    </cfRule>
  </conditionalFormatting>
  <conditionalFormatting sqref="AU16:AU42">
    <cfRule type="cellIs" dxfId="458" priority="488" operator="lessThan">
      <formula>0</formula>
    </cfRule>
  </conditionalFormatting>
  <conditionalFormatting sqref="AU24:AU27">
    <cfRule type="cellIs" dxfId="457" priority="489" operator="greaterThan">
      <formula>0</formula>
    </cfRule>
  </conditionalFormatting>
  <conditionalFormatting sqref="AU24:AU27">
    <cfRule type="cellIs" dxfId="456" priority="490" operator="lessThan">
      <formula>0</formula>
    </cfRule>
  </conditionalFormatting>
  <conditionalFormatting sqref="BA10:BA11 BA16:BA18 BA20:BA42">
    <cfRule type="cellIs" dxfId="455" priority="491" operator="greaterThan">
      <formula>0</formula>
    </cfRule>
  </conditionalFormatting>
  <conditionalFormatting sqref="BA10:BA11 BA16:BA18 BA20:BA42">
    <cfRule type="cellIs" dxfId="454" priority="492" operator="lessThan">
      <formula>0</formula>
    </cfRule>
  </conditionalFormatting>
  <conditionalFormatting sqref="BA12:BA15">
    <cfRule type="cellIs" dxfId="453" priority="493" operator="greaterThan">
      <formula>0</formula>
    </cfRule>
  </conditionalFormatting>
  <conditionalFormatting sqref="BA12:BA15">
    <cfRule type="cellIs" dxfId="452" priority="494" operator="lessThan">
      <formula>0</formula>
    </cfRule>
  </conditionalFormatting>
  <conditionalFormatting sqref="BA19">
    <cfRule type="cellIs" dxfId="451" priority="495" operator="greaterThan">
      <formula>0</formula>
    </cfRule>
  </conditionalFormatting>
  <conditionalFormatting sqref="BA19">
    <cfRule type="cellIs" dxfId="450" priority="496" operator="lessThan">
      <formula>0</formula>
    </cfRule>
  </conditionalFormatting>
  <conditionalFormatting sqref="AU29:AU36">
    <cfRule type="cellIs" dxfId="449" priority="497" operator="greaterThan">
      <formula>0</formula>
    </cfRule>
  </conditionalFormatting>
  <conditionalFormatting sqref="AU29:AU36">
    <cfRule type="cellIs" dxfId="448" priority="498" operator="lessThan">
      <formula>0</formula>
    </cfRule>
  </conditionalFormatting>
  <conditionalFormatting sqref="BA23:BA24">
    <cfRule type="cellIs" dxfId="447" priority="499" operator="greaterThan">
      <formula>0</formula>
    </cfRule>
  </conditionalFormatting>
  <conditionalFormatting sqref="BA23:BA24">
    <cfRule type="cellIs" dxfId="446" priority="500" operator="lessThan">
      <formula>0</formula>
    </cfRule>
  </conditionalFormatting>
  <conditionalFormatting sqref="BA25:BA26">
    <cfRule type="cellIs" dxfId="445" priority="501" operator="greaterThan">
      <formula>0</formula>
    </cfRule>
  </conditionalFormatting>
  <conditionalFormatting sqref="BA25:BA26">
    <cfRule type="cellIs" dxfId="444" priority="502" operator="lessThan">
      <formula>0</formula>
    </cfRule>
  </conditionalFormatting>
  <conditionalFormatting sqref="AU61:AU76">
    <cfRule type="cellIs" dxfId="443" priority="503" operator="greaterThan">
      <formula>0</formula>
    </cfRule>
  </conditionalFormatting>
  <conditionalFormatting sqref="AU61:AU76">
    <cfRule type="cellIs" dxfId="442" priority="504" operator="lessThan">
      <formula>0</formula>
    </cfRule>
  </conditionalFormatting>
  <conditionalFormatting sqref="AU50:AU53 AU55:AU68">
    <cfRule type="cellIs" dxfId="441" priority="505" operator="greaterThan">
      <formula>0</formula>
    </cfRule>
  </conditionalFormatting>
  <conditionalFormatting sqref="AU50:AU53 AU55:AU68">
    <cfRule type="cellIs" dxfId="440" priority="506" operator="lessThan">
      <formula>0</formula>
    </cfRule>
  </conditionalFormatting>
  <conditionalFormatting sqref="AU50">
    <cfRule type="cellIs" dxfId="439" priority="507" operator="greaterThan">
      <formula>0</formula>
    </cfRule>
  </conditionalFormatting>
  <conditionalFormatting sqref="AU50">
    <cfRule type="cellIs" dxfId="438" priority="508" operator="lessThan">
      <formula>0</formula>
    </cfRule>
  </conditionalFormatting>
  <conditionalFormatting sqref="AU70">
    <cfRule type="cellIs" dxfId="437" priority="509" operator="greaterThan">
      <formula>0</formula>
    </cfRule>
  </conditionalFormatting>
  <conditionalFormatting sqref="AU70">
    <cfRule type="cellIs" dxfId="436" priority="510" operator="lessThan">
      <formula>0</formula>
    </cfRule>
  </conditionalFormatting>
  <conditionalFormatting sqref="AU35:AU47 AU50">
    <cfRule type="cellIs" dxfId="435" priority="511" operator="greaterThan">
      <formula>0</formula>
    </cfRule>
  </conditionalFormatting>
  <conditionalFormatting sqref="AU35:AU47 AU50">
    <cfRule type="cellIs" dxfId="434" priority="512" operator="lessThan">
      <formula>0</formula>
    </cfRule>
  </conditionalFormatting>
  <conditionalFormatting sqref="AU43:AU47 AU50">
    <cfRule type="cellIs" dxfId="433" priority="513" operator="greaterThan">
      <formula>0</formula>
    </cfRule>
  </conditionalFormatting>
  <conditionalFormatting sqref="AU43:AU47 AU50">
    <cfRule type="cellIs" dxfId="432" priority="514" operator="lessThan">
      <formula>0</formula>
    </cfRule>
  </conditionalFormatting>
  <conditionalFormatting sqref="AU69">
    <cfRule type="cellIs" dxfId="431" priority="515" operator="greaterThan">
      <formula>0</formula>
    </cfRule>
  </conditionalFormatting>
  <conditionalFormatting sqref="AU69">
    <cfRule type="cellIs" dxfId="430" priority="516" operator="lessThan">
      <formula>0</formula>
    </cfRule>
  </conditionalFormatting>
  <conditionalFormatting sqref="AU59">
    <cfRule type="cellIs" dxfId="429" priority="517" operator="greaterThan">
      <formula>0</formula>
    </cfRule>
  </conditionalFormatting>
  <conditionalFormatting sqref="AU59">
    <cfRule type="cellIs" dxfId="428" priority="518" operator="lessThan">
      <formula>0</formula>
    </cfRule>
  </conditionalFormatting>
  <conditionalFormatting sqref="AU47:AU50">
    <cfRule type="cellIs" dxfId="427" priority="519" operator="greaterThan">
      <formula>0</formula>
    </cfRule>
  </conditionalFormatting>
  <conditionalFormatting sqref="AU47:AU50">
    <cfRule type="cellIs" dxfId="426" priority="520" operator="lessThan">
      <formula>0</formula>
    </cfRule>
  </conditionalFormatting>
  <conditionalFormatting sqref="AU59">
    <cfRule type="cellIs" dxfId="425" priority="521" operator="greaterThan">
      <formula>0</formula>
    </cfRule>
  </conditionalFormatting>
  <conditionalFormatting sqref="AU59">
    <cfRule type="cellIs" dxfId="424" priority="522" operator="lessThan">
      <formula>0</formula>
    </cfRule>
  </conditionalFormatting>
  <conditionalFormatting sqref="AU60">
    <cfRule type="cellIs" dxfId="423" priority="523" operator="greaterThan">
      <formula>0</formula>
    </cfRule>
  </conditionalFormatting>
  <conditionalFormatting sqref="AU60">
    <cfRule type="cellIs" dxfId="422" priority="524" operator="lessThan">
      <formula>0</formula>
    </cfRule>
  </conditionalFormatting>
  <conditionalFormatting sqref="AU61:AU63">
    <cfRule type="cellIs" dxfId="421" priority="525" operator="greaterThan">
      <formula>0</formula>
    </cfRule>
  </conditionalFormatting>
  <conditionalFormatting sqref="AU61:AU63">
    <cfRule type="cellIs" dxfId="420" priority="526" operator="lessThan">
      <formula>0</formula>
    </cfRule>
  </conditionalFormatting>
  <conditionalFormatting sqref="AU63">
    <cfRule type="cellIs" dxfId="419" priority="527" operator="greaterThan">
      <formula>0</formula>
    </cfRule>
  </conditionalFormatting>
  <conditionalFormatting sqref="AU63">
    <cfRule type="cellIs" dxfId="418" priority="528" operator="lessThan">
      <formula>0</formula>
    </cfRule>
  </conditionalFormatting>
  <conditionalFormatting sqref="AU64:AU65">
    <cfRule type="cellIs" dxfId="417" priority="529" operator="greaterThan">
      <formula>0</formula>
    </cfRule>
  </conditionalFormatting>
  <conditionalFormatting sqref="AU64:AU65">
    <cfRule type="cellIs" dxfId="416" priority="530" operator="lessThan">
      <formula>0</formula>
    </cfRule>
  </conditionalFormatting>
  <conditionalFormatting sqref="AU52:AU54">
    <cfRule type="cellIs" dxfId="415" priority="531" operator="greaterThan">
      <formula>0</formula>
    </cfRule>
  </conditionalFormatting>
  <conditionalFormatting sqref="AU52:AU54">
    <cfRule type="cellIs" dxfId="414" priority="532" operator="lessThan">
      <formula>0</formula>
    </cfRule>
  </conditionalFormatting>
  <conditionalFormatting sqref="AU65">
    <cfRule type="cellIs" dxfId="413" priority="533" operator="greaterThan">
      <formula>0</formula>
    </cfRule>
  </conditionalFormatting>
  <conditionalFormatting sqref="AU65">
    <cfRule type="cellIs" dxfId="412" priority="534" operator="lessThan">
      <formula>0</formula>
    </cfRule>
  </conditionalFormatting>
  <conditionalFormatting sqref="AU64">
    <cfRule type="cellIs" dxfId="411" priority="535" operator="greaterThan">
      <formula>0</formula>
    </cfRule>
  </conditionalFormatting>
  <conditionalFormatting sqref="AU64">
    <cfRule type="cellIs" dxfId="410" priority="536" operator="lessThan">
      <formula>0</formula>
    </cfRule>
  </conditionalFormatting>
  <conditionalFormatting sqref="AU54">
    <cfRule type="cellIs" dxfId="409" priority="537" operator="greaterThan">
      <formula>0</formula>
    </cfRule>
  </conditionalFormatting>
  <conditionalFormatting sqref="AU54">
    <cfRule type="cellIs" dxfId="408" priority="538" operator="lessThan">
      <formula>0</formula>
    </cfRule>
  </conditionalFormatting>
  <conditionalFormatting sqref="AU54">
    <cfRule type="cellIs" dxfId="407" priority="539" operator="greaterThan">
      <formula>0</formula>
    </cfRule>
  </conditionalFormatting>
  <conditionalFormatting sqref="AU54">
    <cfRule type="cellIs" dxfId="406" priority="540" operator="lessThan">
      <formula>0</formula>
    </cfRule>
  </conditionalFormatting>
  <conditionalFormatting sqref="AU55:AU68">
    <cfRule type="cellIs" dxfId="405" priority="541" operator="greaterThan">
      <formula>0</formula>
    </cfRule>
  </conditionalFormatting>
  <conditionalFormatting sqref="AU55:AU68">
    <cfRule type="cellIs" dxfId="404" priority="542" operator="lessThan">
      <formula>0</formula>
    </cfRule>
  </conditionalFormatting>
  <conditionalFormatting sqref="AU56:AU58">
    <cfRule type="cellIs" dxfId="403" priority="543" operator="greaterThan">
      <formula>0</formula>
    </cfRule>
  </conditionalFormatting>
  <conditionalFormatting sqref="AU56:AU58">
    <cfRule type="cellIs" dxfId="402" priority="544" operator="lessThan">
      <formula>0</formula>
    </cfRule>
  </conditionalFormatting>
  <conditionalFormatting sqref="AU58">
    <cfRule type="cellIs" dxfId="401" priority="545" operator="greaterThan">
      <formula>0</formula>
    </cfRule>
  </conditionalFormatting>
  <conditionalFormatting sqref="AU58">
    <cfRule type="cellIs" dxfId="400" priority="546" operator="lessThan">
      <formula>0</formula>
    </cfRule>
  </conditionalFormatting>
  <conditionalFormatting sqref="AU59:AU60">
    <cfRule type="cellIs" dxfId="399" priority="547" operator="greaterThan">
      <formula>0</formula>
    </cfRule>
  </conditionalFormatting>
  <conditionalFormatting sqref="AU59:AU60">
    <cfRule type="cellIs" dxfId="398" priority="548" operator="lessThan">
      <formula>0</formula>
    </cfRule>
  </conditionalFormatting>
  <conditionalFormatting sqref="BA28:BA29 BA34:BA36 BA38:BA68">
    <cfRule type="cellIs" dxfId="397" priority="549" operator="greaterThan">
      <formula>0</formula>
    </cfRule>
  </conditionalFormatting>
  <conditionalFormatting sqref="BA28:BA29 BA34:BA36 BA38:BA68">
    <cfRule type="cellIs" dxfId="396" priority="550" operator="lessThan">
      <formula>0</formula>
    </cfRule>
  </conditionalFormatting>
  <conditionalFormatting sqref="BA30:BA33">
    <cfRule type="cellIs" dxfId="395" priority="551" operator="greaterThan">
      <formula>0</formula>
    </cfRule>
  </conditionalFormatting>
  <conditionalFormatting sqref="BA30:BA33">
    <cfRule type="cellIs" dxfId="394" priority="552" operator="lessThan">
      <formula>0</formula>
    </cfRule>
  </conditionalFormatting>
  <conditionalFormatting sqref="BA57">
    <cfRule type="cellIs" dxfId="393" priority="553" operator="greaterThan">
      <formula>0</formula>
    </cfRule>
  </conditionalFormatting>
  <conditionalFormatting sqref="BA57">
    <cfRule type="cellIs" dxfId="392" priority="554" operator="lessThan">
      <formula>0</formula>
    </cfRule>
  </conditionalFormatting>
  <conditionalFormatting sqref="BA37">
    <cfRule type="cellIs" dxfId="391" priority="555" operator="greaterThan">
      <formula>0</formula>
    </cfRule>
  </conditionalFormatting>
  <conditionalFormatting sqref="BA37">
    <cfRule type="cellIs" dxfId="390" priority="556" operator="lessThan">
      <formula>0</formula>
    </cfRule>
  </conditionalFormatting>
  <conditionalFormatting sqref="AU5:AU14">
    <cfRule type="cellIs" dxfId="389" priority="557" operator="greaterThan">
      <formula>0</formula>
    </cfRule>
  </conditionalFormatting>
  <conditionalFormatting sqref="AU5:AU14">
    <cfRule type="cellIs" dxfId="388" priority="558" operator="lessThan">
      <formula>0</formula>
    </cfRule>
  </conditionalFormatting>
  <conditionalFormatting sqref="AU13">
    <cfRule type="cellIs" dxfId="387" priority="559" operator="greaterThan">
      <formula>0</formula>
    </cfRule>
  </conditionalFormatting>
  <conditionalFormatting sqref="AU13">
    <cfRule type="cellIs" dxfId="386" priority="560" operator="lessThan">
      <formula>0</formula>
    </cfRule>
  </conditionalFormatting>
  <conditionalFormatting sqref="B65:B72">
    <cfRule type="cellIs" dxfId="385" priority="561" operator="greaterThan">
      <formula>0</formula>
    </cfRule>
  </conditionalFormatting>
  <conditionalFormatting sqref="B65:B72">
    <cfRule type="cellIs" dxfId="384" priority="562" operator="lessThan">
      <formula>0</formula>
    </cfRule>
  </conditionalFormatting>
  <conditionalFormatting sqref="BG3:BG76">
    <cfRule type="cellIs" dxfId="383" priority="563" operator="greaterThan">
      <formula>0</formula>
    </cfRule>
  </conditionalFormatting>
  <conditionalFormatting sqref="BG3:BG76">
    <cfRule type="cellIs" dxfId="382" priority="564" operator="lessThan">
      <formula>0</formula>
    </cfRule>
  </conditionalFormatting>
  <conditionalFormatting sqref="AU21">
    <cfRule type="cellIs" dxfId="381" priority="565" operator="greaterThan">
      <formula>0</formula>
    </cfRule>
  </conditionalFormatting>
  <conditionalFormatting sqref="AU21">
    <cfRule type="cellIs" dxfId="380" priority="566" operator="lessThan">
      <formula>0</formula>
    </cfRule>
  </conditionalFormatting>
  <conditionalFormatting sqref="AU21">
    <cfRule type="cellIs" dxfId="379" priority="567" operator="greaterThan">
      <formula>0</formula>
    </cfRule>
  </conditionalFormatting>
  <conditionalFormatting sqref="AU21">
    <cfRule type="cellIs" dxfId="378" priority="568" operator="lessThan">
      <formula>0</formula>
    </cfRule>
  </conditionalFormatting>
  <conditionalFormatting sqref="AU14">
    <cfRule type="cellIs" dxfId="377" priority="569" operator="greaterThan">
      <formula>0</formula>
    </cfRule>
  </conditionalFormatting>
  <conditionalFormatting sqref="AU14">
    <cfRule type="cellIs" dxfId="376" priority="570" operator="lessThan">
      <formula>0</formula>
    </cfRule>
  </conditionalFormatting>
  <conditionalFormatting sqref="AU22">
    <cfRule type="cellIs" dxfId="375" priority="571" operator="greaterThan">
      <formula>0</formula>
    </cfRule>
  </conditionalFormatting>
  <conditionalFormatting sqref="AU22">
    <cfRule type="cellIs" dxfId="374" priority="572" operator="lessThan">
      <formula>0</formula>
    </cfRule>
  </conditionalFormatting>
  <conditionalFormatting sqref="AU22">
    <cfRule type="cellIs" dxfId="373" priority="573" operator="greaterThan">
      <formula>0</formula>
    </cfRule>
  </conditionalFormatting>
  <conditionalFormatting sqref="AU22">
    <cfRule type="cellIs" dxfId="372" priority="574" operator="lessThan">
      <formula>0</formula>
    </cfRule>
  </conditionalFormatting>
  <conditionalFormatting sqref="B64">
    <cfRule type="cellIs" dxfId="371" priority="575" operator="greaterThan">
      <formula>0</formula>
    </cfRule>
  </conditionalFormatting>
  <conditionalFormatting sqref="B64">
    <cfRule type="cellIs" dxfId="370" priority="576" operator="lessThan">
      <formula>0</formula>
    </cfRule>
  </conditionalFormatting>
  <conditionalFormatting sqref="B41 B43:B72 AC3:AC42">
    <cfRule type="cellIs" dxfId="369" priority="577" operator="greaterThan">
      <formula>0</formula>
    </cfRule>
  </conditionalFormatting>
  <conditionalFormatting sqref="B41 B43:B72 AC3:AC42">
    <cfRule type="cellIs" dxfId="368" priority="578" operator="lessThan">
      <formula>0</formula>
    </cfRule>
  </conditionalFormatting>
  <conditionalFormatting sqref="B41 B43:B72">
    <cfRule type="cellIs" dxfId="367" priority="579" operator="greaterThan">
      <formula>0</formula>
    </cfRule>
  </conditionalFormatting>
  <conditionalFormatting sqref="B41 B43:B72">
    <cfRule type="cellIs" dxfId="366" priority="580" operator="lessThan">
      <formula>0</formula>
    </cfRule>
  </conditionalFormatting>
  <conditionalFormatting sqref="B29">
    <cfRule type="cellIs" dxfId="365" priority="581" operator="greaterThan">
      <formula>0</formula>
    </cfRule>
  </conditionalFormatting>
  <conditionalFormatting sqref="B29">
    <cfRule type="cellIs" dxfId="364" priority="582" operator="lessThan">
      <formula>0</formula>
    </cfRule>
  </conditionalFormatting>
  <conditionalFormatting sqref="AU3">
    <cfRule type="cellIs" dxfId="363" priority="583" operator="greaterThan">
      <formula>0</formula>
    </cfRule>
  </conditionalFormatting>
  <conditionalFormatting sqref="AU3">
    <cfRule type="cellIs" dxfId="362" priority="584" operator="lessThan">
      <formula>0</formula>
    </cfRule>
  </conditionalFormatting>
  <conditionalFormatting sqref="AU4">
    <cfRule type="cellIs" dxfId="361" priority="585" operator="greaterThan">
      <formula>0</formula>
    </cfRule>
  </conditionalFormatting>
  <conditionalFormatting sqref="AU4">
    <cfRule type="cellIs" dxfId="360" priority="586" operator="lessThan">
      <formula>0</formula>
    </cfRule>
  </conditionalFormatting>
  <conditionalFormatting sqref="BA3">
    <cfRule type="cellIs" dxfId="359" priority="587" operator="greaterThan">
      <formula>0</formula>
    </cfRule>
  </conditionalFormatting>
  <conditionalFormatting sqref="BA3">
    <cfRule type="cellIs" dxfId="358" priority="588" operator="lessThan">
      <formula>0</formula>
    </cfRule>
  </conditionalFormatting>
  <conditionalFormatting sqref="Q3 AC3:AC42">
    <cfRule type="cellIs" dxfId="357" priority="589" operator="greaterThan">
      <formula>0</formula>
    </cfRule>
  </conditionalFormatting>
  <conditionalFormatting sqref="Q3 AC3:AC42">
    <cfRule type="cellIs" dxfId="356" priority="590" operator="lessThan">
      <formula>0</formula>
    </cfRule>
  </conditionalFormatting>
  <conditionalFormatting sqref="N37">
    <cfRule type="cellIs" dxfId="355" priority="591" operator="lessThan">
      <formula>0</formula>
    </cfRule>
  </conditionalFormatting>
  <conditionalFormatting sqref="N37">
    <cfRule type="cellIs" dxfId="354" priority="592" operator="greaterThan">
      <formula>0</formula>
    </cfRule>
  </conditionalFormatting>
  <conditionalFormatting sqref="I3:I37">
    <cfRule type="cellIs" dxfId="353" priority="459" operator="lessThan">
      <formula>0</formula>
    </cfRule>
    <cfRule type="cellIs" dxfId="352" priority="460" operator="greaterThan">
      <formula>0</formula>
    </cfRule>
  </conditionalFormatting>
  <conditionalFormatting sqref="I41:I72">
    <cfRule type="cellIs" dxfId="351" priority="457" operator="lessThan">
      <formula>0</formula>
    </cfRule>
    <cfRule type="cellIs" dxfId="350" priority="458" operator="greaterThan">
      <formula>0</formula>
    </cfRule>
  </conditionalFormatting>
  <conditionalFormatting sqref="I76">
    <cfRule type="cellIs" dxfId="349" priority="455" operator="lessThan">
      <formula>0</formula>
    </cfRule>
    <cfRule type="cellIs" dxfId="348" priority="456" operator="greaterThan">
      <formula>0</formula>
    </cfRule>
  </conditionalFormatting>
  <conditionalFormatting sqref="B5:B6">
    <cfRule type="cellIs" dxfId="347" priority="451" operator="greaterThan">
      <formula>0</formula>
    </cfRule>
  </conditionalFormatting>
  <conditionalFormatting sqref="B5:B6">
    <cfRule type="cellIs" dxfId="346" priority="452" operator="lessThan">
      <formula>0</formula>
    </cfRule>
  </conditionalFormatting>
  <conditionalFormatting sqref="B5:B6">
    <cfRule type="cellIs" dxfId="345" priority="453" operator="greaterThan">
      <formula>0</formula>
    </cfRule>
  </conditionalFormatting>
  <conditionalFormatting sqref="B5:B6">
    <cfRule type="cellIs" dxfId="344" priority="454" operator="lessThan">
      <formula>0</formula>
    </cfRule>
  </conditionalFormatting>
  <conditionalFormatting sqref="AB43">
    <cfRule type="cellIs" dxfId="343" priority="446" operator="greaterThan">
      <formula>0</formula>
    </cfRule>
  </conditionalFormatting>
  <conditionalFormatting sqref="AB43">
    <cfRule type="cellIs" dxfId="342" priority="447" operator="lessThan">
      <formula>0</formula>
    </cfRule>
  </conditionalFormatting>
  <conditionalFormatting sqref="N38">
    <cfRule type="cellIs" dxfId="341" priority="445" operator="lessThan">
      <formula>0</formula>
    </cfRule>
  </conditionalFormatting>
  <conditionalFormatting sqref="N39">
    <cfRule type="cellIs" dxfId="340" priority="444" operator="lessThan">
      <formula>0</formula>
    </cfRule>
  </conditionalFormatting>
  <conditionalFormatting sqref="AA3:AA42">
    <cfRule type="cellIs" dxfId="339" priority="442" operator="equal">
      <formula>0</formula>
    </cfRule>
  </conditionalFormatting>
  <conditionalFormatting sqref="B42">
    <cfRule type="cellIs" dxfId="338" priority="434" operator="greaterThan">
      <formula>0</formula>
    </cfRule>
  </conditionalFormatting>
  <conditionalFormatting sqref="B42">
    <cfRule type="cellIs" dxfId="337" priority="435" operator="lessThan">
      <formula>0</formula>
    </cfRule>
  </conditionalFormatting>
  <conditionalFormatting sqref="B42">
    <cfRule type="cellIs" dxfId="336" priority="436" operator="greaterThan">
      <formula>0</formula>
    </cfRule>
  </conditionalFormatting>
  <conditionalFormatting sqref="B42">
    <cfRule type="cellIs" dxfId="335" priority="437" operator="lessThan">
      <formula>0</formula>
    </cfRule>
  </conditionalFormatting>
  <conditionalFormatting sqref="B42">
    <cfRule type="cellIs" dxfId="334" priority="438" operator="greaterThan">
      <formula>0</formula>
    </cfRule>
  </conditionalFormatting>
  <conditionalFormatting sqref="B42">
    <cfRule type="cellIs" dxfId="333" priority="439" operator="lessThan">
      <formula>0</formula>
    </cfRule>
  </conditionalFormatting>
  <conditionalFormatting sqref="P3:P42">
    <cfRule type="expression" dxfId="332" priority="433">
      <formula>$L$18-$R3&lt;0</formula>
    </cfRule>
  </conditionalFormatting>
  <conditionalFormatting sqref="P3:P42">
    <cfRule type="expression" dxfId="331" priority="431">
      <formula>$L$18-$R3&gt;0</formula>
    </cfRule>
  </conditionalFormatting>
  <conditionalFormatting sqref="BA5">
    <cfRule type="cellIs" dxfId="330" priority="425" operator="greaterThan">
      <formula>0</formula>
    </cfRule>
  </conditionalFormatting>
  <conditionalFormatting sqref="BA5">
    <cfRule type="cellIs" dxfId="329" priority="426" operator="lessThan">
      <formula>0</formula>
    </cfRule>
  </conditionalFormatting>
  <conditionalFormatting sqref="BA4">
    <cfRule type="cellIs" dxfId="328" priority="423" operator="greaterThan">
      <formula>0</formula>
    </cfRule>
  </conditionalFormatting>
  <conditionalFormatting sqref="BA4">
    <cfRule type="cellIs" dxfId="327" priority="424" operator="lessThan">
      <formula>0</formula>
    </cfRule>
  </conditionalFormatting>
  <conditionalFormatting sqref="AB3:AB42">
    <cfRule type="expression" dxfId="326" priority="422">
      <formula>$L$18-$AD3&gt;0</formula>
    </cfRule>
  </conditionalFormatting>
  <conditionalFormatting sqref="AB3:AB42">
    <cfRule type="expression" dxfId="325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4" priority="419" operator="equal">
      <formula>0</formula>
    </cfRule>
  </conditionalFormatting>
  <conditionalFormatting sqref="B14">
    <cfRule type="cellIs" dxfId="323" priority="412" operator="greaterThan">
      <formula>0</formula>
    </cfRule>
  </conditionalFormatting>
  <conditionalFormatting sqref="B14">
    <cfRule type="cellIs" dxfId="322" priority="413" operator="lessThan">
      <formula>0</formula>
    </cfRule>
  </conditionalFormatting>
  <conditionalFormatting sqref="B14">
    <cfRule type="cellIs" dxfId="321" priority="414" operator="greaterThan">
      <formula>0</formula>
    </cfRule>
  </conditionalFormatting>
  <conditionalFormatting sqref="B14">
    <cfRule type="cellIs" dxfId="320" priority="415" operator="lessThan">
      <formula>0</formula>
    </cfRule>
  </conditionalFormatting>
  <conditionalFormatting sqref="B13">
    <cfRule type="cellIs" dxfId="319" priority="408" operator="greaterThan">
      <formula>0</formula>
    </cfRule>
  </conditionalFormatting>
  <conditionalFormatting sqref="B13">
    <cfRule type="cellIs" dxfId="318" priority="409" operator="lessThan">
      <formula>0</formula>
    </cfRule>
  </conditionalFormatting>
  <conditionalFormatting sqref="B13">
    <cfRule type="cellIs" dxfId="317" priority="410" operator="greaterThan">
      <formula>0</formula>
    </cfRule>
  </conditionalFormatting>
  <conditionalFormatting sqref="B13">
    <cfRule type="cellIs" dxfId="316" priority="411" operator="lessThan">
      <formula>0</formula>
    </cfRule>
  </conditionalFormatting>
  <conditionalFormatting sqref="B17:B18">
    <cfRule type="cellIs" dxfId="315" priority="404" operator="greaterThan">
      <formula>0</formula>
    </cfRule>
  </conditionalFormatting>
  <conditionalFormatting sqref="B17:B18">
    <cfRule type="cellIs" dxfId="314" priority="405" operator="lessThan">
      <formula>0</formula>
    </cfRule>
  </conditionalFormatting>
  <conditionalFormatting sqref="B17:B18">
    <cfRule type="cellIs" dxfId="313" priority="406" operator="greaterThan">
      <formula>0</formula>
    </cfRule>
  </conditionalFormatting>
  <conditionalFormatting sqref="B17:B18">
    <cfRule type="cellIs" dxfId="312" priority="407" operator="lessThan">
      <formula>0</formula>
    </cfRule>
  </conditionalFormatting>
  <conditionalFormatting sqref="B13:B14">
    <cfRule type="cellIs" dxfId="311" priority="400" operator="greaterThan">
      <formula>0</formula>
    </cfRule>
  </conditionalFormatting>
  <conditionalFormatting sqref="B13:B14">
    <cfRule type="cellIs" dxfId="310" priority="401" operator="lessThan">
      <formula>0</formula>
    </cfRule>
  </conditionalFormatting>
  <conditionalFormatting sqref="B13:B14">
    <cfRule type="cellIs" dxfId="309" priority="402" operator="greaterThan">
      <formula>0</formula>
    </cfRule>
  </conditionalFormatting>
  <conditionalFormatting sqref="B13:B14">
    <cfRule type="cellIs" dxfId="308" priority="403" operator="lessThan">
      <formula>0</formula>
    </cfRule>
  </conditionalFormatting>
  <conditionalFormatting sqref="B5:B6">
    <cfRule type="cellIs" dxfId="307" priority="396" operator="greaterThan">
      <formula>0</formula>
    </cfRule>
  </conditionalFormatting>
  <conditionalFormatting sqref="B5:B6">
    <cfRule type="cellIs" dxfId="306" priority="397" operator="lessThan">
      <formula>0</formula>
    </cfRule>
  </conditionalFormatting>
  <conditionalFormatting sqref="B5:B6">
    <cfRule type="cellIs" dxfId="305" priority="398" operator="greaterThan">
      <formula>0</formula>
    </cfRule>
  </conditionalFormatting>
  <conditionalFormatting sqref="B5:B6">
    <cfRule type="cellIs" dxfId="304" priority="399" operator="lessThan">
      <formula>0</formula>
    </cfRule>
  </conditionalFormatting>
  <conditionalFormatting sqref="B12">
    <cfRule type="cellIs" dxfId="303" priority="336" operator="greaterThan">
      <formula>0</formula>
    </cfRule>
  </conditionalFormatting>
  <conditionalFormatting sqref="B12">
    <cfRule type="cellIs" dxfId="302" priority="337" operator="lessThan">
      <formula>0</formula>
    </cfRule>
  </conditionalFormatting>
  <conditionalFormatting sqref="B12">
    <cfRule type="cellIs" dxfId="301" priority="338" operator="greaterThan">
      <formula>0</formula>
    </cfRule>
  </conditionalFormatting>
  <conditionalFormatting sqref="B12">
    <cfRule type="cellIs" dxfId="300" priority="339" operator="lessThan">
      <formula>0</formula>
    </cfRule>
  </conditionalFormatting>
  <conditionalFormatting sqref="B15:B16">
    <cfRule type="cellIs" dxfId="299" priority="392" operator="greaterThan">
      <formula>0</formula>
    </cfRule>
  </conditionalFormatting>
  <conditionalFormatting sqref="B15:B16">
    <cfRule type="cellIs" dxfId="298" priority="393" operator="lessThan">
      <formula>0</formula>
    </cfRule>
  </conditionalFormatting>
  <conditionalFormatting sqref="B15:B16">
    <cfRule type="cellIs" dxfId="297" priority="394" operator="greaterThan">
      <formula>0</formula>
    </cfRule>
  </conditionalFormatting>
  <conditionalFormatting sqref="B15:B16">
    <cfRule type="cellIs" dxfId="296" priority="395" operator="lessThan">
      <formula>0</formula>
    </cfRule>
  </conditionalFormatting>
  <conditionalFormatting sqref="B16">
    <cfRule type="cellIs" dxfId="295" priority="388" operator="greaterThan">
      <formula>0</formula>
    </cfRule>
  </conditionalFormatting>
  <conditionalFormatting sqref="B16">
    <cfRule type="cellIs" dxfId="294" priority="389" operator="lessThan">
      <formula>0</formula>
    </cfRule>
  </conditionalFormatting>
  <conditionalFormatting sqref="B16">
    <cfRule type="cellIs" dxfId="293" priority="390" operator="greaterThan">
      <formula>0</formula>
    </cfRule>
  </conditionalFormatting>
  <conditionalFormatting sqref="B16">
    <cfRule type="cellIs" dxfId="292" priority="391" operator="lessThan">
      <formula>0</formula>
    </cfRule>
  </conditionalFormatting>
  <conditionalFormatting sqref="B16">
    <cfRule type="cellIs" dxfId="291" priority="384" operator="greaterThan">
      <formula>0</formula>
    </cfRule>
  </conditionalFormatting>
  <conditionalFormatting sqref="B16">
    <cfRule type="cellIs" dxfId="290" priority="385" operator="lessThan">
      <formula>0</formula>
    </cfRule>
  </conditionalFormatting>
  <conditionalFormatting sqref="B16">
    <cfRule type="cellIs" dxfId="289" priority="386" operator="greaterThan">
      <formula>0</formula>
    </cfRule>
  </conditionalFormatting>
  <conditionalFormatting sqref="B16">
    <cfRule type="cellIs" dxfId="288" priority="387" operator="lessThan">
      <formula>0</formula>
    </cfRule>
  </conditionalFormatting>
  <conditionalFormatting sqref="B15">
    <cfRule type="cellIs" dxfId="287" priority="380" operator="greaterThan">
      <formula>0</formula>
    </cfRule>
  </conditionalFormatting>
  <conditionalFormatting sqref="B15">
    <cfRule type="cellIs" dxfId="286" priority="381" operator="lessThan">
      <formula>0</formula>
    </cfRule>
  </conditionalFormatting>
  <conditionalFormatting sqref="B15">
    <cfRule type="cellIs" dxfId="285" priority="382" operator="greaterThan">
      <formula>0</formula>
    </cfRule>
  </conditionalFormatting>
  <conditionalFormatting sqref="B15">
    <cfRule type="cellIs" dxfId="284" priority="383" operator="lessThan">
      <formula>0</formula>
    </cfRule>
  </conditionalFormatting>
  <conditionalFormatting sqref="B15:B16">
    <cfRule type="cellIs" dxfId="283" priority="376" operator="greaterThan">
      <formula>0</formula>
    </cfRule>
  </conditionalFormatting>
  <conditionalFormatting sqref="B15:B16">
    <cfRule type="cellIs" dxfId="282" priority="377" operator="lessThan">
      <formula>0</formula>
    </cfRule>
  </conditionalFormatting>
  <conditionalFormatting sqref="B15:B16">
    <cfRule type="cellIs" dxfId="281" priority="378" operator="greaterThan">
      <formula>0</formula>
    </cfRule>
  </conditionalFormatting>
  <conditionalFormatting sqref="B15:B16">
    <cfRule type="cellIs" dxfId="280" priority="379" operator="lessThan">
      <formula>0</formula>
    </cfRule>
  </conditionalFormatting>
  <conditionalFormatting sqref="B15:B16">
    <cfRule type="cellIs" dxfId="279" priority="372" operator="greaterThan">
      <formula>0</formula>
    </cfRule>
  </conditionalFormatting>
  <conditionalFormatting sqref="B15:B16">
    <cfRule type="cellIs" dxfId="278" priority="373" operator="lessThan">
      <formula>0</formula>
    </cfRule>
  </conditionalFormatting>
  <conditionalFormatting sqref="B15:B16">
    <cfRule type="cellIs" dxfId="277" priority="374" operator="greaterThan">
      <formula>0</formula>
    </cfRule>
  </conditionalFormatting>
  <conditionalFormatting sqref="B15:B16">
    <cfRule type="cellIs" dxfId="276" priority="375" operator="lessThan">
      <formula>0</formula>
    </cfRule>
  </conditionalFormatting>
  <conditionalFormatting sqref="B11:B12">
    <cfRule type="cellIs" dxfId="275" priority="368" operator="greaterThan">
      <formula>0</formula>
    </cfRule>
  </conditionalFormatting>
  <conditionalFormatting sqref="B11:B12">
    <cfRule type="cellIs" dxfId="274" priority="369" operator="lessThan">
      <formula>0</formula>
    </cfRule>
  </conditionalFormatting>
  <conditionalFormatting sqref="B11:B12">
    <cfRule type="cellIs" dxfId="273" priority="370" operator="greaterThan">
      <formula>0</formula>
    </cfRule>
  </conditionalFormatting>
  <conditionalFormatting sqref="B11:B12">
    <cfRule type="cellIs" dxfId="272" priority="371" operator="lessThan">
      <formula>0</formula>
    </cfRule>
  </conditionalFormatting>
  <conditionalFormatting sqref="B11">
    <cfRule type="cellIs" dxfId="271" priority="364" operator="greaterThan">
      <formula>0</formula>
    </cfRule>
  </conditionalFormatting>
  <conditionalFormatting sqref="B11">
    <cfRule type="cellIs" dxfId="270" priority="365" operator="lessThan">
      <formula>0</formula>
    </cfRule>
  </conditionalFormatting>
  <conditionalFormatting sqref="B11">
    <cfRule type="cellIs" dxfId="269" priority="366" operator="greaterThan">
      <formula>0</formula>
    </cfRule>
  </conditionalFormatting>
  <conditionalFormatting sqref="B11">
    <cfRule type="cellIs" dxfId="268" priority="367" operator="lessThan">
      <formula>0</formula>
    </cfRule>
  </conditionalFormatting>
  <conditionalFormatting sqref="B12">
    <cfRule type="cellIs" dxfId="267" priority="360" operator="greaterThan">
      <formula>0</formula>
    </cfRule>
  </conditionalFormatting>
  <conditionalFormatting sqref="B12">
    <cfRule type="cellIs" dxfId="266" priority="361" operator="lessThan">
      <formula>0</formula>
    </cfRule>
  </conditionalFormatting>
  <conditionalFormatting sqref="B12">
    <cfRule type="cellIs" dxfId="265" priority="362" operator="greaterThan">
      <formula>0</formula>
    </cfRule>
  </conditionalFormatting>
  <conditionalFormatting sqref="B12">
    <cfRule type="cellIs" dxfId="264" priority="363" operator="lessThan">
      <formula>0</formula>
    </cfRule>
  </conditionalFormatting>
  <conditionalFormatting sqref="B5:B6">
    <cfRule type="cellIs" dxfId="263" priority="356" operator="greaterThan">
      <formula>0</formula>
    </cfRule>
  </conditionalFormatting>
  <conditionalFormatting sqref="B5:B6">
    <cfRule type="cellIs" dxfId="262" priority="357" operator="lessThan">
      <formula>0</formula>
    </cfRule>
  </conditionalFormatting>
  <conditionalFormatting sqref="B5:B6">
    <cfRule type="cellIs" dxfId="261" priority="358" operator="greaterThan">
      <formula>0</formula>
    </cfRule>
  </conditionalFormatting>
  <conditionalFormatting sqref="B5:B6">
    <cfRule type="cellIs" dxfId="260" priority="359" operator="lessThan">
      <formula>0</formula>
    </cfRule>
  </conditionalFormatting>
  <conditionalFormatting sqref="B5:B6">
    <cfRule type="cellIs" dxfId="259" priority="352" operator="greaterThan">
      <formula>0</formula>
    </cfRule>
  </conditionalFormatting>
  <conditionalFormatting sqref="B5:B6">
    <cfRule type="cellIs" dxfId="258" priority="353" operator="lessThan">
      <formula>0</formula>
    </cfRule>
  </conditionalFormatting>
  <conditionalFormatting sqref="B5:B6">
    <cfRule type="cellIs" dxfId="257" priority="354" operator="greaterThan">
      <formula>0</formula>
    </cfRule>
  </conditionalFormatting>
  <conditionalFormatting sqref="B5:B6">
    <cfRule type="cellIs" dxfId="256" priority="355" operator="lessThan">
      <formula>0</formula>
    </cfRule>
  </conditionalFormatting>
  <conditionalFormatting sqref="B5:B6">
    <cfRule type="cellIs" dxfId="255" priority="348" operator="greaterThan">
      <formula>0</formula>
    </cfRule>
  </conditionalFormatting>
  <conditionalFormatting sqref="B5:B6">
    <cfRule type="cellIs" dxfId="254" priority="349" operator="lessThan">
      <formula>0</formula>
    </cfRule>
  </conditionalFormatting>
  <conditionalFormatting sqref="B5:B6">
    <cfRule type="cellIs" dxfId="253" priority="350" operator="greaterThan">
      <formula>0</formula>
    </cfRule>
  </conditionalFormatting>
  <conditionalFormatting sqref="B5:B6">
    <cfRule type="cellIs" dxfId="252" priority="351" operator="lessThan">
      <formula>0</formula>
    </cfRule>
  </conditionalFormatting>
  <conditionalFormatting sqref="B11:B12">
    <cfRule type="cellIs" dxfId="251" priority="344" operator="greaterThan">
      <formula>0</formula>
    </cfRule>
  </conditionalFormatting>
  <conditionalFormatting sqref="B11:B12">
    <cfRule type="cellIs" dxfId="250" priority="345" operator="lessThan">
      <formula>0</formula>
    </cfRule>
  </conditionalFormatting>
  <conditionalFormatting sqref="B11:B12">
    <cfRule type="cellIs" dxfId="249" priority="346" operator="greaterThan">
      <formula>0</formula>
    </cfRule>
  </conditionalFormatting>
  <conditionalFormatting sqref="B11:B12">
    <cfRule type="cellIs" dxfId="248" priority="347" operator="lessThan">
      <formula>0</formula>
    </cfRule>
  </conditionalFormatting>
  <conditionalFormatting sqref="B12">
    <cfRule type="cellIs" dxfId="247" priority="340" operator="greaterThan">
      <formula>0</formula>
    </cfRule>
  </conditionalFormatting>
  <conditionalFormatting sqref="B12">
    <cfRule type="cellIs" dxfId="246" priority="341" operator="lessThan">
      <formula>0</formula>
    </cfRule>
  </conditionalFormatting>
  <conditionalFormatting sqref="B12">
    <cfRule type="cellIs" dxfId="245" priority="342" operator="greaterThan">
      <formula>0</formula>
    </cfRule>
  </conditionalFormatting>
  <conditionalFormatting sqref="B12">
    <cfRule type="cellIs" dxfId="244" priority="343" operator="lessThan">
      <formula>0</formula>
    </cfRule>
  </conditionalFormatting>
  <conditionalFormatting sqref="B11">
    <cfRule type="cellIs" dxfId="243" priority="332" operator="greaterThan">
      <formula>0</formula>
    </cfRule>
  </conditionalFormatting>
  <conditionalFormatting sqref="B11">
    <cfRule type="cellIs" dxfId="242" priority="333" operator="lessThan">
      <formula>0</formula>
    </cfRule>
  </conditionalFormatting>
  <conditionalFormatting sqref="B11">
    <cfRule type="cellIs" dxfId="241" priority="334" operator="greaterThan">
      <formula>0</formula>
    </cfRule>
  </conditionalFormatting>
  <conditionalFormatting sqref="B11">
    <cfRule type="cellIs" dxfId="240" priority="335" operator="lessThan">
      <formula>0</formula>
    </cfRule>
  </conditionalFormatting>
  <conditionalFormatting sqref="B11:B12">
    <cfRule type="cellIs" dxfId="239" priority="328" operator="greaterThan">
      <formula>0</formula>
    </cfRule>
  </conditionalFormatting>
  <conditionalFormatting sqref="B11:B12">
    <cfRule type="cellIs" dxfId="238" priority="329" operator="lessThan">
      <formula>0</formula>
    </cfRule>
  </conditionalFormatting>
  <conditionalFormatting sqref="B11:B12">
    <cfRule type="cellIs" dxfId="237" priority="330" operator="greaterThan">
      <formula>0</formula>
    </cfRule>
  </conditionalFormatting>
  <conditionalFormatting sqref="B11:B12">
    <cfRule type="cellIs" dxfId="236" priority="331" operator="lessThan">
      <formula>0</formula>
    </cfRule>
  </conditionalFormatting>
  <conditionalFormatting sqref="B11:B12">
    <cfRule type="cellIs" dxfId="235" priority="324" operator="greaterThan">
      <formula>0</formula>
    </cfRule>
  </conditionalFormatting>
  <conditionalFormatting sqref="B11:B12">
    <cfRule type="cellIs" dxfId="234" priority="325" operator="lessThan">
      <formula>0</formula>
    </cfRule>
  </conditionalFormatting>
  <conditionalFormatting sqref="B11:B12">
    <cfRule type="cellIs" dxfId="233" priority="326" operator="greaterThan">
      <formula>0</formula>
    </cfRule>
  </conditionalFormatting>
  <conditionalFormatting sqref="B11:B12">
    <cfRule type="cellIs" dxfId="232" priority="327" operator="lessThan">
      <formula>0</formula>
    </cfRule>
  </conditionalFormatting>
  <conditionalFormatting sqref="B40">
    <cfRule type="cellIs" dxfId="231" priority="318" operator="greaterThan">
      <formula>0</formula>
    </cfRule>
  </conditionalFormatting>
  <conditionalFormatting sqref="B40">
    <cfRule type="cellIs" dxfId="230" priority="319" operator="lessThan">
      <formula>0</formula>
    </cfRule>
  </conditionalFormatting>
  <conditionalFormatting sqref="B40">
    <cfRule type="cellIs" dxfId="229" priority="320" operator="greaterThan">
      <formula>0</formula>
    </cfRule>
  </conditionalFormatting>
  <conditionalFormatting sqref="B40">
    <cfRule type="cellIs" dxfId="228" priority="321" operator="lessThan">
      <formula>0</formula>
    </cfRule>
  </conditionalFormatting>
  <conditionalFormatting sqref="B40">
    <cfRule type="cellIs" dxfId="227" priority="322" operator="greaterThan">
      <formula>0</formula>
    </cfRule>
  </conditionalFormatting>
  <conditionalFormatting sqref="B40">
    <cfRule type="cellIs" dxfId="226" priority="323" operator="lessThan">
      <formula>0</formula>
    </cfRule>
  </conditionalFormatting>
  <conditionalFormatting sqref="I38:I40">
    <cfRule type="cellIs" dxfId="225" priority="316" operator="lessThan">
      <formula>0</formula>
    </cfRule>
    <cfRule type="cellIs" dxfId="224" priority="317" operator="greaterThan">
      <formula>0</formula>
    </cfRule>
  </conditionalFormatting>
  <conditionalFormatting sqref="B38">
    <cfRule type="cellIs" dxfId="223" priority="310" operator="greaterThan">
      <formula>0</formula>
    </cfRule>
  </conditionalFormatting>
  <conditionalFormatting sqref="B38">
    <cfRule type="cellIs" dxfId="222" priority="311" operator="lessThan">
      <formula>0</formula>
    </cfRule>
  </conditionalFormatting>
  <conditionalFormatting sqref="B38">
    <cfRule type="cellIs" dxfId="221" priority="312" operator="greaterThan">
      <formula>0</formula>
    </cfRule>
  </conditionalFormatting>
  <conditionalFormatting sqref="B38">
    <cfRule type="cellIs" dxfId="220" priority="313" operator="lessThan">
      <formula>0</formula>
    </cfRule>
  </conditionalFormatting>
  <conditionalFormatting sqref="B38">
    <cfRule type="cellIs" dxfId="219" priority="314" operator="greaterThan">
      <formula>0</formula>
    </cfRule>
  </conditionalFormatting>
  <conditionalFormatting sqref="B38">
    <cfRule type="cellIs" dxfId="218" priority="315" operator="lessThan">
      <formula>0</formula>
    </cfRule>
  </conditionalFormatting>
  <conditionalFormatting sqref="B39">
    <cfRule type="cellIs" dxfId="217" priority="304" operator="greaterThan">
      <formula>0</formula>
    </cfRule>
  </conditionalFormatting>
  <conditionalFormatting sqref="B39">
    <cfRule type="cellIs" dxfId="216" priority="305" operator="lessThan">
      <formula>0</formula>
    </cfRule>
  </conditionalFormatting>
  <conditionalFormatting sqref="B39">
    <cfRule type="cellIs" dxfId="215" priority="306" operator="greaterThan">
      <formula>0</formula>
    </cfRule>
  </conditionalFormatting>
  <conditionalFormatting sqref="B39">
    <cfRule type="cellIs" dxfId="214" priority="307" operator="lessThan">
      <formula>0</formula>
    </cfRule>
  </conditionalFormatting>
  <conditionalFormatting sqref="B39">
    <cfRule type="cellIs" dxfId="213" priority="308" operator="greaterThan">
      <formula>0</formula>
    </cfRule>
  </conditionalFormatting>
  <conditionalFormatting sqref="B39">
    <cfRule type="cellIs" dxfId="212" priority="309" operator="lessThan">
      <formula>0</formula>
    </cfRule>
  </conditionalFormatting>
  <conditionalFormatting sqref="B31:B34 B37">
    <cfRule type="cellIs" dxfId="211" priority="300" operator="greaterThan">
      <formula>0</formula>
    </cfRule>
  </conditionalFormatting>
  <conditionalFormatting sqref="B31:B34 B37">
    <cfRule type="cellIs" dxfId="210" priority="301" operator="lessThan">
      <formula>0</formula>
    </cfRule>
  </conditionalFormatting>
  <conditionalFormatting sqref="B31:B34 B37">
    <cfRule type="cellIs" dxfId="209" priority="302" operator="greaterThan">
      <formula>0</formula>
    </cfRule>
  </conditionalFormatting>
  <conditionalFormatting sqref="B31:B34 B37">
    <cfRule type="cellIs" dxfId="208" priority="303" operator="lessThan">
      <formula>0</formula>
    </cfRule>
  </conditionalFormatting>
  <conditionalFormatting sqref="B35:B36">
    <cfRule type="cellIs" dxfId="207" priority="292" operator="greaterThan">
      <formula>0</formula>
    </cfRule>
  </conditionalFormatting>
  <conditionalFormatting sqref="B35:B36">
    <cfRule type="cellIs" dxfId="206" priority="293" operator="lessThan">
      <formula>0</formula>
    </cfRule>
  </conditionalFormatting>
  <conditionalFormatting sqref="B35:B36">
    <cfRule type="cellIs" dxfId="205" priority="294" operator="greaterThan">
      <formula>0</formula>
    </cfRule>
  </conditionalFormatting>
  <conditionalFormatting sqref="B35:B36">
    <cfRule type="cellIs" dxfId="204" priority="295" operator="lessThan">
      <formula>0</formula>
    </cfRule>
  </conditionalFormatting>
  <conditionalFormatting sqref="B36">
    <cfRule type="cellIs" dxfId="203" priority="296" operator="greaterThan">
      <formula>0</formula>
    </cfRule>
  </conditionalFormatting>
  <conditionalFormatting sqref="B36">
    <cfRule type="cellIs" dxfId="202" priority="297" operator="lessThan">
      <formula>0</formula>
    </cfRule>
  </conditionalFormatting>
  <conditionalFormatting sqref="B35">
    <cfRule type="cellIs" dxfId="201" priority="298" operator="greaterThan">
      <formula>0</formula>
    </cfRule>
  </conditionalFormatting>
  <conditionalFormatting sqref="B35">
    <cfRule type="cellIs" dxfId="200" priority="299" operator="lessThan">
      <formula>0</formula>
    </cfRule>
  </conditionalFormatting>
  <conditionalFormatting sqref="B4">
    <cfRule type="cellIs" dxfId="199" priority="282" operator="greaterThan">
      <formula>0</formula>
    </cfRule>
  </conditionalFormatting>
  <conditionalFormatting sqref="B4">
    <cfRule type="cellIs" dxfId="198" priority="283" operator="lessThan">
      <formula>0</formula>
    </cfRule>
  </conditionalFormatting>
  <conditionalFormatting sqref="B4">
    <cfRule type="cellIs" dxfId="197" priority="284" operator="greaterThan">
      <formula>0</formula>
    </cfRule>
  </conditionalFormatting>
  <conditionalFormatting sqref="B4">
    <cfRule type="cellIs" dxfId="196" priority="285" operator="lessThan">
      <formula>0</formula>
    </cfRule>
  </conditionalFormatting>
  <conditionalFormatting sqref="B4">
    <cfRule type="cellIs" dxfId="195" priority="278" operator="greaterThan">
      <formula>0</formula>
    </cfRule>
  </conditionalFormatting>
  <conditionalFormatting sqref="B4">
    <cfRule type="cellIs" dxfId="194" priority="279" operator="lessThan">
      <formula>0</formula>
    </cfRule>
  </conditionalFormatting>
  <conditionalFormatting sqref="B4">
    <cfRule type="cellIs" dxfId="193" priority="280" operator="greaterThan">
      <formula>0</formula>
    </cfRule>
  </conditionalFormatting>
  <conditionalFormatting sqref="B4">
    <cfRule type="cellIs" dxfId="192" priority="281" operator="lessThan">
      <formula>0</formula>
    </cfRule>
  </conditionalFormatting>
  <conditionalFormatting sqref="B4">
    <cfRule type="cellIs" dxfId="191" priority="274" operator="greaterThan">
      <formula>0</formula>
    </cfRule>
  </conditionalFormatting>
  <conditionalFormatting sqref="B4">
    <cfRule type="cellIs" dxfId="190" priority="275" operator="lessThan">
      <formula>0</formula>
    </cfRule>
  </conditionalFormatting>
  <conditionalFormatting sqref="B4">
    <cfRule type="cellIs" dxfId="189" priority="276" operator="greaterThan">
      <formula>0</formula>
    </cfRule>
  </conditionalFormatting>
  <conditionalFormatting sqref="B4">
    <cfRule type="cellIs" dxfId="188" priority="277" operator="lessThan">
      <formula>0</formula>
    </cfRule>
  </conditionalFormatting>
  <conditionalFormatting sqref="B4">
    <cfRule type="cellIs" dxfId="187" priority="270" operator="greaterThan">
      <formula>0</formula>
    </cfRule>
  </conditionalFormatting>
  <conditionalFormatting sqref="B4">
    <cfRule type="cellIs" dxfId="186" priority="271" operator="lessThan">
      <formula>0</formula>
    </cfRule>
  </conditionalFormatting>
  <conditionalFormatting sqref="B4">
    <cfRule type="cellIs" dxfId="185" priority="272" operator="greaterThan">
      <formula>0</formula>
    </cfRule>
  </conditionalFormatting>
  <conditionalFormatting sqref="B4">
    <cfRule type="cellIs" dxfId="184" priority="273" operator="lessThan">
      <formula>0</formula>
    </cfRule>
  </conditionalFormatting>
  <conditionalFormatting sqref="B4">
    <cfRule type="cellIs" dxfId="183" priority="266" operator="greaterThan">
      <formula>0</formula>
    </cfRule>
  </conditionalFormatting>
  <conditionalFormatting sqref="B4">
    <cfRule type="cellIs" dxfId="182" priority="267" operator="lessThan">
      <formula>0</formula>
    </cfRule>
  </conditionalFormatting>
  <conditionalFormatting sqref="B4">
    <cfRule type="cellIs" dxfId="181" priority="268" operator="greaterThan">
      <formula>0</formula>
    </cfRule>
  </conditionalFormatting>
  <conditionalFormatting sqref="B4">
    <cfRule type="cellIs" dxfId="180" priority="269" operator="lessThan">
      <formula>0</formula>
    </cfRule>
  </conditionalFormatting>
  <conditionalFormatting sqref="B4">
    <cfRule type="cellIs" dxfId="179" priority="262" operator="greaterThan">
      <formula>0</formula>
    </cfRule>
  </conditionalFormatting>
  <conditionalFormatting sqref="B4">
    <cfRule type="cellIs" dxfId="178" priority="263" operator="lessThan">
      <formula>0</formula>
    </cfRule>
  </conditionalFormatting>
  <conditionalFormatting sqref="B4">
    <cfRule type="cellIs" dxfId="177" priority="264" operator="greaterThan">
      <formula>0</formula>
    </cfRule>
  </conditionalFormatting>
  <conditionalFormatting sqref="B4">
    <cfRule type="cellIs" dxfId="176" priority="265" operator="lessThan">
      <formula>0</formula>
    </cfRule>
  </conditionalFormatting>
  <conditionalFormatting sqref="B4">
    <cfRule type="cellIs" dxfId="175" priority="258" operator="greaterThan">
      <formula>0</formula>
    </cfRule>
  </conditionalFormatting>
  <conditionalFormatting sqref="B4">
    <cfRule type="cellIs" dxfId="174" priority="259" operator="lessThan">
      <formula>0</formula>
    </cfRule>
  </conditionalFormatting>
  <conditionalFormatting sqref="B4">
    <cfRule type="cellIs" dxfId="173" priority="260" operator="greaterThan">
      <formula>0</formula>
    </cfRule>
  </conditionalFormatting>
  <conditionalFormatting sqref="B4">
    <cfRule type="cellIs" dxfId="172" priority="261" operator="lessThan">
      <formula>0</formula>
    </cfRule>
  </conditionalFormatting>
  <conditionalFormatting sqref="B4">
    <cfRule type="cellIs" dxfId="171" priority="254" operator="greaterThan">
      <formula>0</formula>
    </cfRule>
  </conditionalFormatting>
  <conditionalFormatting sqref="B4">
    <cfRule type="cellIs" dxfId="170" priority="255" operator="lessThan">
      <formula>0</formula>
    </cfRule>
  </conditionalFormatting>
  <conditionalFormatting sqref="B4">
    <cfRule type="cellIs" dxfId="169" priority="256" operator="greaterThan">
      <formula>0</formula>
    </cfRule>
  </conditionalFormatting>
  <conditionalFormatting sqref="B4">
    <cfRule type="cellIs" dxfId="168" priority="257" operator="lessThan">
      <formula>0</formula>
    </cfRule>
  </conditionalFormatting>
  <conditionalFormatting sqref="B4">
    <cfRule type="cellIs" dxfId="167" priority="250" operator="greaterThan">
      <formula>0</formula>
    </cfRule>
  </conditionalFormatting>
  <conditionalFormatting sqref="B4">
    <cfRule type="cellIs" dxfId="166" priority="251" operator="lessThan">
      <formula>0</formula>
    </cfRule>
  </conditionalFormatting>
  <conditionalFormatting sqref="B4">
    <cfRule type="cellIs" dxfId="165" priority="252" operator="greaterThan">
      <formula>0</formula>
    </cfRule>
  </conditionalFormatting>
  <conditionalFormatting sqref="B4">
    <cfRule type="cellIs" dxfId="164" priority="253" operator="lessThan">
      <formula>0</formula>
    </cfRule>
  </conditionalFormatting>
  <conditionalFormatting sqref="B8">
    <cfRule type="cellIs" dxfId="163" priority="246" operator="greaterThan">
      <formula>0</formula>
    </cfRule>
  </conditionalFormatting>
  <conditionalFormatting sqref="B8">
    <cfRule type="cellIs" dxfId="162" priority="247" operator="lessThan">
      <formula>0</formula>
    </cfRule>
  </conditionalFormatting>
  <conditionalFormatting sqref="B8">
    <cfRule type="cellIs" dxfId="161" priority="248" operator="greaterThan">
      <formula>0</formula>
    </cfRule>
  </conditionalFormatting>
  <conditionalFormatting sqref="B8">
    <cfRule type="cellIs" dxfId="160" priority="249" operator="lessThan">
      <formula>0</formula>
    </cfRule>
  </conditionalFormatting>
  <conditionalFormatting sqref="B8">
    <cfRule type="cellIs" dxfId="159" priority="242" operator="greaterThan">
      <formula>0</formula>
    </cfRule>
  </conditionalFormatting>
  <conditionalFormatting sqref="B8">
    <cfRule type="cellIs" dxfId="158" priority="243" operator="lessThan">
      <formula>0</formula>
    </cfRule>
  </conditionalFormatting>
  <conditionalFormatting sqref="B8">
    <cfRule type="cellIs" dxfId="157" priority="244" operator="greaterThan">
      <formula>0</formula>
    </cfRule>
  </conditionalFormatting>
  <conditionalFormatting sqref="B8">
    <cfRule type="cellIs" dxfId="156" priority="245" operator="lessThan">
      <formula>0</formula>
    </cfRule>
  </conditionalFormatting>
  <conditionalFormatting sqref="B6:B7">
    <cfRule type="cellIs" dxfId="155" priority="198" operator="greaterThan">
      <formula>0</formula>
    </cfRule>
  </conditionalFormatting>
  <conditionalFormatting sqref="B6:B7">
    <cfRule type="cellIs" dxfId="154" priority="199" operator="lessThan">
      <formula>0</formula>
    </cfRule>
  </conditionalFormatting>
  <conditionalFormatting sqref="B6:B7">
    <cfRule type="cellIs" dxfId="153" priority="200" operator="greaterThan">
      <formula>0</formula>
    </cfRule>
  </conditionalFormatting>
  <conditionalFormatting sqref="B6:B7">
    <cfRule type="cellIs" dxfId="152" priority="201" operator="lessThan">
      <formula>0</formula>
    </cfRule>
  </conditionalFormatting>
  <conditionalFormatting sqref="B9:B10">
    <cfRule type="cellIs" dxfId="151" priority="238" operator="greaterThan">
      <formula>0</formula>
    </cfRule>
  </conditionalFormatting>
  <conditionalFormatting sqref="B9:B10">
    <cfRule type="cellIs" dxfId="150" priority="239" operator="lessThan">
      <formula>0</formula>
    </cfRule>
  </conditionalFormatting>
  <conditionalFormatting sqref="B9:B10">
    <cfRule type="cellIs" dxfId="149" priority="240" operator="greaterThan">
      <formula>0</formula>
    </cfRule>
  </conditionalFormatting>
  <conditionalFormatting sqref="B9:B10">
    <cfRule type="cellIs" dxfId="148" priority="241" operator="lessThan">
      <formula>0</formula>
    </cfRule>
  </conditionalFormatting>
  <conditionalFormatting sqref="B10">
    <cfRule type="cellIs" dxfId="147" priority="234" operator="greaterThan">
      <formula>0</formula>
    </cfRule>
  </conditionalFormatting>
  <conditionalFormatting sqref="B10">
    <cfRule type="cellIs" dxfId="146" priority="235" operator="lessThan">
      <formula>0</formula>
    </cfRule>
  </conditionalFormatting>
  <conditionalFormatting sqref="B10">
    <cfRule type="cellIs" dxfId="145" priority="236" operator="greaterThan">
      <formula>0</formula>
    </cfRule>
  </conditionalFormatting>
  <conditionalFormatting sqref="B10">
    <cfRule type="cellIs" dxfId="144" priority="237" operator="lessThan">
      <formula>0</formula>
    </cfRule>
  </conditionalFormatting>
  <conditionalFormatting sqref="B10">
    <cfRule type="cellIs" dxfId="143" priority="230" operator="greaterThan">
      <formula>0</formula>
    </cfRule>
  </conditionalFormatting>
  <conditionalFormatting sqref="B10">
    <cfRule type="cellIs" dxfId="142" priority="231" operator="lessThan">
      <formula>0</formula>
    </cfRule>
  </conditionalFormatting>
  <conditionalFormatting sqref="B10">
    <cfRule type="cellIs" dxfId="141" priority="232" operator="greaterThan">
      <formula>0</formula>
    </cfRule>
  </conditionalFormatting>
  <conditionalFormatting sqref="B10">
    <cfRule type="cellIs" dxfId="140" priority="233" operator="lessThan">
      <formula>0</formula>
    </cfRule>
  </conditionalFormatting>
  <conditionalFormatting sqref="B9">
    <cfRule type="cellIs" dxfId="139" priority="226" operator="greaterThan">
      <formula>0</formula>
    </cfRule>
  </conditionalFormatting>
  <conditionalFormatting sqref="B9">
    <cfRule type="cellIs" dxfId="138" priority="227" operator="lessThan">
      <formula>0</formula>
    </cfRule>
  </conditionalFormatting>
  <conditionalFormatting sqref="B9">
    <cfRule type="cellIs" dxfId="137" priority="228" operator="greaterThan">
      <formula>0</formula>
    </cfRule>
  </conditionalFormatting>
  <conditionalFormatting sqref="B9">
    <cfRule type="cellIs" dxfId="136" priority="229" operator="lessThan">
      <formula>0</formula>
    </cfRule>
  </conditionalFormatting>
  <conditionalFormatting sqref="B9:B10">
    <cfRule type="cellIs" dxfId="135" priority="222" operator="greaterThan">
      <formula>0</formula>
    </cfRule>
  </conditionalFormatting>
  <conditionalFormatting sqref="B9:B10">
    <cfRule type="cellIs" dxfId="134" priority="223" operator="lessThan">
      <formula>0</formula>
    </cfRule>
  </conditionalFormatting>
  <conditionalFormatting sqref="B9:B10">
    <cfRule type="cellIs" dxfId="133" priority="224" operator="greaterThan">
      <formula>0</formula>
    </cfRule>
  </conditionalFormatting>
  <conditionalFormatting sqref="B9:B10">
    <cfRule type="cellIs" dxfId="132" priority="225" operator="lessThan">
      <formula>0</formula>
    </cfRule>
  </conditionalFormatting>
  <conditionalFormatting sqref="B9:B10">
    <cfRule type="cellIs" dxfId="131" priority="218" operator="greaterThan">
      <formula>0</formula>
    </cfRule>
  </conditionalFormatting>
  <conditionalFormatting sqref="B9:B10">
    <cfRule type="cellIs" dxfId="130" priority="219" operator="lessThan">
      <formula>0</formula>
    </cfRule>
  </conditionalFormatting>
  <conditionalFormatting sqref="B9:B10">
    <cfRule type="cellIs" dxfId="129" priority="220" operator="greaterThan">
      <formula>0</formula>
    </cfRule>
  </conditionalFormatting>
  <conditionalFormatting sqref="B9:B10">
    <cfRule type="cellIs" dxfId="128" priority="221" operator="lessThan">
      <formula>0</formula>
    </cfRule>
  </conditionalFormatting>
  <conditionalFormatting sqref="B6:B7">
    <cfRule type="cellIs" dxfId="127" priority="214" operator="greaterThan">
      <formula>0</formula>
    </cfRule>
  </conditionalFormatting>
  <conditionalFormatting sqref="B6:B7">
    <cfRule type="cellIs" dxfId="126" priority="215" operator="lessThan">
      <formula>0</formula>
    </cfRule>
  </conditionalFormatting>
  <conditionalFormatting sqref="B6:B7">
    <cfRule type="cellIs" dxfId="125" priority="216" operator="greaterThan">
      <formula>0</formula>
    </cfRule>
  </conditionalFormatting>
  <conditionalFormatting sqref="B6:B7">
    <cfRule type="cellIs" dxfId="124" priority="217" operator="lessThan">
      <formula>0</formula>
    </cfRule>
  </conditionalFormatting>
  <conditionalFormatting sqref="B6:B7">
    <cfRule type="cellIs" dxfId="123" priority="210" operator="greaterThan">
      <formula>0</formula>
    </cfRule>
  </conditionalFormatting>
  <conditionalFormatting sqref="B6:B7">
    <cfRule type="cellIs" dxfId="122" priority="211" operator="lessThan">
      <formula>0</formula>
    </cfRule>
  </conditionalFormatting>
  <conditionalFormatting sqref="B6:B7">
    <cfRule type="cellIs" dxfId="121" priority="212" operator="greaterThan">
      <formula>0</formula>
    </cfRule>
  </conditionalFormatting>
  <conditionalFormatting sqref="B6:B7">
    <cfRule type="cellIs" dxfId="120" priority="213" operator="lessThan">
      <formula>0</formula>
    </cfRule>
  </conditionalFormatting>
  <conditionalFormatting sqref="B6:B7">
    <cfRule type="cellIs" dxfId="119" priority="206" operator="greaterThan">
      <formula>0</formula>
    </cfRule>
  </conditionalFormatting>
  <conditionalFormatting sqref="B6:B7">
    <cfRule type="cellIs" dxfId="118" priority="207" operator="lessThan">
      <formula>0</formula>
    </cfRule>
  </conditionalFormatting>
  <conditionalFormatting sqref="B6:B7">
    <cfRule type="cellIs" dxfId="117" priority="208" operator="greaterThan">
      <formula>0</formula>
    </cfRule>
  </conditionalFormatting>
  <conditionalFormatting sqref="B6:B7">
    <cfRule type="cellIs" dxfId="116" priority="209" operator="lessThan">
      <formula>0</formula>
    </cfRule>
  </conditionalFormatting>
  <conditionalFormatting sqref="B6:B7">
    <cfRule type="cellIs" dxfId="115" priority="202" operator="greaterThan">
      <formula>0</formula>
    </cfRule>
  </conditionalFormatting>
  <conditionalFormatting sqref="B6:B7">
    <cfRule type="cellIs" dxfId="114" priority="203" operator="lessThan">
      <formula>0</formula>
    </cfRule>
  </conditionalFormatting>
  <conditionalFormatting sqref="B6:B7">
    <cfRule type="cellIs" dxfId="113" priority="204" operator="greaterThan">
      <formula>0</formula>
    </cfRule>
  </conditionalFormatting>
  <conditionalFormatting sqref="B6:B7">
    <cfRule type="cellIs" dxfId="112" priority="205" operator="lessThan">
      <formula>0</formula>
    </cfRule>
  </conditionalFormatting>
  <conditionalFormatting sqref="B6:B7">
    <cfRule type="cellIs" dxfId="111" priority="194" operator="greaterThan">
      <formula>0</formula>
    </cfRule>
  </conditionalFormatting>
  <conditionalFormatting sqref="B6:B7">
    <cfRule type="cellIs" dxfId="110" priority="195" operator="lessThan">
      <formula>0</formula>
    </cfRule>
  </conditionalFormatting>
  <conditionalFormatting sqref="B6:B7">
    <cfRule type="cellIs" dxfId="109" priority="196" operator="greaterThan">
      <formula>0</formula>
    </cfRule>
  </conditionalFormatting>
  <conditionalFormatting sqref="B6:B7">
    <cfRule type="cellIs" dxfId="108" priority="197" operator="lessThan">
      <formula>0</formula>
    </cfRule>
  </conditionalFormatting>
  <conditionalFormatting sqref="B6:B7">
    <cfRule type="cellIs" dxfId="107" priority="190" operator="greaterThan">
      <formula>0</formula>
    </cfRule>
  </conditionalFormatting>
  <conditionalFormatting sqref="B6:B7">
    <cfRule type="cellIs" dxfId="106" priority="191" operator="lessThan">
      <formula>0</formula>
    </cfRule>
  </conditionalFormatting>
  <conditionalFormatting sqref="B6:B7">
    <cfRule type="cellIs" dxfId="105" priority="192" operator="greaterThan">
      <formula>0</formula>
    </cfRule>
  </conditionalFormatting>
  <conditionalFormatting sqref="B6:B7">
    <cfRule type="cellIs" dxfId="104" priority="193" operator="lessThan">
      <formula>0</formula>
    </cfRule>
  </conditionalFormatting>
  <conditionalFormatting sqref="B19">
    <cfRule type="cellIs" dxfId="103" priority="184" operator="greaterThan">
      <formula>0</formula>
    </cfRule>
  </conditionalFormatting>
  <conditionalFormatting sqref="B19">
    <cfRule type="cellIs" dxfId="102" priority="185" operator="lessThan">
      <formula>0</formula>
    </cfRule>
  </conditionalFormatting>
  <conditionalFormatting sqref="B19">
    <cfRule type="cellIs" dxfId="101" priority="186" operator="greaterThan">
      <formula>0</formula>
    </cfRule>
  </conditionalFormatting>
  <conditionalFormatting sqref="B19">
    <cfRule type="cellIs" dxfId="100" priority="187" operator="lessThan">
      <formula>0</formula>
    </cfRule>
  </conditionalFormatting>
  <conditionalFormatting sqref="B19">
    <cfRule type="cellIs" dxfId="99" priority="180" operator="greaterThan">
      <formula>0</formula>
    </cfRule>
  </conditionalFormatting>
  <conditionalFormatting sqref="B19">
    <cfRule type="cellIs" dxfId="98" priority="181" operator="lessThan">
      <formula>0</formula>
    </cfRule>
  </conditionalFormatting>
  <conditionalFormatting sqref="B19">
    <cfRule type="cellIs" dxfId="97" priority="182" operator="greaterThan">
      <formula>0</formula>
    </cfRule>
  </conditionalFormatting>
  <conditionalFormatting sqref="B19">
    <cfRule type="cellIs" dxfId="96" priority="183" operator="lessThan">
      <formula>0</formula>
    </cfRule>
  </conditionalFormatting>
  <conditionalFormatting sqref="B3">
    <cfRule type="cellIs" dxfId="95" priority="176" operator="greaterThan">
      <formula>0</formula>
    </cfRule>
  </conditionalFormatting>
  <conditionalFormatting sqref="B3">
    <cfRule type="cellIs" dxfId="94" priority="177" operator="lessThan">
      <formula>0</formula>
    </cfRule>
  </conditionalFormatting>
  <conditionalFormatting sqref="B3">
    <cfRule type="cellIs" dxfId="93" priority="178" operator="greaterThan">
      <formula>0</formula>
    </cfRule>
  </conditionalFormatting>
  <conditionalFormatting sqref="B3">
    <cfRule type="cellIs" dxfId="92" priority="179" operator="lessThan">
      <formula>0</formula>
    </cfRule>
  </conditionalFormatting>
  <conditionalFormatting sqref="B3">
    <cfRule type="cellIs" dxfId="91" priority="172" operator="greaterThan">
      <formula>0</formula>
    </cfRule>
  </conditionalFormatting>
  <conditionalFormatting sqref="B3">
    <cfRule type="cellIs" dxfId="90" priority="173" operator="lessThan">
      <formula>0</formula>
    </cfRule>
  </conditionalFormatting>
  <conditionalFormatting sqref="B3">
    <cfRule type="cellIs" dxfId="89" priority="174" operator="greaterThan">
      <formula>0</formula>
    </cfRule>
  </conditionalFormatting>
  <conditionalFormatting sqref="B3">
    <cfRule type="cellIs" dxfId="88" priority="175" operator="lessThan">
      <formula>0</formula>
    </cfRule>
  </conditionalFormatting>
  <conditionalFormatting sqref="B3">
    <cfRule type="cellIs" dxfId="87" priority="168" operator="greaterThan">
      <formula>0</formula>
    </cfRule>
  </conditionalFormatting>
  <conditionalFormatting sqref="B3">
    <cfRule type="cellIs" dxfId="86" priority="169" operator="lessThan">
      <formula>0</formula>
    </cfRule>
  </conditionalFormatting>
  <conditionalFormatting sqref="B3">
    <cfRule type="cellIs" dxfId="85" priority="170" operator="greaterThan">
      <formula>0</formula>
    </cfRule>
  </conditionalFormatting>
  <conditionalFormatting sqref="B3">
    <cfRule type="cellIs" dxfId="84" priority="171" operator="lessThan">
      <formula>0</formula>
    </cfRule>
  </conditionalFormatting>
  <conditionalFormatting sqref="B3">
    <cfRule type="cellIs" dxfId="83" priority="164" operator="greaterThan">
      <formula>0</formula>
    </cfRule>
  </conditionalFormatting>
  <conditionalFormatting sqref="B3">
    <cfRule type="cellIs" dxfId="82" priority="165" operator="lessThan">
      <formula>0</formula>
    </cfRule>
  </conditionalFormatting>
  <conditionalFormatting sqref="B3">
    <cfRule type="cellIs" dxfId="81" priority="166" operator="greaterThan">
      <formula>0</formula>
    </cfRule>
  </conditionalFormatting>
  <conditionalFormatting sqref="B3">
    <cfRule type="cellIs" dxfId="80" priority="167" operator="lessThan">
      <formula>0</formula>
    </cfRule>
  </conditionalFormatting>
  <conditionalFormatting sqref="B7">
    <cfRule type="cellIs" dxfId="79" priority="160" operator="greaterThan">
      <formula>0</formula>
    </cfRule>
  </conditionalFormatting>
  <conditionalFormatting sqref="B7">
    <cfRule type="cellIs" dxfId="78" priority="161" operator="lessThan">
      <formula>0</formula>
    </cfRule>
  </conditionalFormatting>
  <conditionalFormatting sqref="B7">
    <cfRule type="cellIs" dxfId="77" priority="162" operator="greaterThan">
      <formula>0</formula>
    </cfRule>
  </conditionalFormatting>
  <conditionalFormatting sqref="B7">
    <cfRule type="cellIs" dxfId="76" priority="163" operator="lessThan">
      <formula>0</formula>
    </cfRule>
  </conditionalFormatting>
  <conditionalFormatting sqref="B7">
    <cfRule type="cellIs" dxfId="75" priority="156" operator="greaterThan">
      <formula>0</formula>
    </cfRule>
  </conditionalFormatting>
  <conditionalFormatting sqref="B7">
    <cfRule type="cellIs" dxfId="74" priority="157" operator="lessThan">
      <formula>0</formula>
    </cfRule>
  </conditionalFormatting>
  <conditionalFormatting sqref="B7">
    <cfRule type="cellIs" dxfId="73" priority="158" operator="greaterThan">
      <formula>0</formula>
    </cfRule>
  </conditionalFormatting>
  <conditionalFormatting sqref="B7">
    <cfRule type="cellIs" dxfId="72" priority="159" operator="lessThan">
      <formula>0</formula>
    </cfRule>
  </conditionalFormatting>
  <conditionalFormatting sqref="B7">
    <cfRule type="cellIs" dxfId="71" priority="152" operator="greaterThan">
      <formula>0</formula>
    </cfRule>
  </conditionalFormatting>
  <conditionalFormatting sqref="B7">
    <cfRule type="cellIs" dxfId="70" priority="153" operator="lessThan">
      <formula>0</formula>
    </cfRule>
  </conditionalFormatting>
  <conditionalFormatting sqref="B7">
    <cfRule type="cellIs" dxfId="69" priority="154" operator="greaterThan">
      <formula>0</formula>
    </cfRule>
  </conditionalFormatting>
  <conditionalFormatting sqref="B7">
    <cfRule type="cellIs" dxfId="68" priority="155" operator="lessThan">
      <formula>0</formula>
    </cfRule>
  </conditionalFormatting>
  <conditionalFormatting sqref="B7">
    <cfRule type="cellIs" dxfId="67" priority="148" operator="greaterThan">
      <formula>0</formula>
    </cfRule>
  </conditionalFormatting>
  <conditionalFormatting sqref="B7">
    <cfRule type="cellIs" dxfId="66" priority="149" operator="lessThan">
      <formula>0</formula>
    </cfRule>
  </conditionalFormatting>
  <conditionalFormatting sqref="B7">
    <cfRule type="cellIs" dxfId="65" priority="150" operator="greaterThan">
      <formula>0</formula>
    </cfRule>
  </conditionalFormatting>
  <conditionalFormatting sqref="B7">
    <cfRule type="cellIs" dxfId="64" priority="151" operator="lessThan">
      <formula>0</formula>
    </cfRule>
  </conditionalFormatting>
  <conditionalFormatting sqref="B7">
    <cfRule type="cellIs" dxfId="63" priority="144" operator="greaterThan">
      <formula>0</formula>
    </cfRule>
  </conditionalFormatting>
  <conditionalFormatting sqref="B7">
    <cfRule type="cellIs" dxfId="62" priority="145" operator="lessThan">
      <formula>0</formula>
    </cfRule>
  </conditionalFormatting>
  <conditionalFormatting sqref="B7">
    <cfRule type="cellIs" dxfId="61" priority="146" operator="greaterThan">
      <formula>0</formula>
    </cfRule>
  </conditionalFormatting>
  <conditionalFormatting sqref="B7">
    <cfRule type="cellIs" dxfId="60" priority="147" operator="lessThan">
      <formula>0</formula>
    </cfRule>
  </conditionalFormatting>
  <conditionalFormatting sqref="B7">
    <cfRule type="cellIs" dxfId="59" priority="140" operator="greaterThan">
      <formula>0</formula>
    </cfRule>
  </conditionalFormatting>
  <conditionalFormatting sqref="B7">
    <cfRule type="cellIs" dxfId="58" priority="141" operator="lessThan">
      <formula>0</formula>
    </cfRule>
  </conditionalFormatting>
  <conditionalFormatting sqref="B7">
    <cfRule type="cellIs" dxfId="57" priority="142" operator="greaterThan">
      <formula>0</formula>
    </cfRule>
  </conditionalFormatting>
  <conditionalFormatting sqref="B7">
    <cfRule type="cellIs" dxfId="56" priority="143" operator="lessThan">
      <formula>0</formula>
    </cfRule>
  </conditionalFormatting>
  <conditionalFormatting sqref="B7">
    <cfRule type="cellIs" dxfId="55" priority="136" operator="greaterThan">
      <formula>0</formula>
    </cfRule>
  </conditionalFormatting>
  <conditionalFormatting sqref="B7">
    <cfRule type="cellIs" dxfId="54" priority="137" operator="lessThan">
      <formula>0</formula>
    </cfRule>
  </conditionalFormatting>
  <conditionalFormatting sqref="B7">
    <cfRule type="cellIs" dxfId="53" priority="138" operator="greaterThan">
      <formula>0</formula>
    </cfRule>
  </conditionalFormatting>
  <conditionalFormatting sqref="B7">
    <cfRule type="cellIs" dxfId="52" priority="139" operator="lessThan">
      <formula>0</formula>
    </cfRule>
  </conditionalFormatting>
  <conditionalFormatting sqref="B7">
    <cfRule type="cellIs" dxfId="51" priority="132" operator="greaterThan">
      <formula>0</formula>
    </cfRule>
  </conditionalFormatting>
  <conditionalFormatting sqref="B7">
    <cfRule type="cellIs" dxfId="50" priority="133" operator="lessThan">
      <formula>0</formula>
    </cfRule>
  </conditionalFormatting>
  <conditionalFormatting sqref="B7">
    <cfRule type="cellIs" dxfId="49" priority="134" operator="greaterThan">
      <formula>0</formula>
    </cfRule>
  </conditionalFormatting>
  <conditionalFormatting sqref="B7">
    <cfRule type="cellIs" dxfId="48" priority="135" operator="lessThan">
      <formula>0</formula>
    </cfRule>
  </conditionalFormatting>
  <conditionalFormatting sqref="B7">
    <cfRule type="cellIs" dxfId="47" priority="128" operator="greaterThan">
      <formula>0</formula>
    </cfRule>
  </conditionalFormatting>
  <conditionalFormatting sqref="B7">
    <cfRule type="cellIs" dxfId="46" priority="129" operator="lessThan">
      <formula>0</formula>
    </cfRule>
  </conditionalFormatting>
  <conditionalFormatting sqref="B7">
    <cfRule type="cellIs" dxfId="45" priority="130" operator="greaterThan">
      <formula>0</formula>
    </cfRule>
  </conditionalFormatting>
  <conditionalFormatting sqref="B7">
    <cfRule type="cellIs" dxfId="44" priority="131" operator="lessThan">
      <formula>0</formula>
    </cfRule>
  </conditionalFormatting>
  <conditionalFormatting sqref="AE3:AE6">
    <cfRule type="cellIs" dxfId="43" priority="127" operator="lessThan">
      <formula>0.01</formula>
    </cfRule>
  </conditionalFormatting>
  <conditionalFormatting sqref="S3">
    <cfRule type="cellIs" dxfId="42" priority="126" operator="lessThan">
      <formula>0.01</formula>
    </cfRule>
  </conditionalFormatting>
  <conditionalFormatting sqref="AO3:AO42">
    <cfRule type="expression" dxfId="41" priority="125">
      <formula>$L$18-$R3&lt;0</formula>
    </cfRule>
  </conditionalFormatting>
  <conditionalFormatting sqref="AO3:AO42">
    <cfRule type="expression" dxfId="40" priority="124">
      <formula>$L$18-$R3&gt;0</formula>
    </cfRule>
  </conditionalFormatting>
  <conditionalFormatting sqref="Q3">
    <cfRule type="cellIs" dxfId="39" priority="119" operator="equal">
      <formula>0</formula>
    </cfRule>
  </conditionalFormatting>
  <conditionalFormatting sqref="AC3:AC42">
    <cfRule type="cellIs" dxfId="38" priority="118" operator="equal">
      <formula>0</formula>
    </cfRule>
  </conditionalFormatting>
  <conditionalFormatting sqref="Y3:Y42">
    <cfRule type="cellIs" dxfId="37" priority="115" operator="equal">
      <formula>0</formula>
    </cfRule>
  </conditionalFormatting>
  <conditionalFormatting sqref="Z3:Z42">
    <cfRule type="cellIs" dxfId="36" priority="114" operator="equal">
      <formula>0</formula>
    </cfRule>
  </conditionalFormatting>
  <conditionalFormatting sqref="AH3:AI42">
    <cfRule type="cellIs" dxfId="35" priority="109" operator="equal">
      <formula>0</formula>
    </cfRule>
  </conditionalFormatting>
  <conditionalFormatting sqref="AK3:AK42">
    <cfRule type="cellIs" dxfId="34" priority="108" operator="equal">
      <formula>0</formula>
    </cfRule>
  </conditionalFormatting>
  <conditionalFormatting sqref="AL3:AL42">
    <cfRule type="cellIs" dxfId="33" priority="107" operator="equal">
      <formula>0</formula>
    </cfRule>
  </conditionalFormatting>
  <conditionalFormatting sqref="AD23:AD26">
    <cfRule type="expression" dxfId="32" priority="105">
      <formula>AC23&gt;0</formula>
    </cfRule>
  </conditionalFormatting>
  <conditionalFormatting sqref="AD23:AD26">
    <cfRule type="expression" dxfId="31" priority="106">
      <formula>AC23&lt;0</formula>
    </cfRule>
  </conditionalFormatting>
  <conditionalFormatting sqref="AE7:AE8">
    <cfRule type="cellIs" dxfId="30" priority="104" operator="lessThan">
      <formula>0.01</formula>
    </cfRule>
  </conditionalFormatting>
  <conditionalFormatting sqref="AE9:AE42">
    <cfRule type="cellIs" dxfId="29" priority="70" operator="lessThan">
      <formula>0.01</formula>
    </cfRule>
  </conditionalFormatting>
  <conditionalFormatting sqref="R3">
    <cfRule type="expression" dxfId="28" priority="68">
      <formula>Q3&gt;0</formula>
    </cfRule>
  </conditionalFormatting>
  <conditionalFormatting sqref="R3">
    <cfRule type="expression" dxfId="27" priority="69">
      <formula>Q3&lt;0</formula>
    </cfRule>
  </conditionalFormatting>
  <conditionalFormatting sqref="N36">
    <cfRule type="cellIs" dxfId="26" priority="67" operator="lessThan">
      <formula>0</formula>
    </cfRule>
  </conditionalFormatting>
  <conditionalFormatting sqref="AD3:AD12">
    <cfRule type="expression" dxfId="25" priority="63">
      <formula>AC3&gt;0</formula>
    </cfRule>
  </conditionalFormatting>
  <conditionalFormatting sqref="AD3:AD12">
    <cfRule type="expression" dxfId="24" priority="64">
      <formula>AC3&lt;0</formula>
    </cfRule>
  </conditionalFormatting>
  <conditionalFormatting sqref="Q4:Q42">
    <cfRule type="cellIs" dxfId="23" priority="54" operator="greaterThan">
      <formula>0</formula>
    </cfRule>
  </conditionalFormatting>
  <conditionalFormatting sqref="Q4:Q42">
    <cfRule type="cellIs" dxfId="22" priority="55" operator="lessThan">
      <formula>0</formula>
    </cfRule>
  </conditionalFormatting>
  <conditionalFormatting sqref="Q4:Q42">
    <cfRule type="cellIs" dxfId="21" priority="56" operator="greaterThan">
      <formula>0</formula>
    </cfRule>
  </conditionalFormatting>
  <conditionalFormatting sqref="Q4:Q42">
    <cfRule type="cellIs" dxfId="20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0"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40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23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628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629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630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631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632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633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634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635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636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23" t="s">
        <v>637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620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622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23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638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639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640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641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642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643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644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645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646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647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648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649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650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651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652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653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654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655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656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657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658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659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660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661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662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663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664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665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666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667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668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669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672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673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670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671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2024-04-03T20:12:53Z</dcterms:modified>
</cp:coreProperties>
</file>