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E498ADB4-EB68-4265-9E2B-CA561E80347F}" xr6:coauthVersionLast="47" xr6:coauthVersionMax="47" xr10:uidLastSave="{00000000-0000-0000-0000-000000000000}"/>
  <bookViews>
    <workbookView xWindow="7200" yWindow="1845"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5" i="38" l="1"/>
  <c r="Y44" i="38"/>
  <c r="Y47" i="38"/>
  <c r="Y43" i="38"/>
  <c r="Y42" i="38"/>
  <c r="Y143" i="38"/>
  <c r="Y142" i="38"/>
  <c r="Y137" i="38"/>
  <c r="Z136" i="38"/>
  <c r="Y136" i="38"/>
  <c r="Y131" i="38"/>
  <c r="Z130" i="38"/>
  <c r="Y130" i="38"/>
  <c r="Y125" i="38"/>
  <c r="Y124" i="38"/>
  <c r="Y119" i="38"/>
  <c r="Y118" i="38"/>
  <c r="Y113" i="38"/>
  <c r="Z112" i="38"/>
  <c r="Y112" i="38"/>
  <c r="Y107" i="38"/>
  <c r="Z106" i="38"/>
  <c r="Y106" i="38"/>
  <c r="Y101" i="38"/>
  <c r="Y100" i="38"/>
  <c r="Y95" i="38"/>
  <c r="Y94" i="38"/>
  <c r="Y89" i="38"/>
  <c r="Z88" i="38"/>
  <c r="Y88" i="38"/>
  <c r="Y83" i="38"/>
  <c r="Z82" i="38"/>
  <c r="Y82" i="38"/>
  <c r="Y77" i="38"/>
  <c r="Y76" i="38"/>
  <c r="Y71" i="38"/>
  <c r="Y70" i="38"/>
  <c r="Y65" i="38"/>
  <c r="Z64" i="38"/>
  <c r="Y64" i="38"/>
  <c r="Y59" i="38"/>
  <c r="Z58" i="38"/>
  <c r="Y58" i="38"/>
  <c r="Y53" i="38"/>
  <c r="Y52" i="38"/>
  <c r="A13" i="38"/>
  <c r="O13" i="38" s="1"/>
  <c r="A11" i="38"/>
  <c r="O11" i="38" s="1"/>
  <c r="A15" i="38"/>
  <c r="A17" i="38"/>
  <c r="O17" i="38" s="1"/>
  <c r="A14" i="38"/>
  <c r="L14" i="38" s="1"/>
  <c r="A16" i="38"/>
  <c r="N16" i="38" s="1"/>
  <c r="A10" i="38"/>
  <c r="L10" i="38" s="1"/>
  <c r="A9" i="38"/>
  <c r="M9" i="38" s="1"/>
  <c r="A8" i="38"/>
  <c r="L8" i="38" s="1"/>
  <c r="A7" i="38"/>
  <c r="O7" i="38" s="1"/>
  <c r="Z74" i="38"/>
  <c r="Y86" i="38"/>
  <c r="A6" i="38"/>
  <c r="L6" i="38" s="1"/>
  <c r="AA147" i="38"/>
  <c r="Z147" i="38"/>
  <c r="AA146" i="38"/>
  <c r="Z146" i="38"/>
  <c r="Y146" i="38"/>
  <c r="AA145" i="38"/>
  <c r="Z145" i="38"/>
  <c r="AA144" i="38"/>
  <c r="Z144" i="38"/>
  <c r="Y144" i="38"/>
  <c r="AA49" i="38"/>
  <c r="Z68" i="38"/>
  <c r="A12" i="38"/>
  <c r="M12" i="38" s="1"/>
  <c r="L2" i="38"/>
  <c r="L3" i="38"/>
  <c r="N4" i="38"/>
  <c r="L5"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8" i="38"/>
  <c r="N18" i="38"/>
  <c r="M18" i="38"/>
  <c r="L18" i="38"/>
  <c r="K18" i="38"/>
  <c r="J18" i="38"/>
  <c r="I18" i="38"/>
  <c r="H18" i="38"/>
  <c r="G18" i="38"/>
  <c r="F18" i="38"/>
  <c r="E18" i="38"/>
  <c r="D18" i="38"/>
  <c r="Y18" i="38" s="1"/>
  <c r="C18" i="38"/>
  <c r="B18" i="38"/>
  <c r="AA80" i="38"/>
  <c r="AA81" i="38"/>
  <c r="AA128" i="38"/>
  <c r="AA48" i="38"/>
  <c r="Z18" i="38"/>
  <c r="Z19" i="38"/>
  <c r="Z20" i="38"/>
  <c r="Z21" i="38"/>
  <c r="AA21" i="38" s="1"/>
  <c r="AA139" i="38"/>
  <c r="AA133" i="38"/>
  <c r="AA127" i="38"/>
  <c r="AA121" i="38"/>
  <c r="AA115" i="38"/>
  <c r="AA109" i="38"/>
  <c r="AA103" i="38"/>
  <c r="AA97" i="38"/>
  <c r="AA91" i="38"/>
  <c r="AA85" i="38"/>
  <c r="AA79" i="38"/>
  <c r="AA73" i="38"/>
  <c r="AA67" i="38"/>
  <c r="AA61" i="38"/>
  <c r="AA55"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3" i="38"/>
  <c r="Z72" i="38"/>
  <c r="Z69" i="38"/>
  <c r="Z67" i="38"/>
  <c r="Z66" i="38"/>
  <c r="Z63" i="38"/>
  <c r="Z62" i="38"/>
  <c r="Z61" i="38"/>
  <c r="Z60" i="38"/>
  <c r="Z57" i="38"/>
  <c r="Z56" i="38"/>
  <c r="Z55" i="38"/>
  <c r="Z54" i="38"/>
  <c r="Z51" i="38"/>
  <c r="Z50" i="38"/>
  <c r="Z49" i="38"/>
  <c r="Z48" i="38"/>
  <c r="Y140" i="38"/>
  <c r="Y138" i="38"/>
  <c r="Y134" i="38"/>
  <c r="Y132" i="38"/>
  <c r="Y128" i="38"/>
  <c r="Y126" i="38"/>
  <c r="Y122" i="38"/>
  <c r="Y120" i="38"/>
  <c r="Y116" i="38"/>
  <c r="Y114" i="38"/>
  <c r="Y110" i="38"/>
  <c r="Y108" i="38"/>
  <c r="Y104" i="38"/>
  <c r="Y102" i="38"/>
  <c r="Y98" i="38"/>
  <c r="Y96" i="38"/>
  <c r="Y92" i="38"/>
  <c r="Y90" i="38"/>
  <c r="Y84" i="38"/>
  <c r="Y80" i="38"/>
  <c r="Y78" i="38"/>
  <c r="Y74" i="38"/>
  <c r="Y72" i="38"/>
  <c r="Y68" i="38"/>
  <c r="Y66" i="38"/>
  <c r="Y62" i="38"/>
  <c r="Y60" i="38"/>
  <c r="Y56" i="38"/>
  <c r="Y54"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Z52" i="38" l="1"/>
  <c r="Z76" i="38"/>
  <c r="Z100" i="38"/>
  <c r="Z124" i="38"/>
  <c r="Z42" i="38"/>
  <c r="Z44" i="38"/>
  <c r="Z70" i="38"/>
  <c r="Z94" i="38"/>
  <c r="Z118" i="38"/>
  <c r="Z142" i="38"/>
  <c r="Y20" i="38"/>
  <c r="AA20" i="38" s="1"/>
  <c r="AA18" i="38"/>
  <c r="AA19" i="38" s="1"/>
  <c r="Z46" i="38"/>
  <c r="Y87" i="38"/>
  <c r="G16" i="38"/>
  <c r="L16" i="38"/>
  <c r="C16" i="38"/>
  <c r="H16" i="38"/>
  <c r="M16" i="38"/>
  <c r="D16" i="38"/>
  <c r="I16" i="38"/>
  <c r="O16" i="38"/>
  <c r="E16" i="38"/>
  <c r="K16" i="38"/>
  <c r="J6" i="38"/>
  <c r="O4" i="38"/>
  <c r="O8" i="38"/>
  <c r="G8" i="38"/>
  <c r="C12" i="38"/>
  <c r="K12" i="38"/>
  <c r="I8" i="38"/>
  <c r="C8" i="38"/>
  <c r="K8" i="38"/>
  <c r="E8" i="38"/>
  <c r="M8" i="38"/>
  <c r="D4" i="38"/>
  <c r="G4" i="38"/>
  <c r="L4" i="38"/>
  <c r="B16" i="38"/>
  <c r="F16" i="38"/>
  <c r="J16" i="38"/>
  <c r="F12" i="38"/>
  <c r="N12" i="38"/>
  <c r="G12" i="38"/>
  <c r="O12" i="38"/>
  <c r="B12" i="38"/>
  <c r="J12" i="38"/>
  <c r="G3" i="38"/>
  <c r="C3" i="38"/>
  <c r="E14" i="38"/>
  <c r="D2" i="38"/>
  <c r="E2" i="38"/>
  <c r="H4" i="38"/>
  <c r="C4" i="38"/>
  <c r="K4" i="38"/>
  <c r="D11" i="38"/>
  <c r="K3" i="38"/>
  <c r="F3" i="38"/>
  <c r="N3" i="38"/>
  <c r="B3" i="38"/>
  <c r="I3" i="38"/>
  <c r="E4" i="38"/>
  <c r="I4" i="38"/>
  <c r="M4" i="38"/>
  <c r="B4" i="38"/>
  <c r="F4" i="38"/>
  <c r="J4" i="38"/>
  <c r="M14" i="38"/>
  <c r="I14" i="38"/>
  <c r="L13" i="38"/>
  <c r="C5" i="38"/>
  <c r="C14" i="38"/>
  <c r="Z14" i="38" s="1"/>
  <c r="G14" i="38"/>
  <c r="K14" i="38"/>
  <c r="O14" i="38"/>
  <c r="B14" i="38"/>
  <c r="F14" i="38"/>
  <c r="J14" i="38"/>
  <c r="N14" i="38"/>
  <c r="D14" i="38"/>
  <c r="H14" i="38"/>
  <c r="C7" i="38"/>
  <c r="M3" i="38"/>
  <c r="E3" i="38"/>
  <c r="J3" i="38"/>
  <c r="H11" i="38"/>
  <c r="I2" i="38"/>
  <c r="M2" i="38"/>
  <c r="B8" i="38"/>
  <c r="F8" i="38"/>
  <c r="J8" i="38"/>
  <c r="N8" i="38"/>
  <c r="D8" i="38"/>
  <c r="H8" i="38"/>
  <c r="C9" i="38"/>
  <c r="B10" i="38"/>
  <c r="J10" i="38"/>
  <c r="B6" i="38"/>
  <c r="K5" i="38"/>
  <c r="H7" i="38"/>
  <c r="M7" i="38"/>
  <c r="O3" i="38"/>
  <c r="L9" i="38"/>
  <c r="F9" i="38"/>
  <c r="H9" i="38"/>
  <c r="E6" i="38"/>
  <c r="M6" i="38"/>
  <c r="E10" i="38"/>
  <c r="M10" i="38"/>
  <c r="F6" i="38"/>
  <c r="N6" i="38"/>
  <c r="F10" i="38"/>
  <c r="N10" i="38"/>
  <c r="I6" i="38"/>
  <c r="I10" i="38"/>
  <c r="L11" i="38"/>
  <c r="I5" i="38"/>
  <c r="E5" i="38"/>
  <c r="O5" i="38"/>
  <c r="F5" i="38"/>
  <c r="D12" i="38"/>
  <c r="H12" i="38"/>
  <c r="L12" i="38"/>
  <c r="E12" i="38"/>
  <c r="I12" i="38"/>
  <c r="B2" i="38"/>
  <c r="F2" i="38"/>
  <c r="J2" i="38"/>
  <c r="N2" i="38"/>
  <c r="C2" i="38"/>
  <c r="G2" i="38"/>
  <c r="K2" i="38"/>
  <c r="O2" i="38"/>
  <c r="H2" i="38"/>
  <c r="H13" i="38"/>
  <c r="D9" i="38"/>
  <c r="Y6" i="38" s="1"/>
  <c r="J9" i="38"/>
  <c r="B9" i="38"/>
  <c r="G9" i="38"/>
  <c r="O9" i="38"/>
  <c r="C6" i="38"/>
  <c r="K6" i="38"/>
  <c r="O6" i="38"/>
  <c r="C10" i="38"/>
  <c r="G10" i="38"/>
  <c r="K10" i="38"/>
  <c r="O10" i="38"/>
  <c r="G6" i="38"/>
  <c r="D6" i="38"/>
  <c r="H6" i="38"/>
  <c r="D10" i="38"/>
  <c r="H10" i="38"/>
  <c r="J5" i="38"/>
  <c r="N5" i="38"/>
  <c r="D7" i="38"/>
  <c r="I7" i="38"/>
  <c r="N7" i="38"/>
  <c r="E7" i="38"/>
  <c r="J7" i="38"/>
  <c r="B7" i="38"/>
  <c r="F7" i="38"/>
  <c r="L7" i="38"/>
  <c r="D3" i="38"/>
  <c r="H3" i="38"/>
  <c r="D17" i="38"/>
  <c r="L17" i="38"/>
  <c r="K9" i="38"/>
  <c r="E11" i="38"/>
  <c r="I11" i="38"/>
  <c r="M11" i="38"/>
  <c r="B11" i="38"/>
  <c r="F11" i="38"/>
  <c r="J11" i="38"/>
  <c r="N11" i="38"/>
  <c r="C11" i="38"/>
  <c r="G11" i="38"/>
  <c r="K11" i="38"/>
  <c r="B5" i="38"/>
  <c r="G5" i="38"/>
  <c r="M5" i="38"/>
  <c r="G7" i="38"/>
  <c r="K7" i="38"/>
  <c r="H17" i="38"/>
  <c r="D13" i="38"/>
  <c r="N9" i="38"/>
  <c r="E9" i="38"/>
  <c r="I9" i="38"/>
  <c r="D5" i="38"/>
  <c r="Y2" i="38" s="1"/>
  <c r="H5" i="38"/>
  <c r="E13" i="38"/>
  <c r="I13" i="38"/>
  <c r="M13" i="38"/>
  <c r="E17" i="38"/>
  <c r="I17" i="38"/>
  <c r="M17" i="38"/>
  <c r="B13" i="38"/>
  <c r="F13" i="38"/>
  <c r="J13" i="38"/>
  <c r="N13" i="38"/>
  <c r="B17" i="38"/>
  <c r="F17" i="38"/>
  <c r="J17" i="38"/>
  <c r="N17" i="38"/>
  <c r="C13" i="38"/>
  <c r="G13" i="38"/>
  <c r="K13" i="38"/>
  <c r="C17" i="38"/>
  <c r="G17" i="38"/>
  <c r="K17" i="38"/>
  <c r="Z1"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2" i="38" l="1"/>
  <c r="Y3" i="38" s="1"/>
  <c r="Y4" i="38" s="1"/>
  <c r="Z4" i="38" s="1"/>
  <c r="M19" i="46"/>
  <c r="M16" i="46"/>
  <c r="M22" i="46"/>
  <c r="M13" i="46"/>
  <c r="M25" i="46"/>
  <c r="Q36" i="46"/>
  <c r="Z3" i="38" l="1"/>
  <c r="Y5" i="38"/>
  <c r="GL3" i="46"/>
  <c r="EU3" i="46"/>
  <c r="Z5" i="38" l="1"/>
  <c r="AA4" i="38" s="1"/>
  <c r="Z6" i="38"/>
  <c r="Y7" i="38" s="1"/>
  <c r="AA2" i="38"/>
  <c r="Q46" i="46"/>
  <c r="Q47" i="46" s="1"/>
  <c r="Y8" i="38" l="1"/>
  <c r="Z7" i="38"/>
  <c r="AA6" i="38" s="1"/>
  <c r="Z10" i="38"/>
  <c r="Y11" i="38" s="1"/>
  <c r="Z11" i="38" s="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Z8" i="38" l="1"/>
  <c r="Y9" i="38" s="1"/>
  <c r="Z9" i="38" s="1"/>
  <c r="Y12" i="38"/>
  <c r="AA10"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Z12" i="38" l="1"/>
  <c r="Y13" i="38" s="1"/>
  <c r="Z13" i="38" s="1"/>
  <c r="AA12" i="38" s="1"/>
  <c r="AA8" i="38"/>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l="1"/>
  <c r="Z16" i="38" s="1"/>
  <c r="Y17" i="38" s="1"/>
  <c r="Z15" i="38"/>
  <c r="AA14" i="38" s="1"/>
  <c r="Z17" i="38" l="1"/>
  <c r="AA16" i="38" s="1"/>
</calcChain>
</file>

<file path=xl/sharedStrings.xml><?xml version="1.0" encoding="utf-8"?>
<sst xmlns="http://schemas.openxmlformats.org/spreadsheetml/2006/main" count="1477" uniqueCount="685">
  <si>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</si>
  <si>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</si>
  <si>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</si>
  <si>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</si>
  <si>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</si>
  <si>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</si>
  <si>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</si>
  <si>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</si>
  <si>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</si>
  <si>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</si>
  <si>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</si>
  <si>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</si>
  <si>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</si>
  <si>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</si>
  <si>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</si>
  <si>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</si>
  <si>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</si>
  <si>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</si>
  <si>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</si>
  <si>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</si>
  <si>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</si>
  <si>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</si>
  <si>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</si>
  <si>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</si>
  <si>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</si>
  <si>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</si>
  <si>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</si>
  <si>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</si>
  <si>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</si>
  <si>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</si>
  <si>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</si>
  <si>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</si>
  <si>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</si>
  <si>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</si>
  <si>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</si>
  <si>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</si>
  <si>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</si>
  <si>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</si>
  <si>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</si>
  <si>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</si>
  <si>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</si>
  <si>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</si>
  <si>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</si>
  <si>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</si>
  <si>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</si>
  <si>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</si>
  <si>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</si>
  <si>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</si>
  <si>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</si>
  <si>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</si>
  <si>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</si>
  <si>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</si>
  <si>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</si>
  <si>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</si>
  <si>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</si>
  <si>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</si>
  <si>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</si>
  <si>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</si>
  <si>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</si>
  <si>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</si>
  <si>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</si>
  <si>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</si>
  <si>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</si>
  <si>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</si>
  <si>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</si>
  <si>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</si>
  <si>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</si>
  <si>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</si>
  <si>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</si>
  <si>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</si>
  <si>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</si>
  <si>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</si>
  <si>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</si>
  <si>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</si>
  <si>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</si>
  <si>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</si>
  <si>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</si>
  <si>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</si>
  <si>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</si>
  <si>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</si>
  <si>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</si>
  <si>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</si>
  <si>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</si>
  <si>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</si>
  <si>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</si>
  <si>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</si>
  <si>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</si>
  <si>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</si>
  <si>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</si>
  <si>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</si>
  <si>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</si>
  <si>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</si>
  <si>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</si>
  <si>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</si>
  <si>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</si>
  <si>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</si>
  <si>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</si>
  <si>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</si>
  <si>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</si>
  <si>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</si>
  <si>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</si>
  <si>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</si>
  <si>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</si>
  <si>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</si>
  <si>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</si>
  <si>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</si>
  <si>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</si>
  <si>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</si>
  <si>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</si>
  <si>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</si>
  <si>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</si>
  <si>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</si>
  <si>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</si>
  <si>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</si>
  <si>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</si>
  <si>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</si>
  <si>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</si>
  <si>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</si>
  <si>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</si>
  <si>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</si>
  <si>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</si>
  <si>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</si>
  <si>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</si>
  <si>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</si>
  <si>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</si>
  <si>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</si>
  <si>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</si>
  <si>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</si>
  <si>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</si>
  <si>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</si>
  <si>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</si>
  <si>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</si>
  <si>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</si>
  <si>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</si>
  <si>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</si>
  <si>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</si>
  <si>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</si>
  <si>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</si>
  <si>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</si>
  <si>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</si>
  <si>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</si>
  <si>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</si>
  <si>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</si>
  <si>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</si>
  <si>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</si>
  <si>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</si>
  <si>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</si>
  <si>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</si>
  <si>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</si>
  <si>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</si>
  <si>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</si>
  <si>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</si>
  <si>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</si>
  <si>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</si>
  <si>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</si>
  <si>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</si>
  <si>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</si>
  <si>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</si>
  <si>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</si>
  <si>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</si>
  <si>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</si>
  <si>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</si>
  <si>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</si>
  <si>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</si>
  <si>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</si>
  <si>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</si>
  <si>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</si>
  <si>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</si>
  <si>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</si>
  <si>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</si>
  <si>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</si>
  <si>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</si>
  <si>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</si>
  <si>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</si>
  <si>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</si>
  <si>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</si>
  <si>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</si>
  <si>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</si>
  <si>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</si>
  <si>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</si>
  <si>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</si>
  <si>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</si>
  <si>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</si>
  <si>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</si>
  <si>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</si>
  <si>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</si>
  <si>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</si>
  <si>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</si>
  <si>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</si>
  <si>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</si>
  <si>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</si>
  <si>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</si>
  <si>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</si>
  <si>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</si>
  <si>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</si>
  <si>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</si>
  <si>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</si>
  <si>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</si>
  <si>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</si>
  <si>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</si>
  <si>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</si>
  <si>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</si>
  <si>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</si>
  <si>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</si>
  <si>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</si>
  <si>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</si>
  <si>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</si>
  <si>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</si>
  <si>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</si>
  <si>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</si>
  <si>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</si>
  <si>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</si>
  <si>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</si>
  <si>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</si>
  <si>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</si>
  <si>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</si>
  <si>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</si>
  <si>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</si>
  <si>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</si>
  <si>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</si>
  <si>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</si>
  <si>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</si>
  <si>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</si>
  <si>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</si>
  <si>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</si>
  <si>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</si>
  <si>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</si>
  <si>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</si>
  <si>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</si>
  <si>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</si>
  <si>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</si>
  <si>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</si>
  <si>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</si>
  <si>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</si>
  <si>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</si>
  <si>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</si>
  <si>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</si>
  <si>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</si>
  <si>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</si>
  <si>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</si>
  <si>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</si>
  <si>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</si>
  <si>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</si>
  <si>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</si>
  <si>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</si>
  <si>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</si>
  <si>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</si>
  <si>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</si>
  <si>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</si>
  <si>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</si>
  <si>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</si>
  <si>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</si>
  <si>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</si>
  <si>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</si>
  <si>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</si>
  <si>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</si>
  <si>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</si>
  <si>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</si>
  <si>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</si>
  <si>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</si>
  <si>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</si>
  <si>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</si>
  <si>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</si>
  <si>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</si>
  <si>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</si>
  <si>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</si>
  <si>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</si>
  <si>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</si>
  <si>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</si>
  <si>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</si>
  <si>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</si>
  <si>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</si>
  <si>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</si>
  <si>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</si>
  <si>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</si>
  <si>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</si>
  <si>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</si>
  <si>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</si>
  <si>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</si>
  <si>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</si>
  <si>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</si>
  <si>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</si>
  <si>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</si>
  <si>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</si>
  <si>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</si>
  <si>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</si>
  <si>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</si>
  <si>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</si>
  <si>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</si>
  <si>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</si>
  <si>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</si>
  <si>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</si>
  <si>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</si>
  <si>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</si>
  <si>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</si>
  <si>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</si>
  <si>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</si>
  <si>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</si>
  <si>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</si>
  <si>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</si>
  <si>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</si>
  <si>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</si>
  <si>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</si>
  <si>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</si>
  <si>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</si>
  <si>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</si>
  <si>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</si>
  <si>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</si>
  <si>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</si>
  <si>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</si>
  <si>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</si>
  <si>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</si>
  <si>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</si>
  <si>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</si>
  <si>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</si>
  <si>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</si>
  <si>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</si>
  <si>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</si>
  <si>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</si>
  <si>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</si>
  <si>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</si>
  <si>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</si>
  <si>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</si>
  <si>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</si>
  <si>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</si>
  <si>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</si>
  <si>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</si>
  <si>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</si>
  <si>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</si>
  <si>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</si>
  <si>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</si>
  <si>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</si>
  <si>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</si>
  <si>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</si>
  <si>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</si>
  <si>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</si>
  <si>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</si>
  <si>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</si>
  <si>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</si>
  <si>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</si>
  <si>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</si>
  <si>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</si>
  <si>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</si>
  <si>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</si>
  <si>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</si>
  <si>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</si>
  <si>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</si>
  <si>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</si>
  <si>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</si>
  <si>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</si>
  <si>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</si>
  <si>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</si>
  <si>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</si>
  <si>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</si>
  <si>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</si>
  <si>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</si>
  <si>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</si>
  <si>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</si>
  <si>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</si>
  <si>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</si>
  <si>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</si>
  <si>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</si>
  <si>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</si>
  <si>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</si>
  <si>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</si>
  <si>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</si>
  <si>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</si>
  <si>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</si>
  <si>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</si>
  <si>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</si>
  <si>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</si>
  <si>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</si>
  <si>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</si>
  <si>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</si>
  <si>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</si>
  <si>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</si>
  <si>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</si>
  <si>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</si>
  <si>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</si>
  <si>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</si>
  <si>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</si>
  <si>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</si>
  <si>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</si>
  <si>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</si>
  <si>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</si>
  <si>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</si>
  <si>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</si>
  <si>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</si>
  <si>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</si>
  <si>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</si>
  <si>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</si>
  <si>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</si>
  <si>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</si>
  <si>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</si>
  <si>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</si>
  <si>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</si>
  <si>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</si>
  <si>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</si>
  <si>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</si>
  <si>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</si>
  <si>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</si>
  <si>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</si>
  <si>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</si>
  <si>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</si>
  <si>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</si>
  <si>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</si>
  <si>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</si>
  <si>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</si>
  <si>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</si>
  <si>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</si>
  <si>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</si>
  <si>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</si>
  <si>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</si>
  <si>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</si>
  <si>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</si>
  <si>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</si>
  <si>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</si>
  <si>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</si>
  <si>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</si>
  <si>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</si>
  <si>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</si>
  <si>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</si>
  <si>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</si>
  <si>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</si>
  <si>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</si>
  <si>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</si>
  <si>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</si>
  <si>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</si>
  <si>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</si>
  <si>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</si>
  <si>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</si>
  <si>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</si>
  <si>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</si>
  <si>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</si>
  <si>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</si>
  <si>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</si>
  <si>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</si>
  <si>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</si>
  <si>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</si>
  <si>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</si>
  <si>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</si>
  <si>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</si>
  <si>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</si>
  <si>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</si>
  <si>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</si>
  <si>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</si>
  <si>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</si>
  <si>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</si>
  <si>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</si>
  <si>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</si>
  <si>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</si>
  <si>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</si>
  <si>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</si>
  <si>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</si>
  <si>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</si>
  <si>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</si>
  <si>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</si>
  <si>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</si>
  <si>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</si>
  <si>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</si>
  <si>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</si>
  <si>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</si>
  <si>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</si>
  <si>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</si>
  <si>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</si>
  <si>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</si>
  <si>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</si>
  <si>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</si>
  <si>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</si>
  <si>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</si>
  <si>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</si>
  <si>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</si>
  <si>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</si>
  <si>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</si>
  <si>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</si>
  <si>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</si>
  <si>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</si>
  <si>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</si>
  <si>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</si>
  <si>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</si>
  <si>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</si>
  <si>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</si>
  <si>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</si>
  <si>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</si>
  <si>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</si>
  <si>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</si>
  <si>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</si>
  <si>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</si>
  <si>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</si>
  <si>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</si>
  <si>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</si>
  <si>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</si>
  <si>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</si>
  <si>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</si>
  <si>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</si>
  <si>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</si>
  <si>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</si>
  <si>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</si>
  <si>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</si>
  <si>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</si>
  <si>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</si>
  <si>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</si>
  <si>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</si>
  <si>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</si>
  <si>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</si>
  <si>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</si>
  <si>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</si>
  <si>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</si>
  <si>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</si>
  <si>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</si>
  <si>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</si>
  <si>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</si>
  <si>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</si>
  <si>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</si>
  <si>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</si>
  <si>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</si>
  <si>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</si>
  <si>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</si>
  <si>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</si>
  <si>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</si>
  <si>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</si>
  <si>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</si>
  <si>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</si>
  <si>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</si>
  <si>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</si>
  <si>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</si>
  <si>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</si>
  <si>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</si>
  <si>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</si>
  <si>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</si>
  <si>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</si>
  <si>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</si>
  <si>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</si>
  <si>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</si>
  <si>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</si>
  <si>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</si>
  <si>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</si>
  <si>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</si>
  <si>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</si>
  <si>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</si>
  <si>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</si>
  <si>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</si>
  <si>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</si>
  <si>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</si>
  <si>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</si>
  <si>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</si>
  <si>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</si>
  <si>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</si>
  <si>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</si>
  <si>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</si>
  <si>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</si>
  <si>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</si>
  <si>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</si>
  <si>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</si>
  <si>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</si>
  <si>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</si>
  <si>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</si>
  <si>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</si>
  <si>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</si>
  <si>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</si>
  <si>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</si>
  <si>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</si>
  <si>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</si>
  <si>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</si>
  <si>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</si>
  <si>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</si>
  <si>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</si>
  <si>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</si>
  <si>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</si>
  <si>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</si>
  <si>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</si>
  <si>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</si>
  <si>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</si>
  <si>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</si>
  <si>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</si>
  <si>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</si>
  <si>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</si>
  <si>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</si>
  <si>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</si>
  <si>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</si>
  <si>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</si>
  <si>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</si>
  <si>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</si>
  <si>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</si>
  <si>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</si>
  <si>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</si>
  <si>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</si>
  <si>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</si>
  <si>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</si>
  <si>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</si>
  <si>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</si>
  <si>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</si>
  <si>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</si>
  <si>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</si>
  <si>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</si>
  <si>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</si>
  <si>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</si>
  <si>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</si>
  <si>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</si>
  <si>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</si>
  <si>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</si>
  <si>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</si>
  <si>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</si>
  <si>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</si>
  <si>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</si>
  <si>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</si>
  <si>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</si>
  <si>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</si>
  <si>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</si>
  <si>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</si>
  <si>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</si>
  <si>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</si>
  <si>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S18E4 - spot</t>
  </si>
  <si>
    <t>S18E4 - 48hs</t>
  </si>
  <si>
    <t>SE4C - spot</t>
  </si>
  <si>
    <t>SE4C - 48hs</t>
  </si>
  <si>
    <t>SE4D - spot</t>
  </si>
  <si>
    <t>SE4D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</si>
  <si>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</si>
  <si>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</si>
  <si>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</si>
  <si>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</si>
  <si>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</si>
  <si>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</si>
  <si>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</si>
  <si>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</si>
  <si>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</si>
  <si>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</si>
  <si>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</si>
  <si>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</si>
  <si>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</si>
  <si>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</si>
  <si>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</si>
  <si>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</si>
  <si>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</si>
  <si>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</si>
  <si>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</si>
  <si>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</si>
  <si>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</si>
  <si>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</si>
  <si>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</si>
  <si>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</si>
  <si>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</si>
  <si>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</si>
  <si>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</si>
  <si>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</si>
  <si>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</si>
  <si>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</si>
  <si>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</si>
  <si>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</si>
  <si>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</si>
  <si>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</si>
  <si>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</si>
  <si>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</si>
  <si>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</si>
  <si>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</si>
  <si>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</si>
  <si>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</si>
  <si>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</si>
  <si>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</si>
  <si>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</si>
  <si>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</si>
  <si>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</si>
  <si>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</si>
  <si>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</si>
  <si>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</si>
  <si>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</si>
  <si>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</si>
  <si>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</si>
  <si>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</si>
  <si>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</si>
  <si>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</si>
  <si>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</si>
  <si>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</si>
  <si>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</si>
  <si>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</si>
  <si>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</si>
  <si>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</si>
  <si>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</si>
  <si>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BP27C - spot</t>
  </si>
  <si>
    <t>BP27C - 48hs</t>
  </si>
  <si>
    <t>BP27D - spot</t>
  </si>
  <si>
    <t>BP27D - 48hs</t>
  </si>
  <si>
    <t>BPO27 - spot</t>
  </si>
  <si>
    <t>BPO27 - 48hs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</si>
</sst>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3">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8"/>
      <color theme="4" tint="0.3999755851924192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0">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theme="0" tint="-0.499984740745262"/>
      </right>
      <top style="thin">
        <color indexed="64"/>
      </top>
      <bottom style="thin">
        <color theme="1" tint="0.249977111117893"/>
      </bottom>
      <diagonal/>
    </border>
    <border>
      <left/>
      <right style="thin">
        <color theme="0" tint="-0.499984740745262"/>
      </right>
      <top/>
      <bottom style="thin">
        <color indexed="64"/>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
      <left/>
      <right style="thin">
        <color theme="1" tint="0.499984740745262"/>
      </right>
      <top style="thin">
        <color theme="1" tint="0.499984740745262"/>
      </top>
      <bottom style="thin">
        <color indexed="64"/>
      </bottom>
      <diagonal/>
    </border>
    <border>
      <left/>
      <right style="thin">
        <color theme="1" tint="0.499984740745262"/>
      </right>
      <top/>
      <bottom style="thin">
        <color theme="1" tint="0.14999847407452621"/>
      </bottom>
      <diagonal/>
    </border>
    <border>
      <left style="thin">
        <color theme="1" tint="0.499984740745262"/>
      </left>
      <right/>
      <top/>
      <bottom style="thin">
        <color theme="1" tint="0.14999847407452621"/>
      </bottom>
      <diagonal/>
    </border>
    <border>
      <left/>
      <right style="thin">
        <color theme="1" tint="4.9989318521683403E-2"/>
      </right>
      <top/>
      <bottom style="thin">
        <color theme="1" tint="0.14999847407452621"/>
      </bottom>
      <diagonal/>
    </border>
    <border>
      <left style="thin">
        <color theme="1" tint="0.499984740745262"/>
      </left>
      <right style="thin">
        <color theme="1" tint="4.9989318521683403E-2"/>
      </right>
      <top style="thin">
        <color theme="1" tint="0.499984740745262"/>
      </top>
      <bottom style="thin">
        <color theme="1"/>
      </bottom>
      <diagonal/>
    </border>
    <border>
      <left style="thin">
        <color theme="0" tint="-0.499984740745262"/>
      </left>
      <right style="thin">
        <color theme="1" tint="4.9989318521683403E-2"/>
      </right>
      <top style="thin">
        <color theme="1" tint="0.499984740745262"/>
      </top>
      <bottom style="thin">
        <color theme="1"/>
      </bottom>
      <diagonal/>
    </border>
    <border>
      <left style="thin">
        <color theme="1" tint="0.499984740745262"/>
      </left>
      <right style="thin">
        <color theme="1" tint="4.9989318521683403E-2"/>
      </right>
      <top/>
      <bottom style="thin">
        <color theme="1"/>
      </bottom>
      <diagonal/>
    </border>
    <border>
      <left style="thin">
        <color theme="0" tint="-0.499984740745262"/>
      </left>
      <right style="thin">
        <color theme="1" tint="4.9989318521683403E-2"/>
      </right>
      <top/>
      <bottom style="thin">
        <color theme="1"/>
      </bottom>
      <diagonal/>
    </border>
    <border>
      <left style="thin">
        <color theme="1" tint="0.499984740745262"/>
      </left>
      <right/>
      <top style="thin">
        <color theme="1"/>
      </top>
      <bottom style="thin">
        <color theme="1" tint="0.499984740745262"/>
      </bottom>
      <diagonal/>
    </border>
    <border>
      <left/>
      <right style="thin">
        <color theme="1" tint="4.9989318521683403E-2"/>
      </right>
      <top style="thin">
        <color theme="1"/>
      </top>
      <bottom style="thin">
        <color theme="1" tint="0.499984740745262"/>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93">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3" fillId="0" borderId="5" xfId="0" applyFont="1" applyBorder="1" applyAlignment="1">
      <alignment horizontal="center"/>
    </xf>
    <xf numFmtId="0" fontId="43"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4" fillId="16" borderId="8" xfId="15" applyNumberFormat="1" applyFont="1" applyFill="1" applyBorder="1" applyAlignment="1">
      <alignment horizontal="center" vertical="center"/>
    </xf>
    <xf numFmtId="0" fontId="45" fillId="16" borderId="8" xfId="15" applyFont="1" applyFill="1" applyBorder="1" applyAlignment="1">
      <alignment horizontal="center" vertical="center"/>
    </xf>
    <xf numFmtId="0" fontId="46" fillId="19" borderId="13" xfId="0" applyFont="1" applyFill="1" applyBorder="1" applyAlignment="1">
      <alignment vertical="center"/>
    </xf>
    <xf numFmtId="0" fontId="47" fillId="19" borderId="14" xfId="0" applyFont="1" applyFill="1" applyBorder="1" applyAlignment="1">
      <alignment horizontal="center" vertical="center"/>
    </xf>
    <xf numFmtId="1" fontId="47" fillId="19" borderId="14" xfId="0" applyNumberFormat="1" applyFont="1" applyFill="1" applyBorder="1" applyAlignment="1">
      <alignment horizontal="center" vertical="center"/>
    </xf>
    <xf numFmtId="0" fontId="47" fillId="19" borderId="14" xfId="0" applyFont="1" applyFill="1" applyBorder="1" applyAlignment="1">
      <alignment vertical="center"/>
    </xf>
    <xf numFmtId="164" fontId="47" fillId="19" borderId="14" xfId="0" applyNumberFormat="1" applyFont="1" applyFill="1" applyBorder="1" applyAlignment="1">
      <alignment vertical="center"/>
    </xf>
    <xf numFmtId="2" fontId="47" fillId="19" borderId="14" xfId="0" applyNumberFormat="1" applyFont="1" applyFill="1" applyBorder="1" applyAlignment="1">
      <alignment vertical="center"/>
    </xf>
    <xf numFmtId="0" fontId="48" fillId="19" borderId="15" xfId="0" applyFont="1" applyFill="1" applyBorder="1" applyAlignment="1">
      <alignment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0" fillId="19" borderId="2" xfId="0" applyFont="1" applyFill="1" applyBorder="1" applyAlignment="1">
      <alignment horizontal="center" vertical="center"/>
    </xf>
    <xf numFmtId="0" fontId="46" fillId="19" borderId="2" xfId="0" applyFont="1" applyFill="1" applyBorder="1" applyAlignment="1">
      <alignment vertical="center"/>
    </xf>
    <xf numFmtId="0" fontId="47" fillId="19" borderId="2" xfId="0" applyFont="1" applyFill="1" applyBorder="1" applyAlignment="1">
      <alignment vertical="center"/>
    </xf>
    <xf numFmtId="0" fontId="51" fillId="19" borderId="2" xfId="0" applyFont="1" applyFill="1" applyBorder="1" applyAlignment="1">
      <alignment vertical="center"/>
    </xf>
    <xf numFmtId="0" fontId="46" fillId="19" borderId="2" xfId="0" applyFont="1" applyFill="1" applyBorder="1" applyAlignment="1">
      <alignment horizontal="center" vertical="center"/>
    </xf>
    <xf numFmtId="0" fontId="49" fillId="19" borderId="2" xfId="0" applyFont="1" applyFill="1" applyBorder="1" applyAlignment="1">
      <alignment horizontal="center" vertical="center"/>
    </xf>
    <xf numFmtId="1" fontId="49" fillId="19" borderId="2" xfId="0" applyNumberFormat="1" applyFont="1" applyFill="1" applyBorder="1" applyAlignment="1">
      <alignment horizontal="center" vertical="center"/>
    </xf>
    <xf numFmtId="2" fontId="49" fillId="19" borderId="2" xfId="0" applyNumberFormat="1" applyFont="1" applyFill="1" applyBorder="1" applyAlignment="1">
      <alignment horizontal="right" vertical="center"/>
    </xf>
    <xf numFmtId="0" fontId="48" fillId="0" borderId="0" xfId="0" applyFont="1" applyAlignment="1">
      <alignment vertical="center"/>
    </xf>
    <xf numFmtId="0" fontId="52" fillId="20" borderId="13" xfId="0" applyFont="1" applyFill="1" applyBorder="1" applyAlignment="1">
      <alignment horizontal="center" vertical="center"/>
    </xf>
    <xf numFmtId="0" fontId="53" fillId="20" borderId="16" xfId="0" applyFont="1" applyFill="1" applyBorder="1" applyAlignment="1">
      <alignment horizontal="center" vertical="center"/>
    </xf>
    <xf numFmtId="1" fontId="52" fillId="20" borderId="17" xfId="0" applyNumberFormat="1" applyFont="1" applyFill="1" applyBorder="1" applyAlignment="1">
      <alignment horizontal="center" vertical="center"/>
    </xf>
    <xf numFmtId="0" fontId="52" fillId="20" borderId="18" xfId="0" applyFont="1" applyFill="1" applyBorder="1" applyAlignment="1">
      <alignment horizontal="center" vertical="center"/>
    </xf>
    <xf numFmtId="164" fontId="52" fillId="20" borderId="19" xfId="0" applyNumberFormat="1" applyFont="1" applyFill="1" applyBorder="1" applyAlignment="1">
      <alignment horizontal="center" vertical="center"/>
    </xf>
    <xf numFmtId="164" fontId="52" fillId="20" borderId="20" xfId="0" applyNumberFormat="1" applyFont="1" applyFill="1" applyBorder="1" applyAlignment="1">
      <alignment horizontal="center" vertical="center"/>
    </xf>
    <xf numFmtId="2" fontId="53" fillId="20" borderId="19" xfId="0" applyNumberFormat="1" applyFont="1" applyFill="1" applyBorder="1" applyAlignment="1">
      <alignment horizontal="center" vertical="center"/>
    </xf>
    <xf numFmtId="0" fontId="52" fillId="20" borderId="17" xfId="0" applyFont="1" applyFill="1" applyBorder="1" applyAlignment="1">
      <alignment horizontal="center" vertical="center"/>
    </xf>
    <xf numFmtId="0" fontId="52" fillId="20" borderId="21" xfId="0" applyFont="1" applyFill="1" applyBorder="1" applyAlignment="1">
      <alignment horizontal="center" vertical="center"/>
    </xf>
    <xf numFmtId="2" fontId="52" fillId="20" borderId="16" xfId="0" applyNumberFormat="1" applyFont="1" applyFill="1" applyBorder="1" applyAlignment="1">
      <alignment horizontal="center" vertical="center"/>
    </xf>
    <xf numFmtId="2" fontId="52" fillId="20" borderId="21" xfId="0" applyNumberFormat="1" applyFont="1" applyFill="1" applyBorder="1" applyAlignment="1">
      <alignment horizontal="center" vertical="center"/>
    </xf>
    <xf numFmtId="3" fontId="53" fillId="20" borderId="22" xfId="0" applyNumberFormat="1" applyFont="1" applyFill="1" applyBorder="1" applyAlignment="1">
      <alignment horizontal="center" vertical="center"/>
    </xf>
    <xf numFmtId="3" fontId="53" fillId="20" borderId="23" xfId="0" applyNumberFormat="1" applyFont="1" applyFill="1" applyBorder="1" applyAlignment="1">
      <alignment horizontal="center" vertical="center"/>
    </xf>
    <xf numFmtId="0" fontId="55" fillId="19" borderId="2" xfId="0" applyFont="1" applyFill="1" applyBorder="1" applyAlignment="1">
      <alignment vertical="center"/>
    </xf>
    <xf numFmtId="0" fontId="52" fillId="21" borderId="24" xfId="0" applyFont="1" applyFill="1" applyBorder="1" applyAlignment="1">
      <alignment horizontal="center" vertical="center"/>
    </xf>
    <xf numFmtId="0" fontId="53" fillId="22" borderId="26" xfId="0" applyFont="1" applyFill="1" applyBorder="1" applyAlignment="1">
      <alignment horizontal="center" vertical="center"/>
    </xf>
    <xf numFmtId="0" fontId="53" fillId="20" borderId="27" xfId="0" applyFont="1" applyFill="1" applyBorder="1" applyAlignment="1">
      <alignment horizontal="center" vertical="center"/>
    </xf>
    <xf numFmtId="0" fontId="52" fillId="20" borderId="28" xfId="0" applyFont="1" applyFill="1" applyBorder="1" applyAlignment="1">
      <alignment horizontal="center" vertical="center"/>
    </xf>
    <xf numFmtId="0" fontId="53" fillId="20" borderId="19" xfId="0" applyFont="1" applyFill="1" applyBorder="1" applyAlignment="1">
      <alignment horizontal="center" vertical="center"/>
    </xf>
    <xf numFmtId="1" fontId="52" fillId="20" borderId="14" xfId="0" applyNumberFormat="1" applyFont="1" applyFill="1" applyBorder="1" applyAlignment="1">
      <alignment horizontal="center" vertical="center"/>
    </xf>
    <xf numFmtId="2" fontId="52" fillId="20" borderId="19" xfId="0" applyNumberFormat="1" applyFont="1" applyFill="1" applyBorder="1" applyAlignment="1">
      <alignment horizontal="center" vertical="center"/>
    </xf>
    <xf numFmtId="2" fontId="52" fillId="20" borderId="18" xfId="0" applyNumberFormat="1" applyFont="1" applyFill="1" applyBorder="1" applyAlignment="1">
      <alignment horizontal="center" vertical="center"/>
    </xf>
    <xf numFmtId="0" fontId="53" fillId="20" borderId="14" xfId="0" applyFont="1" applyFill="1" applyBorder="1" applyAlignment="1">
      <alignment horizontal="center" vertical="center"/>
    </xf>
    <xf numFmtId="0" fontId="53" fillId="20" borderId="18" xfId="0" applyFont="1" applyFill="1" applyBorder="1" applyAlignment="1">
      <alignment horizontal="center" vertical="center"/>
    </xf>
    <xf numFmtId="0" fontId="56" fillId="24" borderId="29" xfId="0" applyFont="1" applyFill="1" applyBorder="1" applyAlignment="1">
      <alignment horizontal="center" vertical="center"/>
    </xf>
    <xf numFmtId="0" fontId="56" fillId="24" borderId="30" xfId="0" applyFont="1" applyFill="1" applyBorder="1" applyAlignment="1">
      <alignment horizontal="center" vertical="center"/>
    </xf>
    <xf numFmtId="0" fontId="55" fillId="24" borderId="30" xfId="0" applyFont="1" applyFill="1" applyBorder="1" applyAlignment="1">
      <alignment horizontal="center" vertical="center"/>
    </xf>
    <xf numFmtId="0" fontId="56" fillId="25" borderId="30" xfId="0" applyFont="1" applyFill="1" applyBorder="1" applyAlignment="1">
      <alignment horizontal="center" vertical="center"/>
    </xf>
    <xf numFmtId="0" fontId="56" fillId="26" borderId="29" xfId="0" applyFont="1" applyFill="1" applyBorder="1" applyAlignment="1">
      <alignment horizontal="center" vertical="center"/>
    </xf>
    <xf numFmtId="0" fontId="56" fillId="26" borderId="30" xfId="0" applyFont="1" applyFill="1" applyBorder="1" applyAlignment="1">
      <alignment horizontal="center" vertical="center"/>
    </xf>
    <xf numFmtId="0" fontId="56" fillId="26" borderId="31" xfId="0" applyFont="1" applyFill="1" applyBorder="1" applyAlignment="1">
      <alignment horizontal="center" vertical="center"/>
    </xf>
    <xf numFmtId="0" fontId="55" fillId="0" borderId="0" xfId="0" applyFont="1" applyAlignment="1">
      <alignment vertical="center"/>
    </xf>
    <xf numFmtId="0" fontId="57" fillId="24" borderId="32" xfId="0" applyFont="1" applyFill="1" applyBorder="1" applyAlignment="1">
      <alignment horizontal="center" vertical="center"/>
    </xf>
    <xf numFmtId="2" fontId="59" fillId="27" borderId="34" xfId="0" applyNumberFormat="1" applyFont="1" applyFill="1" applyBorder="1" applyAlignment="1">
      <alignment horizontal="center" vertical="center"/>
    </xf>
    <xf numFmtId="9" fontId="49" fillId="29" borderId="33" xfId="0" applyNumberFormat="1" applyFont="1" applyFill="1" applyBorder="1" applyAlignment="1">
      <alignment horizontal="center" vertical="center"/>
    </xf>
    <xf numFmtId="3" fontId="60" fillId="30" borderId="40" xfId="0" applyNumberFormat="1" applyFont="1" applyFill="1" applyBorder="1" applyAlignment="1">
      <alignment horizontal="right" vertical="center"/>
    </xf>
    <xf numFmtId="2" fontId="46" fillId="31" borderId="34" xfId="2" applyNumberFormat="1" applyFont="1" applyFill="1" applyBorder="1" applyAlignment="1">
      <alignment horizontal="center" vertical="center"/>
    </xf>
    <xf numFmtId="0" fontId="61" fillId="32" borderId="34" xfId="0" applyFont="1" applyFill="1" applyBorder="1" applyAlignment="1">
      <alignment horizontal="center" vertical="center"/>
    </xf>
    <xf numFmtId="1" fontId="62" fillId="33" borderId="34" xfId="0" applyNumberFormat="1" applyFont="1" applyFill="1" applyBorder="1" applyAlignment="1">
      <alignment horizontal="center" vertical="center"/>
    </xf>
    <xf numFmtId="4" fontId="46" fillId="34" borderId="34" xfId="0" applyNumberFormat="1" applyFont="1" applyFill="1" applyBorder="1" applyAlignment="1">
      <alignment horizontal="center" vertical="center"/>
    </xf>
    <xf numFmtId="0" fontId="46" fillId="27" borderId="34" xfId="0" applyFont="1" applyFill="1" applyBorder="1" applyAlignment="1">
      <alignment horizontal="center" vertical="center"/>
    </xf>
    <xf numFmtId="2" fontId="63" fillId="31" borderId="34" xfId="0" applyNumberFormat="1" applyFont="1" applyFill="1" applyBorder="1" applyAlignment="1">
      <alignment horizontal="center" vertical="center"/>
    </xf>
    <xf numFmtId="1" fontId="46" fillId="31" borderId="34" xfId="0" applyNumberFormat="1" applyFont="1" applyFill="1" applyBorder="1" applyAlignment="1">
      <alignment horizontal="center" vertical="center"/>
    </xf>
    <xf numFmtId="14" fontId="46" fillId="27" borderId="41" xfId="0" applyNumberFormat="1" applyFont="1" applyFill="1" applyBorder="1" applyAlignment="1">
      <alignment horizontal="center" vertical="center"/>
    </xf>
    <xf numFmtId="0" fontId="46" fillId="24" borderId="42" xfId="0" applyFont="1" applyFill="1" applyBorder="1" applyAlignment="1">
      <alignment horizontal="center" vertical="center"/>
    </xf>
    <xf numFmtId="0" fontId="64" fillId="27" borderId="37" xfId="0" applyFont="1" applyFill="1" applyBorder="1" applyAlignment="1">
      <alignment horizontal="center" vertical="center"/>
    </xf>
    <xf numFmtId="2" fontId="46" fillId="27" borderId="35" xfId="0" applyNumberFormat="1" applyFont="1" applyFill="1" applyBorder="1" applyAlignment="1">
      <alignment horizontal="center" vertical="center"/>
    </xf>
    <xf numFmtId="0" fontId="46" fillId="35" borderId="45" xfId="0" applyFont="1" applyFill="1" applyBorder="1" applyAlignment="1">
      <alignment horizontal="center" vertical="center"/>
    </xf>
    <xf numFmtId="0" fontId="59" fillId="27" borderId="35" xfId="0" applyFont="1" applyFill="1" applyBorder="1" applyAlignment="1">
      <alignment horizontal="center" vertical="center"/>
    </xf>
    <xf numFmtId="0" fontId="46" fillId="36" borderId="45" xfId="0" applyFont="1" applyFill="1" applyBorder="1" applyAlignment="1">
      <alignment horizontal="center" vertical="center"/>
    </xf>
    <xf numFmtId="2" fontId="50" fillId="25" borderId="47" xfId="0" applyNumberFormat="1" applyFont="1" applyFill="1" applyBorder="1" applyAlignment="1">
      <alignment horizontal="center" vertical="center"/>
    </xf>
    <xf numFmtId="1" fontId="47" fillId="25" borderId="2" xfId="0" applyNumberFormat="1" applyFont="1" applyFill="1" applyBorder="1" applyAlignment="1">
      <alignment vertical="center"/>
    </xf>
    <xf numFmtId="0" fontId="47" fillId="25" borderId="2" xfId="0" applyFont="1" applyFill="1" applyBorder="1" applyAlignment="1">
      <alignment horizontal="center" vertical="center"/>
    </xf>
    <xf numFmtId="1" fontId="47" fillId="25" borderId="2" xfId="0" applyNumberFormat="1" applyFont="1" applyFill="1" applyBorder="1" applyAlignment="1">
      <alignment horizontal="center" vertical="center"/>
    </xf>
    <xf numFmtId="4" fontId="50" fillId="26" borderId="47" xfId="0" applyNumberFormat="1" applyFont="1" applyFill="1" applyBorder="1" applyAlignment="1">
      <alignment horizontal="center" vertical="center"/>
    </xf>
    <xf numFmtId="0" fontId="47" fillId="26" borderId="2" xfId="0" applyFont="1" applyFill="1" applyBorder="1" applyAlignment="1">
      <alignment horizontal="center" vertical="center"/>
    </xf>
    <xf numFmtId="4" fontId="50" fillId="26" borderId="37" xfId="0" applyNumberFormat="1" applyFont="1" applyFill="1" applyBorder="1" applyAlignment="1">
      <alignment horizontal="center" vertical="center"/>
    </xf>
    <xf numFmtId="0" fontId="65" fillId="24" borderId="32" xfId="0" applyFont="1" applyFill="1" applyBorder="1" applyAlignment="1">
      <alignment horizontal="center" vertical="center"/>
    </xf>
    <xf numFmtId="2" fontId="64" fillId="19" borderId="2" xfId="0" applyNumberFormat="1" applyFont="1" applyFill="1" applyBorder="1" applyAlignment="1">
      <alignment horizontal="center" vertical="center"/>
    </xf>
    <xf numFmtId="2" fontId="64" fillId="19" borderId="48" xfId="0" applyNumberFormat="1" applyFont="1" applyFill="1" applyBorder="1" applyAlignment="1">
      <alignment horizontal="center" vertical="center"/>
    </xf>
    <xf numFmtId="10" fontId="64" fillId="19" borderId="2" xfId="2" applyNumberFormat="1" applyFont="1" applyFill="1" applyBorder="1" applyAlignment="1">
      <alignment horizontal="center" vertical="center"/>
    </xf>
    <xf numFmtId="164" fontId="64" fillId="19" borderId="2" xfId="2" applyNumberFormat="1" applyFont="1" applyFill="1" applyBorder="1" applyAlignment="1">
      <alignment horizontal="center" vertical="center"/>
    </xf>
    <xf numFmtId="3" fontId="60" fillId="30" borderId="50" xfId="0" applyNumberFormat="1" applyFont="1" applyFill="1" applyBorder="1" applyAlignment="1">
      <alignment horizontal="right" vertical="center"/>
    </xf>
    <xf numFmtId="0" fontId="46" fillId="24" borderId="45" xfId="0" applyFont="1" applyFill="1" applyBorder="1" applyAlignment="1">
      <alignment horizontal="center" vertical="center"/>
    </xf>
    <xf numFmtId="1" fontId="59" fillId="27" borderId="34" xfId="0" applyNumberFormat="1" applyFont="1" applyFill="1" applyBorder="1" applyAlignment="1">
      <alignment horizontal="center" vertical="center"/>
    </xf>
    <xf numFmtId="0" fontId="47" fillId="26" borderId="47" xfId="0" applyFont="1" applyFill="1" applyBorder="1" applyAlignment="1">
      <alignment horizontal="center" vertical="center"/>
    </xf>
    <xf numFmtId="0" fontId="66" fillId="24" borderId="32" xfId="0" applyFont="1" applyFill="1" applyBorder="1" applyAlignment="1">
      <alignment horizontal="center" vertical="center"/>
    </xf>
    <xf numFmtId="1" fontId="59" fillId="27" borderId="2" xfId="0" applyNumberFormat="1" applyFont="1" applyFill="1" applyBorder="1" applyAlignment="1">
      <alignment horizontal="center" vertical="center"/>
    </xf>
    <xf numFmtId="0" fontId="46" fillId="27" borderId="35" xfId="0" applyFont="1" applyFill="1" applyBorder="1" applyAlignment="1">
      <alignment horizontal="center" vertical="center"/>
    </xf>
    <xf numFmtId="3" fontId="60" fillId="30" borderId="51" xfId="0" applyNumberFormat="1" applyFont="1" applyFill="1" applyBorder="1" applyAlignment="1">
      <alignment horizontal="right" vertical="center"/>
    </xf>
    <xf numFmtId="2" fontId="59" fillId="27" borderId="2" xfId="0" applyNumberFormat="1" applyFont="1" applyFill="1" applyBorder="1" applyAlignment="1">
      <alignment horizontal="center" vertical="center"/>
    </xf>
    <xf numFmtId="9" fontId="64" fillId="29" borderId="33" xfId="0" applyNumberFormat="1" applyFont="1" applyFill="1" applyBorder="1" applyAlignment="1">
      <alignment horizontal="center" vertical="center"/>
    </xf>
    <xf numFmtId="9" fontId="64" fillId="24" borderId="52" xfId="0" applyNumberFormat="1" applyFont="1" applyFill="1" applyBorder="1" applyAlignment="1">
      <alignment horizontal="center" vertical="center"/>
    </xf>
    <xf numFmtId="9" fontId="64" fillId="24" borderId="33" xfId="0" applyNumberFormat="1" applyFont="1" applyFill="1" applyBorder="1" applyAlignment="1">
      <alignment horizontal="center" vertical="center"/>
    </xf>
    <xf numFmtId="9" fontId="64" fillId="37" borderId="52" xfId="0" applyNumberFormat="1" applyFont="1" applyFill="1" applyBorder="1" applyAlignment="1">
      <alignment horizontal="center" vertical="center"/>
    </xf>
    <xf numFmtId="9" fontId="64" fillId="37" borderId="33" xfId="0" applyNumberFormat="1" applyFont="1" applyFill="1" applyBorder="1" applyAlignment="1">
      <alignment horizontal="center" vertical="center"/>
    </xf>
    <xf numFmtId="2" fontId="62" fillId="33" borderId="34" xfId="0" applyNumberFormat="1" applyFont="1" applyFill="1" applyBorder="1" applyAlignment="1">
      <alignment horizontal="center" vertical="center"/>
    </xf>
    <xf numFmtId="9" fontId="64" fillId="38" borderId="52" xfId="0" applyNumberFormat="1" applyFont="1" applyFill="1" applyBorder="1" applyAlignment="1">
      <alignment horizontal="center" vertical="center"/>
    </xf>
    <xf numFmtId="4" fontId="68" fillId="26" borderId="37" xfId="0" applyNumberFormat="1" applyFont="1" applyFill="1" applyBorder="1" applyAlignment="1">
      <alignment horizontal="center" vertical="center"/>
    </xf>
    <xf numFmtId="9" fontId="64" fillId="24" borderId="53" xfId="0" applyNumberFormat="1" applyFont="1" applyFill="1" applyBorder="1" applyAlignment="1">
      <alignment horizontal="center" vertical="center"/>
    </xf>
    <xf numFmtId="9" fontId="49" fillId="29" borderId="54" xfId="0" applyNumberFormat="1" applyFont="1" applyFill="1" applyBorder="1" applyAlignment="1">
      <alignment horizontal="center" vertical="center"/>
    </xf>
    <xf numFmtId="3" fontId="60" fillId="30" borderId="56" xfId="0" applyNumberFormat="1" applyFont="1" applyFill="1" applyBorder="1" applyAlignment="1">
      <alignment horizontal="right" vertical="center"/>
    </xf>
    <xf numFmtId="0" fontId="70" fillId="19" borderId="2" xfId="0" applyFont="1" applyFill="1" applyBorder="1" applyAlignment="1">
      <alignment vertical="center"/>
    </xf>
    <xf numFmtId="0" fontId="47" fillId="26" borderId="57" xfId="0" applyFont="1" applyFill="1" applyBorder="1" applyAlignment="1">
      <alignment horizontal="center" vertical="center"/>
    </xf>
    <xf numFmtId="0" fontId="47" fillId="26" borderId="1" xfId="0" applyFont="1" applyFill="1" applyBorder="1" applyAlignment="1">
      <alignment horizontal="center" vertical="center"/>
    </xf>
    <xf numFmtId="4" fontId="50" fillId="26" borderId="58" xfId="0" applyNumberFormat="1" applyFont="1" applyFill="1" applyBorder="1" applyAlignment="1">
      <alignment horizontal="center" vertical="center"/>
    </xf>
    <xf numFmtId="0" fontId="48" fillId="39" borderId="0" xfId="0" applyFont="1" applyFill="1" applyAlignment="1">
      <alignment vertical="center"/>
    </xf>
    <xf numFmtId="0" fontId="50" fillId="35" borderId="47" xfId="0" applyFont="1" applyFill="1" applyBorder="1" applyAlignment="1">
      <alignment horizontal="center" vertical="center"/>
    </xf>
    <xf numFmtId="0" fontId="48" fillId="35" borderId="2" xfId="0" applyFont="1" applyFill="1" applyBorder="1" applyAlignment="1">
      <alignment vertical="center"/>
    </xf>
    <xf numFmtId="0" fontId="48" fillId="36" borderId="2" xfId="0" applyFont="1" applyFill="1" applyBorder="1" applyAlignment="1">
      <alignment vertical="center"/>
    </xf>
    <xf numFmtId="0" fontId="61" fillId="35" borderId="37" xfId="0" applyFont="1" applyFill="1" applyBorder="1" applyAlignment="1">
      <alignment horizontal="center" vertical="center"/>
    </xf>
    <xf numFmtId="0" fontId="46" fillId="24" borderId="32" xfId="0" applyFont="1" applyFill="1" applyBorder="1" applyAlignment="1">
      <alignment horizontal="center" vertical="center"/>
    </xf>
    <xf numFmtId="3" fontId="59" fillId="41" borderId="62" xfId="0" applyNumberFormat="1" applyFont="1" applyFill="1" applyBorder="1" applyAlignment="1">
      <alignment horizontal="right" vertical="center"/>
    </xf>
    <xf numFmtId="2" fontId="47" fillId="25" borderId="37" xfId="0" applyNumberFormat="1" applyFont="1" applyFill="1" applyBorder="1" applyAlignment="1">
      <alignment horizontal="center" vertical="center"/>
    </xf>
    <xf numFmtId="0" fontId="46" fillId="24" borderId="63" xfId="0" applyFont="1" applyFill="1" applyBorder="1" applyAlignment="1">
      <alignment horizontal="center" vertical="center"/>
    </xf>
    <xf numFmtId="0" fontId="49" fillId="19" borderId="69" xfId="0" applyFont="1" applyFill="1" applyBorder="1" applyAlignment="1">
      <alignment horizontal="center" vertical="center"/>
    </xf>
    <xf numFmtId="0" fontId="49" fillId="19" borderId="67" xfId="0" applyFont="1" applyFill="1" applyBorder="1" applyAlignment="1">
      <alignment horizontal="center" vertical="center"/>
    </xf>
    <xf numFmtId="0" fontId="49" fillId="19" borderId="70" xfId="0" applyFont="1" applyFill="1" applyBorder="1" applyAlignment="1">
      <alignment horizontal="center" vertical="center"/>
    </xf>
    <xf numFmtId="3" fontId="59" fillId="40" borderId="62" xfId="0" applyNumberFormat="1" applyFont="1" applyFill="1" applyBorder="1" applyAlignment="1">
      <alignment vertical="center"/>
    </xf>
    <xf numFmtId="0" fontId="57" fillId="35" borderId="32" xfId="0" applyFont="1" applyFill="1" applyBorder="1" applyAlignment="1">
      <alignment horizontal="center" vertical="center" wrapText="1"/>
    </xf>
    <xf numFmtId="0" fontId="64" fillId="27" borderId="33" xfId="0" applyFont="1" applyFill="1" applyBorder="1" applyAlignment="1">
      <alignment horizontal="center" vertical="center"/>
    </xf>
    <xf numFmtId="1" fontId="59" fillId="24" borderId="62" xfId="0" applyNumberFormat="1" applyFont="1" applyFill="1" applyBorder="1" applyAlignment="1">
      <alignment vertical="center"/>
    </xf>
    <xf numFmtId="14" fontId="46" fillId="27" borderId="41" xfId="0" applyNumberFormat="1" applyFont="1" applyFill="1" applyBorder="1" applyAlignment="1">
      <alignment horizontal="center" vertical="center" wrapText="1"/>
    </xf>
    <xf numFmtId="0" fontId="46" fillId="24" borderId="45"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46" fillId="36" borderId="45" xfId="0" applyFont="1" applyFill="1" applyBorder="1" applyAlignment="1">
      <alignment horizontal="center" vertical="center" wrapText="1"/>
    </xf>
    <xf numFmtId="0" fontId="71" fillId="35" borderId="32" xfId="0" applyFont="1" applyFill="1" applyBorder="1" applyAlignment="1">
      <alignment horizontal="center" vertical="center" wrapText="1"/>
    </xf>
    <xf numFmtId="1" fontId="59" fillId="35" borderId="62" xfId="0" applyNumberFormat="1" applyFont="1" applyFill="1" applyBorder="1" applyAlignment="1">
      <alignment vertical="center"/>
    </xf>
    <xf numFmtId="0" fontId="63" fillId="35" borderId="32" xfId="0" applyFont="1" applyFill="1" applyBorder="1" applyAlignment="1">
      <alignment horizontal="center" vertical="center" wrapText="1"/>
    </xf>
    <xf numFmtId="1" fontId="59" fillId="36" borderId="62" xfId="0" applyNumberFormat="1" applyFont="1" applyFill="1" applyBorder="1" applyAlignment="1">
      <alignment vertical="center"/>
    </xf>
    <xf numFmtId="0" fontId="72" fillId="39" borderId="0" xfId="0" applyFont="1" applyFill="1" applyAlignment="1">
      <alignment vertical="center"/>
    </xf>
    <xf numFmtId="9" fontId="59" fillId="27" borderId="61" xfId="0" applyNumberFormat="1" applyFont="1" applyFill="1" applyBorder="1" applyAlignment="1">
      <alignment horizontal="center" vertical="center"/>
    </xf>
    <xf numFmtId="0" fontId="46" fillId="41" borderId="72" xfId="0" applyFont="1" applyFill="1" applyBorder="1" applyAlignment="1">
      <alignment horizontal="center" vertical="center"/>
    </xf>
    <xf numFmtId="0" fontId="59" fillId="28" borderId="62" xfId="0" applyFont="1" applyFill="1" applyBorder="1" applyAlignment="1">
      <alignment horizontal="center" vertical="center"/>
    </xf>
    <xf numFmtId="0" fontId="46" fillId="41" borderId="62" xfId="0" applyFont="1" applyFill="1" applyBorder="1" applyAlignment="1">
      <alignment horizontal="center" vertical="center"/>
    </xf>
    <xf numFmtId="3" fontId="59" fillId="27" borderId="62" xfId="0" applyNumberFormat="1" applyFont="1" applyFill="1" applyBorder="1" applyAlignment="1">
      <alignment horizontal="center" vertical="center"/>
    </xf>
    <xf numFmtId="4" fontId="59" fillId="27" borderId="62" xfId="0" applyNumberFormat="1" applyFont="1" applyFill="1" applyBorder="1" applyAlignment="1">
      <alignment horizontal="center" vertical="center"/>
    </xf>
    <xf numFmtId="0" fontId="49" fillId="19" borderId="0" xfId="0" applyFont="1" applyFill="1" applyAlignment="1">
      <alignment vertical="center"/>
    </xf>
    <xf numFmtId="0" fontId="48" fillId="19" borderId="0" xfId="0" applyFont="1" applyFill="1" applyAlignment="1">
      <alignment vertical="center"/>
    </xf>
    <xf numFmtId="0" fontId="51" fillId="19" borderId="0" xfId="0" applyFont="1" applyFill="1" applyAlignment="1">
      <alignment vertical="center"/>
    </xf>
    <xf numFmtId="10" fontId="59" fillId="27" borderId="62" xfId="0" applyNumberFormat="1" applyFont="1" applyFill="1" applyBorder="1" applyAlignment="1">
      <alignment horizontal="center" vertical="center"/>
    </xf>
    <xf numFmtId="14" fontId="46" fillId="40" borderId="62" xfId="0" applyNumberFormat="1" applyFont="1" applyFill="1" applyBorder="1" applyAlignment="1">
      <alignment horizontal="center" vertical="center"/>
    </xf>
    <xf numFmtId="3" fontId="46" fillId="40" borderId="62" xfId="0" applyNumberFormat="1" applyFont="1" applyFill="1" applyBorder="1" applyAlignment="1">
      <alignment horizontal="center" vertical="center"/>
    </xf>
    <xf numFmtId="169" fontId="46" fillId="40" borderId="62" xfId="0" applyNumberFormat="1" applyFont="1" applyFill="1" applyBorder="1" applyAlignment="1">
      <alignment horizontal="center" vertical="center"/>
    </xf>
    <xf numFmtId="10" fontId="59" fillId="27" borderId="76" xfId="0" applyNumberFormat="1" applyFont="1" applyFill="1" applyBorder="1" applyAlignment="1">
      <alignment horizontal="center" vertical="center"/>
    </xf>
    <xf numFmtId="0" fontId="47" fillId="19" borderId="0" xfId="0" applyFont="1" applyFill="1" applyAlignment="1">
      <alignment vertical="center"/>
    </xf>
    <xf numFmtId="2" fontId="50" fillId="25" borderId="57" xfId="0" applyNumberFormat="1" applyFont="1" applyFill="1" applyBorder="1" applyAlignment="1">
      <alignment horizontal="center" vertical="center"/>
    </xf>
    <xf numFmtId="1" fontId="47" fillId="25" borderId="1" xfId="0" applyNumberFormat="1" applyFont="1" applyFill="1" applyBorder="1" applyAlignment="1">
      <alignment vertical="center"/>
    </xf>
    <xf numFmtId="0" fontId="47" fillId="25" borderId="1" xfId="0" applyFont="1" applyFill="1" applyBorder="1" applyAlignment="1">
      <alignment horizontal="center" vertical="center"/>
    </xf>
    <xf numFmtId="2" fontId="47" fillId="25" borderId="58" xfId="0" applyNumberFormat="1" applyFont="1" applyFill="1" applyBorder="1" applyAlignment="1">
      <alignment horizontal="center" vertical="center"/>
    </xf>
    <xf numFmtId="0" fontId="73" fillId="0" borderId="0" xfId="0" applyFont="1" applyAlignment="1">
      <alignment vertical="center"/>
    </xf>
    <xf numFmtId="0" fontId="50" fillId="24" borderId="29" xfId="0" applyFont="1" applyFill="1" applyBorder="1" applyAlignment="1">
      <alignment horizontal="center" vertical="center"/>
    </xf>
    <xf numFmtId="0" fontId="48" fillId="24" borderId="30" xfId="0" applyFont="1" applyFill="1" applyBorder="1" applyAlignment="1">
      <alignment vertical="center"/>
    </xf>
    <xf numFmtId="0" fontId="73" fillId="24" borderId="30" xfId="0" applyFont="1" applyFill="1" applyBorder="1" applyAlignment="1">
      <alignment vertical="center"/>
    </xf>
    <xf numFmtId="0" fontId="61" fillId="24" borderId="31" xfId="0" applyFont="1" applyFill="1" applyBorder="1" applyAlignment="1">
      <alignment horizontal="center" vertical="center"/>
    </xf>
    <xf numFmtId="0" fontId="74" fillId="19" borderId="0" xfId="0" applyFont="1" applyFill="1" applyAlignment="1">
      <alignment vertical="center"/>
    </xf>
    <xf numFmtId="2" fontId="50" fillId="25" borderId="37" xfId="0" applyNumberFormat="1" applyFont="1" applyFill="1" applyBorder="1" applyAlignment="1">
      <alignment horizontal="center" vertical="center"/>
    </xf>
    <xf numFmtId="0" fontId="64" fillId="27" borderId="54" xfId="0" applyFont="1" applyFill="1" applyBorder="1" applyAlignment="1">
      <alignment horizontal="center" vertical="center"/>
    </xf>
    <xf numFmtId="0" fontId="64" fillId="27" borderId="80" xfId="0" applyFont="1" applyFill="1" applyBorder="1" applyAlignment="1">
      <alignment horizontal="center" vertical="center"/>
    </xf>
    <xf numFmtId="1" fontId="59" fillId="27" borderId="81" xfId="0" applyNumberFormat="1" applyFont="1" applyFill="1" applyBorder="1" applyAlignment="1">
      <alignment horizontal="center" vertical="center"/>
    </xf>
    <xf numFmtId="2" fontId="59" fillId="36" borderId="44" xfId="0" applyNumberFormat="1" applyFont="1" applyFill="1" applyBorder="1" applyAlignment="1">
      <alignment vertical="center"/>
    </xf>
    <xf numFmtId="164" fontId="59" fillId="36" borderId="43" xfId="0" applyNumberFormat="1" applyFont="1" applyFill="1" applyBorder="1" applyAlignment="1">
      <alignment vertical="center"/>
    </xf>
    <xf numFmtId="164" fontId="59" fillId="36" borderId="82" xfId="0" applyNumberFormat="1" applyFont="1" applyFill="1" applyBorder="1" applyAlignment="1">
      <alignment vertical="center"/>
    </xf>
    <xf numFmtId="1" fontId="59" fillId="36" borderId="34" xfId="0" applyNumberFormat="1" applyFont="1" applyFill="1" applyBorder="1" applyAlignment="1">
      <alignment vertical="center"/>
    </xf>
    <xf numFmtId="1" fontId="59" fillId="36" borderId="38" xfId="0" applyNumberFormat="1" applyFont="1" applyFill="1" applyBorder="1" applyAlignment="1">
      <alignment vertical="center"/>
    </xf>
    <xf numFmtId="2" fontId="59" fillId="36" borderId="35" xfId="0" applyNumberFormat="1" applyFont="1" applyFill="1" applyBorder="1" applyAlignment="1">
      <alignment vertical="center"/>
    </xf>
    <xf numFmtId="164" fontId="59" fillId="36" borderId="2" xfId="0" applyNumberFormat="1" applyFont="1" applyFill="1" applyBorder="1" applyAlignment="1">
      <alignment vertical="center"/>
    </xf>
    <xf numFmtId="164" fontId="59" fillId="36" borderId="36" xfId="0" applyNumberFormat="1" applyFont="1" applyFill="1" applyBorder="1" applyAlignment="1">
      <alignment vertical="center"/>
    </xf>
    <xf numFmtId="1" fontId="59" fillId="27" borderId="77" xfId="0" applyNumberFormat="1" applyFont="1" applyFill="1" applyBorder="1" applyAlignment="1">
      <alignment horizontal="center" vertical="center"/>
    </xf>
    <xf numFmtId="2" fontId="59" fillId="36" borderId="84" xfId="0" applyNumberFormat="1" applyFont="1" applyFill="1" applyBorder="1" applyAlignment="1">
      <alignment vertical="center"/>
    </xf>
    <xf numFmtId="164" fontId="59" fillId="36" borderId="15" xfId="0" applyNumberFormat="1" applyFont="1" applyFill="1" applyBorder="1" applyAlignment="1">
      <alignment vertical="center"/>
    </xf>
    <xf numFmtId="164" fontId="59" fillId="36" borderId="79" xfId="0" applyNumberFormat="1" applyFont="1" applyFill="1" applyBorder="1" applyAlignment="1">
      <alignment vertical="center"/>
    </xf>
    <xf numFmtId="1" fontId="59" fillId="36" borderId="65" xfId="0" applyNumberFormat="1" applyFont="1" applyFill="1" applyBorder="1" applyAlignment="1">
      <alignment vertical="center"/>
    </xf>
    <xf numFmtId="1" fontId="59" fillId="36" borderId="85" xfId="0" applyNumberFormat="1" applyFont="1" applyFill="1" applyBorder="1" applyAlignment="1">
      <alignment vertical="center"/>
    </xf>
    <xf numFmtId="0" fontId="59" fillId="40" borderId="86" xfId="0" applyFont="1" applyFill="1" applyBorder="1" applyAlignment="1">
      <alignment horizontal="center" vertical="center"/>
    </xf>
    <xf numFmtId="1" fontId="59" fillId="40" borderId="77" xfId="0" applyNumberFormat="1" applyFont="1" applyFill="1" applyBorder="1" applyAlignment="1">
      <alignment horizontal="center" vertical="center"/>
    </xf>
    <xf numFmtId="0" fontId="59" fillId="40" borderId="78" xfId="0" applyFont="1" applyFill="1" applyBorder="1" applyAlignment="1">
      <alignment horizontal="center" vertical="center"/>
    </xf>
    <xf numFmtId="164" fontId="59" fillId="40" borderId="88" xfId="0" applyNumberFormat="1" applyFont="1" applyFill="1" applyBorder="1" applyAlignment="1">
      <alignment horizontal="right" vertical="center"/>
    </xf>
    <xf numFmtId="164" fontId="59" fillId="40" borderId="89" xfId="0" applyNumberFormat="1" applyFont="1" applyFill="1" applyBorder="1" applyAlignment="1">
      <alignment horizontal="right" vertical="center"/>
    </xf>
    <xf numFmtId="2" fontId="59" fillId="40" borderId="87" xfId="0" applyNumberFormat="1" applyFont="1" applyFill="1" applyBorder="1" applyAlignment="1">
      <alignment vertical="center"/>
    </xf>
    <xf numFmtId="1" fontId="59" fillId="40" borderId="77" xfId="0" applyNumberFormat="1" applyFont="1" applyFill="1" applyBorder="1" applyAlignment="1">
      <alignment vertical="center"/>
    </xf>
    <xf numFmtId="164" fontId="59" fillId="40" borderId="89" xfId="0" applyNumberFormat="1" applyFont="1" applyFill="1" applyBorder="1" applyAlignment="1">
      <alignment horizontal="center" vertical="center"/>
    </xf>
    <xf numFmtId="0" fontId="48" fillId="35" borderId="0" xfId="0" applyFont="1" applyFill="1" applyAlignment="1">
      <alignment vertical="center"/>
    </xf>
    <xf numFmtId="2" fontId="50" fillId="25" borderId="58" xfId="0" applyNumberFormat="1" applyFont="1" applyFill="1" applyBorder="1" applyAlignment="1">
      <alignment horizontal="center" vertical="center"/>
    </xf>
    <xf numFmtId="1" fontId="63"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2" fillId="33" borderId="34" xfId="55" applyNumberFormat="1" applyFont="1" applyFill="1" applyBorder="1" applyAlignment="1">
      <alignment horizontal="center" vertical="center"/>
    </xf>
    <xf numFmtId="0" fontId="52" fillId="23" borderId="91" xfId="0" applyFont="1" applyFill="1" applyBorder="1" applyAlignment="1">
      <alignment horizontal="center" vertical="center"/>
    </xf>
    <xf numFmtId="0" fontId="63" fillId="31" borderId="34" xfId="0" applyFont="1" applyFill="1" applyBorder="1" applyAlignment="1">
      <alignment horizontal="center" vertical="center"/>
    </xf>
    <xf numFmtId="0" fontId="50"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6" fillId="31" borderId="34" xfId="2" applyNumberFormat="1" applyFont="1" applyFill="1" applyBorder="1" applyAlignment="1">
      <alignment horizontal="center" vertical="center"/>
    </xf>
    <xf numFmtId="0" fontId="46" fillId="31" borderId="37" xfId="0" applyFont="1" applyFill="1" applyBorder="1" applyAlignment="1">
      <alignment horizontal="center" vertical="center"/>
    </xf>
    <xf numFmtId="0" fontId="59" fillId="27" borderId="34" xfId="0" applyFont="1" applyFill="1" applyBorder="1" applyAlignment="1">
      <alignment horizontal="center" vertical="center"/>
    </xf>
    <xf numFmtId="0" fontId="59" fillId="27" borderId="35" xfId="0" applyFont="1" applyFill="1" applyBorder="1" applyAlignment="1">
      <alignment vertical="center"/>
    </xf>
    <xf numFmtId="0" fontId="59" fillId="35" borderId="2" xfId="0" applyFont="1" applyFill="1" applyBorder="1" applyAlignment="1">
      <alignment vertical="center"/>
    </xf>
    <xf numFmtId="0" fontId="59" fillId="35" borderId="36" xfId="0" applyFont="1" applyFill="1" applyBorder="1" applyAlignment="1">
      <alignment vertical="center"/>
    </xf>
    <xf numFmtId="0" fontId="59" fillId="28" borderId="37" xfId="0" applyFont="1" applyFill="1" applyBorder="1" applyAlignment="1">
      <alignment vertical="center"/>
    </xf>
    <xf numFmtId="0" fontId="59" fillId="35" borderId="37" xfId="0" applyFont="1" applyFill="1" applyBorder="1" applyAlignment="1">
      <alignment vertical="center"/>
    </xf>
    <xf numFmtId="0" fontId="59" fillId="35" borderId="38" xfId="0" applyFont="1" applyFill="1" applyBorder="1" applyAlignment="1">
      <alignment vertical="center"/>
    </xf>
    <xf numFmtId="0" fontId="58" fillId="27" borderId="33" xfId="0" applyFont="1" applyFill="1" applyBorder="1" applyAlignment="1">
      <alignment horizontal="center" vertical="center"/>
    </xf>
    <xf numFmtId="0" fontId="59" fillId="24" borderId="2" xfId="0" applyFont="1" applyFill="1" applyBorder="1" applyAlignment="1">
      <alignment vertical="center"/>
    </xf>
    <xf numFmtId="0" fontId="59" fillId="24" borderId="36" xfId="0" applyFont="1" applyFill="1" applyBorder="1" applyAlignment="1">
      <alignment vertical="center"/>
    </xf>
    <xf numFmtId="0" fontId="59" fillId="24" borderId="34" xfId="0" applyFont="1" applyFill="1" applyBorder="1" applyAlignment="1">
      <alignment vertical="center"/>
    </xf>
    <xf numFmtId="0" fontId="59" fillId="24" borderId="38" xfId="0" applyFont="1" applyFill="1" applyBorder="1" applyAlignment="1">
      <alignment vertical="center"/>
    </xf>
    <xf numFmtId="0" fontId="67" fillId="27" borderId="33" xfId="0" applyFont="1" applyFill="1" applyBorder="1" applyAlignment="1">
      <alignment horizontal="center" vertical="center"/>
    </xf>
    <xf numFmtId="0" fontId="69" fillId="27" borderId="33" xfId="0" applyFont="1" applyFill="1" applyBorder="1" applyAlignment="1">
      <alignment horizontal="center" vertical="center"/>
    </xf>
    <xf numFmtId="0" fontId="69" fillId="27" borderId="64"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66" xfId="0" applyFont="1" applyFill="1" applyBorder="1" applyAlignment="1">
      <alignment vertical="center"/>
    </xf>
    <xf numFmtId="0" fontId="59" fillId="24" borderId="67" xfId="0" applyFont="1" applyFill="1" applyBorder="1" applyAlignment="1">
      <alignment vertical="center"/>
    </xf>
    <xf numFmtId="0" fontId="59" fillId="24" borderId="68" xfId="0" applyFont="1" applyFill="1" applyBorder="1" applyAlignment="1">
      <alignment vertical="center"/>
    </xf>
    <xf numFmtId="0" fontId="59" fillId="28" borderId="64" xfId="0" applyFont="1" applyFill="1" applyBorder="1" applyAlignment="1">
      <alignment vertical="center"/>
    </xf>
    <xf numFmtId="0" fontId="59" fillId="24" borderId="65" xfId="0" applyFont="1" applyFill="1" applyBorder="1" applyAlignment="1">
      <alignment vertical="center"/>
    </xf>
    <xf numFmtId="0" fontId="59" fillId="27" borderId="77" xfId="0" applyFont="1" applyFill="1" applyBorder="1" applyAlignment="1">
      <alignment horizontal="center" vertical="center"/>
    </xf>
    <xf numFmtId="0" fontId="59" fillId="27" borderId="78" xfId="0" applyFont="1" applyFill="1" applyBorder="1" applyAlignment="1">
      <alignment vertical="center"/>
    </xf>
    <xf numFmtId="0" fontId="59" fillId="35" borderId="15" xfId="0" applyFont="1" applyFill="1" applyBorder="1" applyAlignment="1">
      <alignment vertical="center"/>
    </xf>
    <xf numFmtId="0" fontId="59" fillId="35" borderId="79" xfId="0" applyFont="1" applyFill="1" applyBorder="1" applyAlignment="1">
      <alignment vertical="center"/>
    </xf>
    <xf numFmtId="0" fontId="59" fillId="35" borderId="65" xfId="0" applyFont="1" applyFill="1" applyBorder="1" applyAlignment="1">
      <alignment vertical="center"/>
    </xf>
    <xf numFmtId="0" fontId="59"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0" fillId="0" borderId="3" xfId="0" applyFont="1" applyBorder="1" applyAlignment="1">
      <alignment horizontal="center" vertical="center"/>
    </xf>
    <xf numFmtId="0" fontId="2" fillId="0" borderId="0" xfId="0" applyFont="1" applyAlignment="1">
      <alignment horizontal="center"/>
    </xf>
    <xf numFmtId="2" fontId="42"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59" fillId="36" borderId="37" xfId="0" applyFont="1" applyFill="1" applyBorder="1" applyAlignment="1">
      <alignment vertical="center"/>
    </xf>
    <xf numFmtId="0" fontId="59" fillId="36" borderId="64" xfId="0" applyFont="1" applyFill="1" applyBorder="1" applyAlignment="1">
      <alignment vertical="center"/>
    </xf>
    <xf numFmtId="0" fontId="75" fillId="28" borderId="87" xfId="0" applyFont="1" applyFill="1" applyBorder="1" applyAlignment="1">
      <alignment horizontal="center" vertical="center"/>
    </xf>
    <xf numFmtId="0" fontId="46" fillId="29" borderId="39" xfId="0" applyFont="1" applyFill="1" applyBorder="1" applyAlignment="1">
      <alignment horizontal="center" vertical="center"/>
    </xf>
    <xf numFmtId="0" fontId="46" fillId="29" borderId="49" xfId="0" applyFont="1" applyFill="1" applyBorder="1" applyAlignment="1">
      <alignment horizontal="center" vertical="center"/>
    </xf>
    <xf numFmtId="0" fontId="46" fillId="24" borderId="49" xfId="0" applyFont="1" applyFill="1" applyBorder="1" applyAlignment="1">
      <alignment horizontal="center" vertical="center"/>
    </xf>
    <xf numFmtId="0" fontId="46" fillId="37" borderId="49" xfId="0" applyFont="1" applyFill="1" applyBorder="1" applyAlignment="1">
      <alignment horizontal="center" vertical="center"/>
    </xf>
    <xf numFmtId="0" fontId="59" fillId="38" borderId="49" xfId="0" applyFont="1" applyFill="1" applyBorder="1" applyAlignment="1">
      <alignment horizontal="right" vertical="center"/>
    </xf>
    <xf numFmtId="0" fontId="49" fillId="29" borderId="49" xfId="0" applyFont="1" applyFill="1" applyBorder="1" applyAlignment="1">
      <alignment horizontal="center" vertical="center"/>
    </xf>
    <xf numFmtId="0" fontId="49" fillId="29" borderId="55" xfId="0" applyFont="1" applyFill="1" applyBorder="1" applyAlignment="1">
      <alignment horizontal="center" vertical="center"/>
    </xf>
    <xf numFmtId="0" fontId="59" fillId="24" borderId="43" xfId="0" applyFont="1" applyFill="1" applyBorder="1" applyAlignment="1">
      <alignment horizontal="right" vertical="center"/>
    </xf>
    <xf numFmtId="0" fontId="59" fillId="24" borderId="44" xfId="0" applyFont="1" applyFill="1" applyBorder="1" applyAlignment="1">
      <alignment horizontal="right" vertical="center"/>
    </xf>
    <xf numFmtId="0" fontId="59" fillId="24" borderId="2" xfId="0" applyFont="1" applyFill="1" applyBorder="1" applyAlignment="1">
      <alignment horizontal="right" vertical="center"/>
    </xf>
    <xf numFmtId="0" fontId="59" fillId="24" borderId="35" xfId="0" applyFont="1" applyFill="1" applyBorder="1" applyAlignment="1">
      <alignment horizontal="right" vertical="center"/>
    </xf>
    <xf numFmtId="0" fontId="46" fillId="31" borderId="93" xfId="0" applyFont="1" applyFill="1" applyBorder="1" applyAlignment="1">
      <alignment horizontal="center" vertical="center"/>
    </xf>
    <xf numFmtId="0" fontId="59" fillId="35" borderId="2" xfId="0" applyFont="1" applyFill="1" applyBorder="1" applyAlignment="1">
      <alignment horizontal="right" vertical="center"/>
    </xf>
    <xf numFmtId="0" fontId="59" fillId="35" borderId="46" xfId="0" applyFont="1" applyFill="1" applyBorder="1" applyAlignment="1">
      <alignment horizontal="right" vertical="center"/>
    </xf>
    <xf numFmtId="0" fontId="59" fillId="35" borderId="35" xfId="0" applyFont="1" applyFill="1" applyBorder="1" applyAlignment="1">
      <alignment horizontal="right" vertical="center"/>
    </xf>
    <xf numFmtId="0" fontId="59" fillId="36" borderId="2" xfId="0" applyFont="1" applyFill="1" applyBorder="1" applyAlignment="1">
      <alignment horizontal="right" vertical="center"/>
    </xf>
    <xf numFmtId="0" fontId="59" fillId="36" borderId="35" xfId="0" applyFont="1" applyFill="1" applyBorder="1" applyAlignment="1">
      <alignment horizontal="right" vertical="center"/>
    </xf>
    <xf numFmtId="0" fontId="62" fillId="33" borderId="34" xfId="0" applyFont="1" applyFill="1" applyBorder="1" applyAlignment="1">
      <alignment horizontal="center" vertical="center"/>
    </xf>
    <xf numFmtId="0" fontId="52" fillId="21" borderId="25" xfId="0" applyFont="1" applyFill="1" applyBorder="1" applyAlignment="1">
      <alignment horizontal="center" vertical="center"/>
    </xf>
    <xf numFmtId="0" fontId="53" fillId="23" borderId="25" xfId="0" applyFont="1" applyFill="1" applyBorder="1" applyAlignment="1">
      <alignment horizontal="center" vertical="center"/>
    </xf>
    <xf numFmtId="0" fontId="52" fillId="23" borderId="25" xfId="0" applyFont="1" applyFill="1" applyBorder="1" applyAlignment="1">
      <alignment horizontal="center" vertical="center"/>
    </xf>
    <xf numFmtId="0" fontId="42" fillId="9" borderId="3" xfId="0" applyFont="1" applyFill="1" applyBorder="1" applyAlignment="1">
      <alignment vertical="center"/>
    </xf>
    <xf numFmtId="0" fontId="42" fillId="9" borderId="96" xfId="0" applyFont="1" applyFill="1" applyBorder="1" applyAlignment="1">
      <alignment vertical="center"/>
    </xf>
    <xf numFmtId="2" fontId="42"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41" fillId="10" borderId="103" xfId="0" applyFont="1" applyFill="1" applyBorder="1" applyAlignment="1">
      <alignment horizontal="right" vertical="center"/>
    </xf>
    <xf numFmtId="0" fontId="41" fillId="10" borderId="110" xfId="0" applyFont="1" applyFill="1" applyBorder="1" applyAlignment="1">
      <alignment horizontal="right" vertical="center"/>
    </xf>
    <xf numFmtId="0" fontId="41" fillId="10" borderId="112" xfId="0" applyFont="1" applyFill="1" applyBorder="1" applyAlignment="1">
      <alignment horizontal="right" vertical="center"/>
    </xf>
    <xf numFmtId="0" fontId="41"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1" fillId="10" borderId="104" xfId="0" applyFont="1" applyFill="1" applyBorder="1" applyAlignment="1">
      <alignment horizontal="right" vertical="center"/>
    </xf>
    <xf numFmtId="0" fontId="41" fillId="10" borderId="96" xfId="0" applyFont="1" applyFill="1" applyBorder="1" applyAlignment="1">
      <alignment horizontal="right" vertical="center"/>
    </xf>
    <xf numFmtId="0" fontId="41"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6"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78" fillId="10" borderId="97" xfId="55" applyNumberFormat="1" applyFont="1" applyFill="1" applyBorder="1" applyAlignment="1">
      <alignment horizontal="right" vertical="center"/>
    </xf>
    <xf numFmtId="0" fontId="76"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6"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1" fillId="10" borderId="114" xfId="0" applyFont="1" applyFill="1" applyBorder="1" applyAlignment="1">
      <alignment horizontal="right" vertical="center"/>
    </xf>
    <xf numFmtId="0" fontId="78" fillId="10" borderId="113" xfId="55" applyNumberFormat="1" applyFont="1" applyFill="1" applyBorder="1" applyAlignment="1">
      <alignment horizontal="right" vertical="center"/>
    </xf>
    <xf numFmtId="0" fontId="42" fillId="9" borderId="114" xfId="0" applyFont="1" applyFill="1" applyBorder="1" applyAlignment="1">
      <alignment vertical="center"/>
    </xf>
    <xf numFmtId="0" fontId="82"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1" fillId="10" borderId="121" xfId="0" applyFont="1" applyFill="1" applyBorder="1" applyAlignment="1">
      <alignment horizontal="right" vertical="center"/>
    </xf>
    <xf numFmtId="0" fontId="41"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6"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2" fillId="9" borderId="114" xfId="0" applyNumberFormat="1" applyFont="1" applyFill="1" applyBorder="1" applyAlignment="1">
      <alignment vertical="center"/>
    </xf>
    <xf numFmtId="170" fontId="3" fillId="0" borderId="0" xfId="55" applyNumberFormat="1" applyFont="1"/>
    <xf numFmtId="0" fontId="78" fillId="10" borderId="102" xfId="55" applyNumberFormat="1" applyFont="1" applyFill="1" applyBorder="1" applyAlignment="1">
      <alignment horizontal="right" vertical="center"/>
    </xf>
    <xf numFmtId="0" fontId="78"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3" fillId="22" borderId="25" xfId="0" applyFont="1" applyFill="1" applyBorder="1" applyAlignment="1">
      <alignment horizontal="center" vertical="center"/>
    </xf>
    <xf numFmtId="0" fontId="83" fillId="22" borderId="92" xfId="0" applyFont="1" applyFill="1" applyBorder="1" applyAlignment="1">
      <alignment horizontal="center" vertical="center"/>
    </xf>
    <xf numFmtId="2" fontId="3" fillId="0" borderId="0" xfId="0" applyNumberFormat="1" applyFont="1" applyAlignment="1">
      <alignment horizontal="center"/>
    </xf>
    <xf numFmtId="0" fontId="0" fillId="0" borderId="129" xfId="0" applyBorder="1" applyAlignment="1">
      <alignment horizontal="center"/>
    </xf>
    <xf numFmtId="2" fontId="84" fillId="0" borderId="0" xfId="0" applyNumberFormat="1" applyFont="1"/>
    <xf numFmtId="0" fontId="76"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1" fillId="10" borderId="132" xfId="0" applyFont="1" applyFill="1" applyBorder="1" applyAlignment="1">
      <alignment horizontal="right" vertical="center"/>
    </xf>
    <xf numFmtId="0" fontId="41"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6"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2" fillId="9" borderId="132" xfId="0" applyFont="1" applyFill="1" applyBorder="1" applyAlignment="1">
      <alignment vertical="center"/>
    </xf>
    <xf numFmtId="0" fontId="78" fillId="10" borderId="137" xfId="55" applyNumberFormat="1" applyFont="1" applyFill="1" applyBorder="1" applyAlignment="1">
      <alignment horizontal="right" vertical="center"/>
    </xf>
    <xf numFmtId="0" fontId="76" fillId="10" borderId="137" xfId="0" applyFont="1" applyFill="1" applyBorder="1" applyAlignment="1">
      <alignment horizontal="right" vertical="center"/>
    </xf>
    <xf numFmtId="0" fontId="78" fillId="10" borderId="135" xfId="55" applyNumberFormat="1" applyFont="1" applyFill="1" applyBorder="1" applyAlignment="1">
      <alignment horizontal="right" vertical="center"/>
    </xf>
    <xf numFmtId="0" fontId="76" fillId="10" borderId="9" xfId="0" applyFont="1" applyFill="1" applyBorder="1" applyAlignment="1">
      <alignment horizontal="left" vertical="center"/>
    </xf>
    <xf numFmtId="0" fontId="76" fillId="10" borderId="107" xfId="0" applyFont="1" applyFill="1" applyBorder="1" applyAlignment="1">
      <alignment horizontal="left" vertical="center"/>
    </xf>
    <xf numFmtId="0" fontId="76"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1" fillId="10" borderId="143" xfId="0" applyFont="1" applyFill="1" applyBorder="1" applyAlignment="1">
      <alignment horizontal="right" vertical="center"/>
    </xf>
    <xf numFmtId="0" fontId="41"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6" fillId="10" borderId="144" xfId="0" applyFont="1" applyFill="1" applyBorder="1" applyAlignment="1">
      <alignment horizontal="left" vertical="center"/>
    </xf>
    <xf numFmtId="0" fontId="76"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42" fillId="9" borderId="149" xfId="0" applyFont="1" applyFill="1" applyBorder="1" applyAlignment="1">
      <alignment vertical="center"/>
    </xf>
    <xf numFmtId="0" fontId="86" fillId="12" borderId="127" xfId="55" applyNumberFormat="1" applyFont="1" applyFill="1" applyBorder="1" applyAlignment="1">
      <alignment horizontal="center" vertical="center"/>
    </xf>
    <xf numFmtId="0" fontId="86"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6" fillId="10" borderId="107" xfId="0" applyFont="1" applyFill="1" applyBorder="1" applyAlignment="1">
      <alignment horizontal="right" vertical="center"/>
    </xf>
    <xf numFmtId="0" fontId="76" fillId="10" borderId="141" xfId="0" applyFont="1" applyFill="1" applyBorder="1" applyAlignment="1">
      <alignment horizontal="right" vertical="center"/>
    </xf>
    <xf numFmtId="0" fontId="87" fillId="10" borderId="117" xfId="0" applyFont="1" applyFill="1" applyBorder="1" applyAlignment="1">
      <alignment horizontal="left" vertical="center"/>
    </xf>
    <xf numFmtId="0" fontId="81" fillId="10" borderId="130" xfId="0" applyFont="1" applyFill="1" applyBorder="1" applyAlignment="1">
      <alignment horizontal="right"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1"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2" xfId="0" applyNumberFormat="1" applyFont="1" applyFill="1" applyBorder="1" applyAlignment="1">
      <alignment horizontal="center" vertical="center"/>
    </xf>
    <xf numFmtId="1" fontId="25" fillId="9" borderId="163"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64"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2" fillId="9" borderId="166" xfId="0" applyFont="1" applyFill="1" applyBorder="1" applyAlignment="1">
      <alignment vertical="center"/>
    </xf>
    <xf numFmtId="2" fontId="42"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2" fillId="9" borderId="167" xfId="0" applyFont="1" applyFill="1" applyBorder="1" applyAlignment="1">
      <alignment vertical="center"/>
    </xf>
    <xf numFmtId="0" fontId="90" fillId="16" borderId="8" xfId="15" applyFont="1" applyFill="1" applyBorder="1" applyAlignment="1">
      <alignment horizontal="center" vertical="center"/>
    </xf>
    <xf numFmtId="0" fontId="91" fillId="16" borderId="8" xfId="15" applyFont="1" applyFill="1" applyBorder="1" applyAlignment="1">
      <alignment horizontal="center" vertical="center"/>
    </xf>
    <xf numFmtId="0" fontId="92"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61"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0"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1" xfId="0" applyNumberFormat="1" applyFont="1" applyFill="1" applyBorder="1" applyAlignment="1">
      <alignment horizontal="center" vertical="center"/>
    </xf>
    <xf numFmtId="0" fontId="41" fillId="10" borderId="97" xfId="0" applyFont="1" applyFill="1" applyBorder="1" applyAlignment="1">
      <alignment horizontal="right" vertical="center"/>
    </xf>
    <xf numFmtId="0" fontId="41" fillId="10" borderId="169" xfId="0" applyFont="1" applyFill="1" applyBorder="1" applyAlignment="1">
      <alignment horizontal="right" vertical="center"/>
    </xf>
    <xf numFmtId="0" fontId="41" fillId="10" borderId="161" xfId="0" applyFont="1" applyFill="1" applyBorder="1" applyAlignment="1">
      <alignment horizontal="right" vertical="center"/>
    </xf>
    <xf numFmtId="0" fontId="41" fillId="10" borderId="102" xfId="0" applyFont="1" applyFill="1" applyBorder="1" applyAlignment="1">
      <alignment horizontal="right" vertical="center"/>
    </xf>
    <xf numFmtId="0" fontId="41" fillId="10" borderId="170" xfId="0" applyFont="1" applyFill="1" applyBorder="1" applyAlignment="1">
      <alignment horizontal="right" vertical="center"/>
    </xf>
    <xf numFmtId="0" fontId="41" fillId="10" borderId="137" xfId="0" applyFont="1" applyFill="1" applyBorder="1" applyAlignment="1">
      <alignment horizontal="right" vertical="center"/>
    </xf>
    <xf numFmtId="0" fontId="41"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1" fillId="10" borderId="107" xfId="0" applyFont="1" applyFill="1" applyBorder="1" applyAlignment="1">
      <alignment horizontal="right" vertical="center"/>
    </xf>
    <xf numFmtId="0" fontId="76" fillId="10" borderId="140" xfId="0" applyFont="1" applyFill="1" applyBorder="1" applyAlignment="1">
      <alignment horizontal="right" vertical="center"/>
    </xf>
    <xf numFmtId="0" fontId="39" fillId="10" borderId="161" xfId="55" applyNumberFormat="1" applyFont="1" applyFill="1" applyBorder="1" applyAlignment="1">
      <alignment horizontal="right" vertical="center"/>
    </xf>
    <xf numFmtId="0" fontId="31" fillId="9" borderId="161" xfId="0" applyFont="1" applyFill="1" applyBorder="1" applyAlignment="1">
      <alignment horizontal="center" vertical="center"/>
    </xf>
    <xf numFmtId="166" fontId="39" fillId="10" borderId="172" xfId="0" applyNumberFormat="1" applyFont="1" applyFill="1" applyBorder="1" applyAlignment="1">
      <alignment horizontal="center" vertical="center"/>
    </xf>
    <xf numFmtId="0" fontId="42" fillId="9" borderId="172" xfId="0" applyFont="1" applyFill="1" applyBorder="1" applyAlignment="1">
      <alignment vertical="center"/>
    </xf>
    <xf numFmtId="167" fontId="39" fillId="10" borderId="176" xfId="55" applyNumberFormat="1" applyFont="1" applyFill="1" applyBorder="1" applyAlignment="1">
      <alignment horizontal="right" vertical="center"/>
    </xf>
    <xf numFmtId="10" fontId="31" fillId="10" borderId="176" xfId="114" applyNumberFormat="1" applyFont="1" applyFill="1" applyBorder="1" applyAlignment="1">
      <alignment horizontal="right" vertical="center"/>
    </xf>
    <xf numFmtId="0" fontId="13" fillId="17" borderId="177" xfId="15" applyFont="1" applyFill="1" applyBorder="1" applyAlignment="1">
      <alignment horizontal="center" vertical="center"/>
    </xf>
    <xf numFmtId="167" fontId="39" fillId="10" borderId="178" xfId="55" applyNumberFormat="1" applyFont="1" applyFill="1" applyBorder="1" applyAlignment="1">
      <alignment horizontal="right" vertical="center"/>
    </xf>
    <xf numFmtId="10" fontId="31" fillId="10" borderId="178" xfId="114" applyNumberFormat="1" applyFont="1" applyFill="1" applyBorder="1" applyAlignment="1">
      <alignment horizontal="right" vertical="center"/>
    </xf>
    <xf numFmtId="10" fontId="90" fillId="10" borderId="176" xfId="114" applyNumberFormat="1" applyFont="1" applyFill="1" applyBorder="1" applyAlignment="1">
      <alignment horizontal="right" vertical="center"/>
    </xf>
    <xf numFmtId="10" fontId="90" fillId="10" borderId="10" xfId="114" applyNumberFormat="1" applyFont="1" applyFill="1" applyBorder="1" applyAlignment="1">
      <alignment horizontal="right" vertical="center"/>
    </xf>
    <xf numFmtId="10" fontId="90" fillId="10" borderId="17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78"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7" fillId="9" borderId="103" xfId="0" applyFont="1" applyFill="1" applyBorder="1" applyAlignment="1">
      <alignment horizontal="center" vertical="center"/>
    </xf>
    <xf numFmtId="0" fontId="77" fillId="9" borderId="97" xfId="0" applyFont="1" applyFill="1" applyBorder="1" applyAlignment="1">
      <alignment horizontal="center" vertical="center"/>
    </xf>
    <xf numFmtId="1" fontId="84" fillId="11" borderId="152" xfId="77" applyNumberFormat="1" applyFont="1" applyFill="1" applyBorder="1" applyAlignment="1">
      <alignment horizontal="center" vertical="center"/>
    </xf>
    <xf numFmtId="1" fontId="93" fillId="11" borderId="152" xfId="77" applyNumberFormat="1" applyFont="1" applyFill="1" applyBorder="1" applyAlignment="1">
      <alignment horizontal="center" vertical="center"/>
    </xf>
    <xf numFmtId="1" fontId="93" fillId="11" borderId="150" xfId="77" applyNumberFormat="1" applyFont="1" applyFill="1" applyBorder="1" applyAlignment="1">
      <alignment horizontal="center" vertical="center"/>
    </xf>
    <xf numFmtId="1" fontId="94" fillId="11" borderId="152" xfId="77" applyNumberFormat="1" applyFont="1" applyFill="1" applyBorder="1" applyAlignment="1">
      <alignment horizontal="center" vertical="center"/>
    </xf>
    <xf numFmtId="1" fontId="95" fillId="11" borderId="150" xfId="77" applyNumberFormat="1" applyFont="1" applyFill="1" applyBorder="1" applyAlignment="1">
      <alignment horizontal="center" vertical="center"/>
    </xf>
    <xf numFmtId="1" fontId="96" fillId="11" borderId="150" xfId="77" applyNumberFormat="1" applyFont="1" applyFill="1" applyBorder="1" applyAlignment="1">
      <alignment horizontal="center" vertical="center"/>
    </xf>
    <xf numFmtId="1" fontId="97" fillId="11" borderId="152" xfId="77" applyNumberFormat="1" applyFont="1" applyFill="1" applyBorder="1" applyAlignment="1">
      <alignment horizontal="center" vertical="center"/>
    </xf>
    <xf numFmtId="0" fontId="42" fillId="9" borderId="3" xfId="0" applyNumberFormat="1" applyFont="1" applyFill="1" applyBorder="1" applyAlignment="1">
      <alignment vertical="center"/>
    </xf>
    <xf numFmtId="0" fontId="42" fillId="9" borderId="96" xfId="0" applyNumberFormat="1" applyFont="1" applyFill="1" applyBorder="1" applyAlignment="1">
      <alignment vertical="center"/>
    </xf>
    <xf numFmtId="0" fontId="42" fillId="9" borderId="133" xfId="0" applyNumberFormat="1" applyFont="1" applyFill="1" applyBorder="1" applyAlignment="1">
      <alignment vertical="center"/>
    </xf>
    <xf numFmtId="3" fontId="80" fillId="7" borderId="180" xfId="0" applyNumberFormat="1" applyFont="1" applyFill="1" applyBorder="1" applyAlignment="1">
      <alignment horizontal="center" vertical="center"/>
    </xf>
    <xf numFmtId="3" fontId="80" fillId="7" borderId="181" xfId="0" applyNumberFormat="1" applyFont="1" applyFill="1" applyBorder="1" applyAlignment="1">
      <alignment horizontal="center" vertical="center"/>
    </xf>
    <xf numFmtId="3" fontId="79" fillId="7" borderId="182" xfId="0" applyNumberFormat="1" applyFont="1" applyFill="1" applyBorder="1" applyAlignment="1">
      <alignment horizontal="center" vertical="center"/>
    </xf>
    <xf numFmtId="3" fontId="79" fillId="7" borderId="183" xfId="0"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0" fontId="99" fillId="9" borderId="158" xfId="55" applyNumberFormat="1" applyFont="1" applyFill="1" applyBorder="1" applyAlignment="1">
      <alignment horizontal="center" vertical="center"/>
    </xf>
    <xf numFmtId="0" fontId="99" fillId="9" borderId="153" xfId="0" applyNumberFormat="1" applyFont="1" applyFill="1" applyBorder="1" applyAlignment="1">
      <alignment horizontal="center" vertical="center"/>
    </xf>
    <xf numFmtId="0" fontId="99"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2" fillId="9" borderId="153" xfId="0" applyNumberFormat="1" applyFont="1" applyFill="1" applyBorder="1" applyAlignment="1">
      <alignment horizontal="center" vertical="center"/>
    </xf>
    <xf numFmtId="2" fontId="42" fillId="9" borderId="154" xfId="0" applyNumberFormat="1" applyFont="1" applyFill="1" applyBorder="1" applyAlignment="1">
      <alignment horizontal="center" vertical="center"/>
    </xf>
    <xf numFmtId="2" fontId="42" fillId="9" borderId="157" xfId="0" applyNumberFormat="1" applyFont="1" applyFill="1" applyBorder="1" applyAlignment="1">
      <alignment horizontal="center" vertical="center"/>
    </xf>
    <xf numFmtId="2" fontId="0" fillId="0" borderId="0" xfId="0" applyNumberFormat="1" applyAlignment="1">
      <alignment horizontal="center"/>
    </xf>
    <xf numFmtId="2" fontId="42" fillId="9" borderId="96" xfId="0" applyNumberFormat="1" applyFont="1" applyFill="1" applyBorder="1" applyAlignment="1">
      <alignment horizontal="center" vertical="center"/>
    </xf>
    <xf numFmtId="2" fontId="42" fillId="9" borderId="114" xfId="0" applyNumberFormat="1" applyFont="1" applyFill="1" applyBorder="1" applyAlignment="1">
      <alignment horizontal="center" vertical="center"/>
    </xf>
    <xf numFmtId="2" fontId="42" fillId="9" borderId="165" xfId="0" applyNumberFormat="1" applyFont="1" applyFill="1" applyBorder="1" applyAlignment="1">
      <alignment horizontal="center" vertical="center"/>
    </xf>
    <xf numFmtId="2" fontId="3" fillId="0" borderId="0" xfId="0" applyNumberFormat="1" applyFont="1" applyAlignment="1">
      <alignment horizontal="center" vertical="center"/>
    </xf>
    <xf numFmtId="10" fontId="101" fillId="10" borderId="109" xfId="114" applyNumberFormat="1" applyFont="1" applyFill="1" applyBorder="1" applyAlignment="1">
      <alignment horizontal="center" vertical="center"/>
    </xf>
    <xf numFmtId="10" fontId="101" fillId="10" borderId="142" xfId="114" applyNumberFormat="1" applyFont="1" applyFill="1" applyBorder="1" applyAlignment="1">
      <alignment horizontal="center" vertical="center"/>
    </xf>
    <xf numFmtId="10" fontId="101" fillId="10" borderId="110" xfId="114" applyNumberFormat="1" applyFont="1" applyFill="1" applyBorder="1" applyAlignment="1">
      <alignment horizontal="center" vertical="center"/>
    </xf>
    <xf numFmtId="10" fontId="101" fillId="10" borderId="112" xfId="114" applyNumberFormat="1" applyFont="1" applyFill="1" applyBorder="1" applyAlignment="1">
      <alignment horizontal="center" vertical="center"/>
    </xf>
    <xf numFmtId="2" fontId="89" fillId="9" borderId="109" xfId="55" applyNumberFormat="1" applyFont="1" applyFill="1" applyBorder="1" applyAlignment="1">
      <alignment horizontal="center" vertical="center"/>
    </xf>
    <xf numFmtId="2" fontId="89" fillId="9" borderId="108" xfId="55" applyNumberFormat="1" applyFont="1" applyFill="1" applyBorder="1" applyAlignment="1">
      <alignment horizontal="center" vertical="center"/>
    </xf>
    <xf numFmtId="2" fontId="89" fillId="9" borderId="112" xfId="55" applyNumberFormat="1" applyFont="1" applyFill="1" applyBorder="1" applyAlignment="1">
      <alignment horizontal="center" vertical="center"/>
    </xf>
    <xf numFmtId="0" fontId="99" fillId="9" borderId="158" xfId="55" applyNumberFormat="1" applyFont="1" applyFill="1" applyBorder="1" applyAlignment="1">
      <alignment horizontal="left" vertical="center"/>
    </xf>
    <xf numFmtId="0" fontId="76" fillId="10" borderId="103" xfId="0" applyFont="1" applyFill="1" applyBorder="1" applyAlignment="1">
      <alignment horizontal="right" vertical="center"/>
    </xf>
    <xf numFmtId="0" fontId="76" fillId="10" borderId="120" xfId="0" applyFont="1" applyFill="1" applyBorder="1" applyAlignment="1">
      <alignment horizontal="right" vertical="center"/>
    </xf>
    <xf numFmtId="0" fontId="78" fillId="10" borderId="109" xfId="55" applyNumberFormat="1" applyFont="1" applyFill="1" applyBorder="1" applyAlignment="1">
      <alignment horizontal="right" vertical="center"/>
    </xf>
    <xf numFmtId="0" fontId="89" fillId="9" borderId="158" xfId="55" applyNumberFormat="1" applyFont="1" applyFill="1" applyBorder="1" applyAlignment="1">
      <alignment horizontal="right" vertical="center"/>
    </xf>
    <xf numFmtId="0" fontId="78" fillId="10" borderId="120" xfId="55" applyNumberFormat="1" applyFont="1" applyFill="1" applyBorder="1" applyAlignment="1">
      <alignment horizontal="right" vertical="center"/>
    </xf>
    <xf numFmtId="0" fontId="89" fillId="9" borderId="108" xfId="55" applyNumberFormat="1" applyFont="1" applyFill="1" applyBorder="1" applyAlignment="1">
      <alignment horizontal="right" vertical="center"/>
    </xf>
    <xf numFmtId="0" fontId="78" fillId="10" borderId="103" xfId="55" applyNumberFormat="1" applyFont="1" applyFill="1" applyBorder="1" applyAlignment="1">
      <alignment horizontal="right" vertical="center"/>
    </xf>
    <xf numFmtId="0" fontId="78" fillId="10" borderId="142" xfId="55" applyNumberFormat="1" applyFont="1" applyFill="1" applyBorder="1" applyAlignment="1">
      <alignment horizontal="right" vertical="center"/>
    </xf>
    <xf numFmtId="0" fontId="89" fillId="9" borderId="179" xfId="55" applyNumberFormat="1" applyFont="1" applyFill="1" applyBorder="1" applyAlignment="1">
      <alignment horizontal="right" vertical="center"/>
    </xf>
    <xf numFmtId="0" fontId="102" fillId="9" borderId="108" xfId="55" applyNumberFormat="1" applyFont="1" applyFill="1" applyBorder="1" applyAlignment="1">
      <alignment horizontal="right" vertical="center"/>
    </xf>
    <xf numFmtId="0" fontId="102" fillId="9" borderId="179" xfId="55" applyNumberFormat="1" applyFont="1" applyFill="1" applyBorder="1" applyAlignment="1">
      <alignment horizontal="right" vertical="center"/>
    </xf>
    <xf numFmtId="0" fontId="102" fillId="9" borderId="158" xfId="55" applyNumberFormat="1" applyFont="1" applyFill="1" applyBorder="1" applyAlignment="1">
      <alignment horizontal="right" vertical="center"/>
    </xf>
    <xf numFmtId="0" fontId="31" fillId="9" borderId="179" xfId="0" applyFont="1" applyFill="1" applyBorder="1" applyAlignment="1">
      <alignment horizontal="center" vertical="center"/>
    </xf>
    <xf numFmtId="10" fontId="103" fillId="10" borderId="109" xfId="114" applyNumberFormat="1" applyFont="1" applyFill="1" applyBorder="1" applyAlignment="1">
      <alignment horizontal="center" vertical="center"/>
    </xf>
    <xf numFmtId="10" fontId="103" fillId="10" borderId="108" xfId="114" applyNumberFormat="1" applyFont="1" applyFill="1" applyBorder="1" applyAlignment="1">
      <alignment horizontal="center" vertical="center"/>
    </xf>
    <xf numFmtId="10" fontId="103" fillId="10" borderId="147" xfId="114" applyNumberFormat="1" applyFont="1" applyFill="1" applyBorder="1" applyAlignment="1">
      <alignment horizontal="center" vertical="center"/>
    </xf>
    <xf numFmtId="10" fontId="103" fillId="10" borderId="110" xfId="114" applyNumberFormat="1" applyFont="1" applyFill="1" applyBorder="1" applyAlignment="1">
      <alignment horizontal="center" vertical="center"/>
    </xf>
    <xf numFmtId="10" fontId="103" fillId="10" borderId="112" xfId="114" applyNumberFormat="1" applyFont="1" applyFill="1" applyBorder="1" applyAlignment="1">
      <alignment horizontal="center" vertical="center"/>
    </xf>
    <xf numFmtId="10" fontId="103" fillId="10" borderId="131" xfId="114" applyNumberFormat="1" applyFont="1" applyFill="1" applyBorder="1" applyAlignment="1">
      <alignment horizontal="center" vertical="center"/>
    </xf>
    <xf numFmtId="0" fontId="99" fillId="9" borderId="3" xfId="55" applyNumberFormat="1" applyFont="1" applyFill="1" applyBorder="1" applyAlignment="1">
      <alignment vertical="center"/>
    </xf>
    <xf numFmtId="0" fontId="99" fillId="9" borderId="105" xfId="55" applyNumberFormat="1" applyFont="1" applyFill="1" applyBorder="1" applyAlignment="1">
      <alignment vertical="center"/>
    </xf>
    <xf numFmtId="0" fontId="99" fillId="9" borderId="114" xfId="55" applyNumberFormat="1" applyFont="1" applyFill="1" applyBorder="1" applyAlignment="1">
      <alignment vertical="center"/>
    </xf>
    <xf numFmtId="0" fontId="99" fillId="9" borderId="3" xfId="0" applyNumberFormat="1" applyFont="1" applyFill="1" applyBorder="1" applyAlignment="1">
      <alignment vertical="center"/>
    </xf>
    <xf numFmtId="0" fontId="99" fillId="9" borderId="96" xfId="0" applyNumberFormat="1" applyFont="1" applyFill="1" applyBorder="1" applyAlignment="1">
      <alignment vertical="center"/>
    </xf>
    <xf numFmtId="0" fontId="104" fillId="9" borderId="102" xfId="55" applyNumberFormat="1" applyFont="1" applyFill="1" applyBorder="1" applyAlignment="1">
      <alignment vertical="top"/>
    </xf>
    <xf numFmtId="0" fontId="104" fillId="9" borderId="106" xfId="55" applyNumberFormat="1" applyFont="1" applyFill="1" applyBorder="1" applyAlignment="1">
      <alignment vertical="top"/>
    </xf>
    <xf numFmtId="0" fontId="104" fillId="9" borderId="113" xfId="55" applyNumberFormat="1" applyFont="1" applyFill="1" applyBorder="1" applyAlignment="1">
      <alignment vertical="top"/>
    </xf>
    <xf numFmtId="0" fontId="104" fillId="9" borderId="3" xfId="55" applyNumberFormat="1" applyFont="1" applyFill="1" applyBorder="1" applyAlignment="1">
      <alignment vertical="top"/>
    </xf>
    <xf numFmtId="0" fontId="104" fillId="9" borderId="105" xfId="55" applyNumberFormat="1" applyFont="1" applyFill="1" applyBorder="1" applyAlignment="1">
      <alignment vertical="top"/>
    </xf>
    <xf numFmtId="0" fontId="104" fillId="9" borderId="114" xfId="55" applyNumberFormat="1" applyFont="1" applyFill="1" applyBorder="1" applyAlignment="1">
      <alignment vertical="top"/>
    </xf>
    <xf numFmtId="2" fontId="105" fillId="9" borderId="3" xfId="0" applyNumberFormat="1" applyFont="1" applyFill="1" applyBorder="1" applyAlignment="1">
      <alignment vertical="top"/>
    </xf>
    <xf numFmtId="2" fontId="105" fillId="9" borderId="96" xfId="0" applyNumberFormat="1" applyFont="1" applyFill="1" applyBorder="1" applyAlignment="1">
      <alignment vertical="top"/>
    </xf>
    <xf numFmtId="2" fontId="105" fillId="9" borderId="114" xfId="0" applyNumberFormat="1" applyFont="1" applyFill="1" applyBorder="1" applyAlignment="1">
      <alignment vertical="top"/>
    </xf>
    <xf numFmtId="2" fontId="105" fillId="9" borderId="146" xfId="0" applyNumberFormat="1" applyFont="1" applyFill="1" applyBorder="1" applyAlignment="1">
      <alignment vertical="top"/>
    </xf>
    <xf numFmtId="2" fontId="105" fillId="9" borderId="132" xfId="0" applyNumberFormat="1" applyFont="1" applyFill="1" applyBorder="1" applyAlignment="1">
      <alignment vertical="top"/>
    </xf>
    <xf numFmtId="2" fontId="105" fillId="9" borderId="168" xfId="0" applyNumberFormat="1" applyFont="1" applyFill="1" applyBorder="1" applyAlignment="1">
      <alignment vertical="top"/>
    </xf>
    <xf numFmtId="2" fontId="105" fillId="9" borderId="143" xfId="0" applyNumberFormat="1" applyFont="1" applyFill="1" applyBorder="1" applyAlignment="1">
      <alignment vertical="top"/>
    </xf>
    <xf numFmtId="0" fontId="105" fillId="9" borderId="3" xfId="0" applyNumberFormat="1" applyFont="1" applyFill="1" applyBorder="1" applyAlignment="1">
      <alignment vertical="top"/>
    </xf>
    <xf numFmtId="0" fontId="105" fillId="9" borderId="96" xfId="0" applyNumberFormat="1" applyFont="1" applyFill="1" applyBorder="1" applyAlignment="1">
      <alignment vertical="top"/>
    </xf>
    <xf numFmtId="0" fontId="105" fillId="9" borderId="114" xfId="0" applyNumberFormat="1" applyFont="1" applyFill="1" applyBorder="1" applyAlignment="1">
      <alignment vertical="top"/>
    </xf>
    <xf numFmtId="0" fontId="105" fillId="9" borderId="132" xfId="0" applyNumberFormat="1" applyFont="1" applyFill="1" applyBorder="1" applyAlignment="1">
      <alignment vertical="top"/>
    </xf>
    <xf numFmtId="165" fontId="105" fillId="9" borderId="3" xfId="0" applyNumberFormat="1" applyFont="1" applyFill="1" applyBorder="1" applyAlignment="1">
      <alignment vertical="top"/>
    </xf>
    <xf numFmtId="0" fontId="106" fillId="0" borderId="0" xfId="0" applyFont="1" applyAlignment="1">
      <alignment vertical="top"/>
    </xf>
    <xf numFmtId="0" fontId="99" fillId="9" borderId="114" xfId="0" applyNumberFormat="1" applyFont="1" applyFill="1" applyBorder="1" applyAlignment="1">
      <alignment vertical="center"/>
    </xf>
    <xf numFmtId="0" fontId="38" fillId="9" borderId="175" xfId="0" applyFont="1" applyFill="1" applyBorder="1" applyAlignment="1">
      <alignment vertical="center"/>
    </xf>
    <xf numFmtId="0" fontId="38" fillId="9" borderId="110" xfId="0" applyFont="1" applyFill="1" applyBorder="1" applyAlignment="1">
      <alignment vertical="center"/>
    </xf>
    <xf numFmtId="0" fontId="99" fillId="9" borderId="158" xfId="55" applyNumberFormat="1" applyFont="1" applyFill="1" applyBorder="1" applyAlignment="1">
      <alignment horizontal="right" vertical="center"/>
    </xf>
    <xf numFmtId="0" fontId="104" fillId="9" borderId="195" xfId="55" applyNumberFormat="1" applyFont="1" applyFill="1" applyBorder="1" applyAlignment="1">
      <alignment vertical="top"/>
    </xf>
    <xf numFmtId="2" fontId="42" fillId="9" borderId="156" xfId="0" applyNumberFormat="1" applyFont="1" applyFill="1" applyBorder="1" applyAlignment="1">
      <alignment horizontal="center" vertical="center"/>
    </xf>
    <xf numFmtId="2" fontId="42" fillId="9" borderId="3" xfId="0" applyNumberFormat="1" applyFont="1" applyFill="1" applyBorder="1" applyAlignment="1">
      <alignment horizontal="center" vertical="center"/>
    </xf>
    <xf numFmtId="0" fontId="78" fillId="10" borderId="131" xfId="55" applyNumberFormat="1" applyFont="1" applyFill="1" applyBorder="1" applyAlignment="1">
      <alignment horizontal="right" vertical="center"/>
    </xf>
    <xf numFmtId="0" fontId="76" fillId="10" borderId="131" xfId="0" applyFont="1" applyFill="1" applyBorder="1" applyAlignment="1">
      <alignment horizontal="right" vertical="center"/>
    </xf>
    <xf numFmtId="0" fontId="89" fillId="9" borderId="197" xfId="55" applyNumberFormat="1" applyFont="1" applyFill="1" applyBorder="1" applyAlignment="1">
      <alignment horizontal="right" vertical="center"/>
    </xf>
    <xf numFmtId="0" fontId="102" fillId="9" borderId="197" xfId="55" applyNumberFormat="1" applyFont="1" applyFill="1" applyBorder="1" applyAlignment="1">
      <alignment horizontal="right" vertical="center"/>
    </xf>
    <xf numFmtId="0" fontId="31" fillId="9" borderId="197" xfId="0" applyFont="1" applyFill="1" applyBorder="1" applyAlignment="1">
      <alignment horizontal="center" vertical="center"/>
    </xf>
    <xf numFmtId="10" fontId="103"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1" fontId="25" fillId="9" borderId="198" xfId="0" applyNumberFormat="1" applyFont="1" applyFill="1" applyBorder="1" applyAlignment="1">
      <alignment horizontal="center" vertical="center"/>
    </xf>
    <xf numFmtId="2" fontId="99" fillId="9" borderId="196" xfId="0" applyNumberFormat="1" applyFont="1" applyFill="1" applyBorder="1" applyAlignment="1">
      <alignment horizontal="center" vertical="center"/>
    </xf>
    <xf numFmtId="2" fontId="89" fillId="9" borderId="135" xfId="55" applyNumberFormat="1" applyFont="1" applyFill="1" applyBorder="1" applyAlignment="1">
      <alignment horizontal="center" vertical="center"/>
    </xf>
    <xf numFmtId="0" fontId="104" fillId="9" borderId="133" xfId="55" applyNumberFormat="1" applyFont="1" applyFill="1" applyBorder="1" applyAlignment="1">
      <alignment vertical="top"/>
    </xf>
    <xf numFmtId="0" fontId="99" fillId="9" borderId="199" xfId="0" applyNumberFormat="1" applyFont="1" applyFill="1" applyBorder="1" applyAlignment="1">
      <alignment vertical="center"/>
    </xf>
    <xf numFmtId="1" fontId="25" fillId="9" borderId="202" xfId="0" applyNumberFormat="1" applyFont="1" applyFill="1" applyBorder="1" applyAlignment="1">
      <alignment horizontal="center" vertical="center"/>
    </xf>
    <xf numFmtId="2" fontId="99" fillId="9" borderId="158" xfId="55" applyNumberFormat="1" applyFont="1" applyFill="1" applyBorder="1" applyAlignment="1">
      <alignment horizontal="right" vertical="center"/>
    </xf>
    <xf numFmtId="2" fontId="99" fillId="9" borderId="201" xfId="0" applyNumberFormat="1" applyFont="1" applyFill="1" applyBorder="1" applyAlignment="1">
      <alignment horizontal="left" vertical="center"/>
    </xf>
    <xf numFmtId="2" fontId="99" fillId="9" borderId="160" xfId="55" applyNumberFormat="1" applyFont="1" applyFill="1" applyBorder="1" applyAlignment="1">
      <alignment horizontal="right" vertical="center"/>
    </xf>
    <xf numFmtId="2" fontId="99" fillId="9" borderId="196" xfId="0" applyNumberFormat="1" applyFont="1" applyFill="1" applyBorder="1" applyAlignment="1">
      <alignment horizontal="left" vertical="center"/>
    </xf>
    <xf numFmtId="0" fontId="86" fillId="12" borderId="193" xfId="55" applyNumberFormat="1" applyFont="1" applyFill="1" applyBorder="1" applyAlignment="1">
      <alignment horizontal="center" vertical="center"/>
    </xf>
    <xf numFmtId="0" fontId="86" fillId="12" borderId="191" xfId="55" applyNumberFormat="1" applyFont="1" applyFill="1" applyBorder="1" applyAlignment="1">
      <alignment horizontal="center" vertical="center"/>
    </xf>
    <xf numFmtId="164" fontId="99" fillId="9" borderId="160" xfId="55" applyNumberFormat="1" applyFont="1" applyFill="1" applyBorder="1" applyAlignment="1">
      <alignment horizontal="right" vertical="center"/>
    </xf>
    <xf numFmtId="0" fontId="99" fillId="9" borderId="203" xfId="0" applyNumberFormat="1" applyFont="1" applyFill="1" applyBorder="1" applyAlignment="1">
      <alignment vertical="center"/>
    </xf>
    <xf numFmtId="0" fontId="99" fillId="9" borderId="133" xfId="55" applyNumberFormat="1" applyFont="1" applyFill="1" applyBorder="1" applyAlignment="1">
      <alignment vertical="center"/>
    </xf>
    <xf numFmtId="0" fontId="104" fillId="9" borderId="204" xfId="55" applyNumberFormat="1" applyFont="1" applyFill="1" applyBorder="1" applyAlignment="1">
      <alignment vertical="top"/>
    </xf>
    <xf numFmtId="0" fontId="107" fillId="9" borderId="158" xfId="55" applyNumberFormat="1" applyFont="1" applyFill="1" applyBorder="1" applyAlignment="1">
      <alignment horizontal="left" vertical="center"/>
    </xf>
    <xf numFmtId="0" fontId="107" fillId="9" borderId="160" xfId="55" applyNumberFormat="1" applyFont="1" applyFill="1" applyBorder="1" applyAlignment="1">
      <alignment horizontal="right" vertical="center"/>
    </xf>
    <xf numFmtId="0" fontId="108" fillId="9" borderId="158" xfId="55" applyNumberFormat="1" applyFont="1" applyFill="1" applyBorder="1" applyAlignment="1">
      <alignment horizontal="left" vertical="center"/>
    </xf>
    <xf numFmtId="0" fontId="109" fillId="9" borderId="158" xfId="55" applyNumberFormat="1" applyFont="1" applyFill="1" applyBorder="1" applyAlignment="1">
      <alignment horizontal="left" vertical="center"/>
    </xf>
    <xf numFmtId="0" fontId="109" fillId="9" borderId="160" xfId="55" applyNumberFormat="1" applyFont="1" applyFill="1" applyBorder="1" applyAlignment="1">
      <alignment horizontal="right" vertical="center"/>
    </xf>
    <xf numFmtId="0" fontId="109" fillId="9" borderId="157" xfId="0" applyNumberFormat="1" applyFont="1" applyFill="1" applyBorder="1" applyAlignment="1">
      <alignment horizontal="right" vertical="center"/>
    </xf>
    <xf numFmtId="0" fontId="110" fillId="9" borderId="158" xfId="55" applyNumberFormat="1" applyFont="1" applyFill="1" applyBorder="1" applyAlignment="1">
      <alignment horizontal="right" vertical="center"/>
    </xf>
    <xf numFmtId="0" fontId="111" fillId="9" borderId="158" xfId="55" applyNumberFormat="1" applyFont="1" applyFill="1" applyBorder="1" applyAlignment="1">
      <alignment horizontal="right" vertical="center"/>
    </xf>
    <xf numFmtId="0" fontId="111" fillId="10" borderId="109" xfId="0" applyFont="1" applyFill="1" applyBorder="1" applyAlignment="1">
      <alignment horizontal="right" vertical="center"/>
    </xf>
    <xf numFmtId="0" fontId="110" fillId="10" borderId="109" xfId="55" applyNumberFormat="1" applyFont="1" applyFill="1" applyBorder="1" applyAlignment="1">
      <alignment horizontal="right" vertical="center"/>
    </xf>
    <xf numFmtId="0" fontId="112" fillId="9" borderId="103" xfId="0" applyFont="1" applyFill="1" applyBorder="1" applyAlignment="1">
      <alignment horizontal="center" vertical="center"/>
    </xf>
    <xf numFmtId="10" fontId="113" fillId="10" borderId="109" xfId="114" applyNumberFormat="1" applyFont="1" applyFill="1" applyBorder="1" applyAlignment="1">
      <alignment horizontal="center" vertical="center"/>
    </xf>
    <xf numFmtId="0" fontId="114" fillId="10" borderId="3" xfId="0" applyFont="1" applyFill="1" applyBorder="1" applyAlignment="1">
      <alignment horizontal="right" vertical="center"/>
    </xf>
    <xf numFmtId="0" fontId="114" fillId="10" borderId="109" xfId="0" applyFont="1" applyFill="1" applyBorder="1" applyAlignment="1">
      <alignment horizontal="right" vertical="center"/>
    </xf>
    <xf numFmtId="0" fontId="114" fillId="10" borderId="102" xfId="0" applyFont="1" applyFill="1" applyBorder="1" applyAlignment="1">
      <alignment horizontal="right" vertical="center"/>
    </xf>
    <xf numFmtId="0" fontId="115" fillId="10" borderId="109" xfId="0" applyFont="1" applyFill="1" applyBorder="1" applyAlignment="1">
      <alignment horizontal="right" vertical="center"/>
    </xf>
    <xf numFmtId="3" fontId="115" fillId="10" borderId="109" xfId="0" applyNumberFormat="1" applyFont="1" applyFill="1" applyBorder="1" applyAlignment="1">
      <alignment horizontal="right" vertical="center"/>
    </xf>
    <xf numFmtId="0" fontId="110" fillId="10" borderId="120" xfId="55" applyNumberFormat="1" applyFont="1" applyFill="1" applyBorder="1" applyAlignment="1">
      <alignment horizontal="right" vertical="center"/>
    </xf>
    <xf numFmtId="0" fontId="111" fillId="10" borderId="120" xfId="0" applyFont="1" applyFill="1" applyBorder="1" applyAlignment="1">
      <alignment horizontal="right" vertical="center"/>
    </xf>
    <xf numFmtId="0" fontId="111" fillId="9" borderId="108" xfId="55" applyNumberFormat="1" applyFont="1" applyFill="1" applyBorder="1" applyAlignment="1">
      <alignment horizontal="right" vertical="center"/>
    </xf>
    <xf numFmtId="0" fontId="110" fillId="9" borderId="108" xfId="55" applyNumberFormat="1" applyFont="1" applyFill="1" applyBorder="1" applyAlignment="1">
      <alignment horizontal="right" vertical="center"/>
    </xf>
    <xf numFmtId="0" fontId="112" fillId="9" borderId="97" xfId="0" applyFont="1" applyFill="1" applyBorder="1" applyAlignment="1">
      <alignment horizontal="center" vertical="center"/>
    </xf>
    <xf numFmtId="10" fontId="113" fillId="10" borderId="108" xfId="114" applyNumberFormat="1" applyFont="1" applyFill="1" applyBorder="1" applyAlignment="1">
      <alignment horizontal="center" vertical="center"/>
    </xf>
    <xf numFmtId="0" fontId="114" fillId="10" borderId="121" xfId="0" applyFont="1" applyFill="1" applyBorder="1" applyAlignment="1">
      <alignment horizontal="right" vertical="center"/>
    </xf>
    <xf numFmtId="0" fontId="114" fillId="10" borderId="120" xfId="0" applyFont="1" applyFill="1" applyBorder="1" applyAlignment="1">
      <alignment horizontal="right" vertical="center"/>
    </xf>
    <xf numFmtId="0" fontId="114" fillId="10" borderId="170" xfId="0" applyFont="1" applyFill="1" applyBorder="1" applyAlignment="1">
      <alignment horizontal="right" vertical="center"/>
    </xf>
    <xf numFmtId="0" fontId="115" fillId="10" borderId="120" xfId="0" applyFont="1" applyFill="1" applyBorder="1" applyAlignment="1">
      <alignment horizontal="right" vertical="center"/>
    </xf>
    <xf numFmtId="3" fontId="115" fillId="10" borderId="120" xfId="0" applyNumberFormat="1" applyFont="1" applyFill="1" applyBorder="1" applyAlignment="1">
      <alignment horizontal="right" vertical="center"/>
    </xf>
    <xf numFmtId="0" fontId="111" fillId="10" borderId="103" xfId="0" applyFont="1" applyFill="1" applyBorder="1" applyAlignment="1">
      <alignment horizontal="right" vertical="center"/>
    </xf>
    <xf numFmtId="0" fontId="110" fillId="10" borderId="103" xfId="55" applyNumberFormat="1" applyFont="1" applyFill="1" applyBorder="1" applyAlignment="1">
      <alignment horizontal="right" vertical="center"/>
    </xf>
    <xf numFmtId="0" fontId="114" fillId="10" borderId="104" xfId="0" applyFont="1" applyFill="1" applyBorder="1" applyAlignment="1">
      <alignment horizontal="right" vertical="center"/>
    </xf>
    <xf numFmtId="0" fontId="114" fillId="10" borderId="103" xfId="0" applyFont="1" applyFill="1" applyBorder="1" applyAlignment="1">
      <alignment horizontal="right" vertical="center"/>
    </xf>
    <xf numFmtId="0" fontId="114" fillId="10" borderId="169" xfId="0" applyFont="1" applyFill="1" applyBorder="1" applyAlignment="1">
      <alignment horizontal="right" vertical="center"/>
    </xf>
    <xf numFmtId="0" fontId="115" fillId="10" borderId="103" xfId="0" applyFont="1" applyFill="1" applyBorder="1" applyAlignment="1">
      <alignment horizontal="right" vertical="center"/>
    </xf>
    <xf numFmtId="3" fontId="115" fillId="10" borderId="103" xfId="0" applyNumberFormat="1" applyFont="1" applyFill="1" applyBorder="1" applyAlignment="1">
      <alignment horizontal="right" vertical="center"/>
    </xf>
    <xf numFmtId="0" fontId="110" fillId="10" borderId="142" xfId="55" applyNumberFormat="1" applyFont="1" applyFill="1" applyBorder="1" applyAlignment="1">
      <alignment horizontal="right" vertical="center"/>
    </xf>
    <xf numFmtId="0" fontId="111" fillId="10" borderId="142" xfId="0" applyFont="1" applyFill="1" applyBorder="1" applyAlignment="1">
      <alignment horizontal="right" vertical="center"/>
    </xf>
    <xf numFmtId="0" fontId="111" fillId="9" borderId="147" xfId="55" applyNumberFormat="1" applyFont="1" applyFill="1" applyBorder="1" applyAlignment="1">
      <alignment horizontal="right" vertical="center"/>
    </xf>
    <xf numFmtId="0" fontId="110" fillId="9" borderId="147" xfId="55" applyNumberFormat="1" applyFont="1" applyFill="1" applyBorder="1" applyAlignment="1">
      <alignment horizontal="right" vertical="center"/>
    </xf>
    <xf numFmtId="0" fontId="112" fillId="9" borderId="179" xfId="0" applyFont="1" applyFill="1" applyBorder="1" applyAlignment="1">
      <alignment horizontal="center" vertical="center"/>
    </xf>
    <xf numFmtId="10" fontId="113" fillId="10" borderId="147" xfId="114" applyNumberFormat="1" applyFont="1" applyFill="1" applyBorder="1" applyAlignment="1">
      <alignment horizontal="center" vertical="center"/>
    </xf>
    <xf numFmtId="0" fontId="114" fillId="10" borderId="143" xfId="0" applyFont="1" applyFill="1" applyBorder="1" applyAlignment="1">
      <alignment horizontal="right" vertical="center"/>
    </xf>
    <xf numFmtId="0" fontId="114" fillId="10" borderId="142" xfId="0" applyFont="1" applyFill="1" applyBorder="1" applyAlignment="1">
      <alignment horizontal="right" vertical="center"/>
    </xf>
    <xf numFmtId="0" fontId="114" fillId="10" borderId="161" xfId="0" applyFont="1" applyFill="1" applyBorder="1" applyAlignment="1">
      <alignment horizontal="right" vertical="center"/>
    </xf>
    <xf numFmtId="0" fontId="115" fillId="10" borderId="142" xfId="0" applyFont="1" applyFill="1" applyBorder="1" applyAlignment="1">
      <alignment horizontal="right" vertical="center"/>
    </xf>
    <xf numFmtId="3" fontId="115" fillId="10" borderId="142" xfId="0" applyNumberFormat="1" applyFont="1" applyFill="1" applyBorder="1" applyAlignment="1">
      <alignment horizontal="right" vertical="center"/>
    </xf>
    <xf numFmtId="0" fontId="114" fillId="10" borderId="96" xfId="0" applyFont="1" applyFill="1" applyBorder="1" applyAlignment="1">
      <alignment horizontal="right" vertical="center"/>
    </xf>
    <xf numFmtId="0" fontId="114" fillId="10" borderId="110" xfId="0" applyFont="1" applyFill="1" applyBorder="1" applyAlignment="1">
      <alignment horizontal="right" vertical="center"/>
    </xf>
    <xf numFmtId="0" fontId="114" fillId="10" borderId="97" xfId="0" applyFont="1" applyFill="1" applyBorder="1" applyAlignment="1">
      <alignment horizontal="right" vertical="center"/>
    </xf>
    <xf numFmtId="0" fontId="115" fillId="10" borderId="110" xfId="0" applyFont="1" applyFill="1" applyBorder="1" applyAlignment="1">
      <alignment horizontal="right" vertical="center"/>
    </xf>
    <xf numFmtId="3" fontId="115" fillId="10" borderId="110" xfId="0" applyNumberFormat="1" applyFont="1" applyFill="1" applyBorder="1" applyAlignment="1">
      <alignment horizontal="right" vertical="center"/>
    </xf>
    <xf numFmtId="2" fontId="107" fillId="9" borderId="158" xfId="55" applyNumberFormat="1" applyFont="1" applyFill="1" applyBorder="1" applyAlignment="1">
      <alignment horizontal="left" vertical="center"/>
    </xf>
    <xf numFmtId="2" fontId="116" fillId="9" borderId="109" xfId="55" applyNumberFormat="1" applyFont="1" applyFill="1" applyBorder="1" applyAlignment="1">
      <alignment horizontal="left" vertical="center"/>
    </xf>
    <xf numFmtId="164" fontId="117" fillId="9" borderId="109" xfId="55" applyNumberFormat="1" applyFont="1" applyFill="1" applyBorder="1" applyAlignment="1">
      <alignment horizontal="left" vertical="center"/>
    </xf>
    <xf numFmtId="2" fontId="107" fillId="9" borderId="153" xfId="0" applyNumberFormat="1" applyFont="1" applyFill="1" applyBorder="1" applyAlignment="1">
      <alignment horizontal="right" vertical="center"/>
    </xf>
    <xf numFmtId="2" fontId="116" fillId="9" borderId="108" xfId="55" applyNumberFormat="1" applyFont="1" applyFill="1" applyBorder="1" applyAlignment="1">
      <alignment horizontal="right" vertical="center"/>
    </xf>
    <xf numFmtId="164" fontId="117" fillId="9" borderId="108" xfId="55" applyNumberFormat="1" applyFont="1" applyFill="1" applyBorder="1" applyAlignment="1">
      <alignment horizontal="right" vertical="center"/>
    </xf>
    <xf numFmtId="2" fontId="108" fillId="9" borderId="159" xfId="0" applyNumberFormat="1" applyFont="1" applyFill="1" applyBorder="1" applyAlignment="1">
      <alignment horizontal="left" vertical="center"/>
    </xf>
    <xf numFmtId="164" fontId="118" fillId="9" borderId="109" xfId="55" applyNumberFormat="1" applyFont="1" applyFill="1" applyBorder="1" applyAlignment="1">
      <alignment horizontal="left" vertical="center"/>
    </xf>
    <xf numFmtId="1" fontId="109" fillId="9" borderId="158" xfId="55" applyNumberFormat="1" applyFont="1" applyFill="1" applyBorder="1" applyAlignment="1">
      <alignment horizontal="left" vertical="center"/>
    </xf>
    <xf numFmtId="2" fontId="118" fillId="9" borderId="109" xfId="55" applyNumberFormat="1" applyFont="1" applyFill="1" applyBorder="1" applyAlignment="1">
      <alignment horizontal="left" vertical="center"/>
    </xf>
    <xf numFmtId="165" fontId="117" fillId="9" borderId="109" xfId="55" applyNumberFormat="1" applyFont="1" applyFill="1" applyBorder="1" applyAlignment="1">
      <alignment horizontal="left" vertical="center"/>
    </xf>
    <xf numFmtId="1" fontId="109" fillId="9" borderId="153" xfId="0" applyNumberFormat="1" applyFont="1" applyFill="1" applyBorder="1" applyAlignment="1">
      <alignment horizontal="right" vertical="center"/>
    </xf>
    <xf numFmtId="2" fontId="118" fillId="9" borderId="108" xfId="55" applyNumberFormat="1" applyFont="1" applyFill="1" applyBorder="1" applyAlignment="1">
      <alignment horizontal="right" vertical="center"/>
    </xf>
    <xf numFmtId="165" fontId="117" fillId="9" borderId="108" xfId="55" applyNumberFormat="1" applyFont="1" applyFill="1" applyBorder="1" applyAlignment="1">
      <alignment horizontal="right" vertical="center"/>
    </xf>
    <xf numFmtId="1" fontId="109" fillId="9" borderId="159" xfId="0" applyNumberFormat="1" applyFont="1" applyFill="1" applyBorder="1" applyAlignment="1">
      <alignment horizontal="left" vertical="center"/>
    </xf>
    <xf numFmtId="2" fontId="117" fillId="9" borderId="112" xfId="55" applyNumberFormat="1" applyFont="1" applyFill="1" applyBorder="1" applyAlignment="1">
      <alignment vertical="center"/>
    </xf>
    <xf numFmtId="165" fontId="118" fillId="9" borderId="109" xfId="55" applyNumberFormat="1" applyFont="1" applyFill="1" applyBorder="1" applyAlignment="1">
      <alignment vertical="center"/>
    </xf>
    <xf numFmtId="1" fontId="109" fillId="9" borderId="157" xfId="0" applyNumberFormat="1" applyFont="1" applyFill="1" applyBorder="1" applyAlignment="1">
      <alignment horizontal="right" vertical="center"/>
    </xf>
    <xf numFmtId="2" fontId="117" fillId="9" borderId="147" xfId="55" applyNumberFormat="1" applyFont="1" applyFill="1" applyBorder="1" applyAlignment="1">
      <alignment horizontal="right" vertical="center"/>
    </xf>
    <xf numFmtId="165" fontId="118" fillId="9" borderId="147" xfId="55" applyNumberFormat="1" applyFont="1" applyFill="1" applyBorder="1" applyAlignment="1">
      <alignment horizontal="right" vertical="center"/>
    </xf>
    <xf numFmtId="0" fontId="8" fillId="4" borderId="101" xfId="65" applyFont="1" applyFill="1" applyBorder="1" applyAlignment="1">
      <alignment horizontal="center"/>
    </xf>
    <xf numFmtId="0" fontId="119" fillId="31" borderId="34" xfId="0" applyFont="1" applyFill="1" applyBorder="1" applyAlignment="1">
      <alignment horizontal="center" vertical="center"/>
    </xf>
    <xf numFmtId="4" fontId="119" fillId="34" borderId="34" xfId="0" applyNumberFormat="1" applyFont="1" applyFill="1" applyBorder="1" applyAlignment="1">
      <alignment horizontal="center" vertical="center"/>
    </xf>
    <xf numFmtId="0" fontId="119" fillId="27" borderId="34" xfId="0" applyFont="1" applyFill="1" applyBorder="1" applyAlignment="1">
      <alignment horizontal="center" vertical="center"/>
    </xf>
    <xf numFmtId="0" fontId="119" fillId="31" borderId="93" xfId="0" applyFont="1" applyFill="1" applyBorder="1" applyAlignment="1">
      <alignment horizontal="center" vertical="center"/>
    </xf>
    <xf numFmtId="1" fontId="119" fillId="31" borderId="34" xfId="0" applyNumberFormat="1" applyFont="1" applyFill="1" applyBorder="1" applyAlignment="1">
      <alignment horizontal="center" vertical="center"/>
    </xf>
    <xf numFmtId="165" fontId="89" fillId="9" borderId="109" xfId="55" applyNumberFormat="1" applyFont="1" applyFill="1" applyBorder="1" applyAlignment="1">
      <alignment horizontal="center" vertical="center"/>
    </xf>
    <xf numFmtId="165" fontId="89" fillId="9" borderId="108" xfId="55" applyNumberFormat="1" applyFont="1" applyFill="1" applyBorder="1" applyAlignment="1">
      <alignment horizontal="center" vertical="center"/>
    </xf>
    <xf numFmtId="2" fontId="76" fillId="9" borderId="112" xfId="0" applyNumberFormat="1" applyFont="1" applyFill="1" applyBorder="1" applyAlignment="1">
      <alignment horizontal="center" vertical="center"/>
    </xf>
    <xf numFmtId="2" fontId="76" fillId="9" borderId="109" xfId="0" applyNumberFormat="1" applyFont="1" applyFill="1" applyBorder="1" applyAlignment="1">
      <alignment horizontal="center" vertical="center"/>
    </xf>
    <xf numFmtId="2" fontId="76" fillId="9" borderId="108" xfId="0" applyNumberFormat="1" applyFont="1" applyFill="1" applyBorder="1" applyAlignment="1">
      <alignment horizontal="center" vertical="center"/>
    </xf>
    <xf numFmtId="2" fontId="76" fillId="9" borderId="135" xfId="0" applyNumberFormat="1" applyFont="1" applyFill="1" applyBorder="1" applyAlignment="1">
      <alignment horizontal="center" vertical="center"/>
    </xf>
    <xf numFmtId="167" fontId="3" fillId="0" borderId="3" xfId="55" applyNumberFormat="1" applyFont="1" applyBorder="1" applyAlignment="1">
      <alignment horizontal="center" vertical="center"/>
    </xf>
    <xf numFmtId="2" fontId="99" fillId="9" borderId="194" xfId="0" applyNumberFormat="1" applyFont="1" applyFill="1" applyBorder="1" applyAlignment="1">
      <alignment horizontal="left" vertical="center"/>
    </xf>
    <xf numFmtId="3" fontId="39" fillId="10" borderId="147" xfId="0" applyNumberFormat="1" applyFont="1" applyFill="1" applyBorder="1" applyAlignment="1">
      <alignment horizontal="right" vertical="center"/>
    </xf>
    <xf numFmtId="0" fontId="26" fillId="9" borderId="161" xfId="0" applyFont="1" applyFill="1" applyBorder="1" applyAlignment="1">
      <alignment horizontal="center" vertical="center"/>
    </xf>
    <xf numFmtId="0" fontId="99" fillId="9" borderId="203" xfId="55" applyNumberFormat="1" applyFont="1" applyFill="1" applyBorder="1" applyAlignment="1">
      <alignment vertical="center"/>
    </xf>
    <xf numFmtId="2" fontId="99" fillId="9" borderId="157" xfId="0" applyNumberFormat="1" applyFont="1" applyFill="1" applyBorder="1" applyAlignment="1">
      <alignment horizontal="center" vertical="center"/>
    </xf>
    <xf numFmtId="2" fontId="89" fillId="9" borderId="147" xfId="55" applyNumberFormat="1" applyFont="1" applyFill="1" applyBorder="1" applyAlignment="1">
      <alignment horizontal="center" vertical="center"/>
    </xf>
    <xf numFmtId="2" fontId="100" fillId="9" borderId="187" xfId="55" applyNumberFormat="1" applyFont="1" applyFill="1" applyBorder="1" applyAlignment="1">
      <alignment horizontal="center" vertical="center"/>
    </xf>
    <xf numFmtId="2" fontId="99" fillId="9" borderId="188" xfId="55" applyNumberFormat="1" applyFont="1" applyFill="1" applyBorder="1" applyAlignment="1">
      <alignment horizontal="center" vertical="center"/>
    </xf>
    <xf numFmtId="0" fontId="89" fillId="9" borderId="166" xfId="55" applyNumberFormat="1" applyFont="1" applyFill="1" applyBorder="1" applyAlignment="1">
      <alignment horizontal="right" vertical="center"/>
    </xf>
    <xf numFmtId="167" fontId="78" fillId="10" borderId="147" xfId="55" applyNumberFormat="1" applyFont="1" applyFill="1" applyBorder="1" applyAlignment="1">
      <alignment horizontal="right" vertical="center"/>
    </xf>
    <xf numFmtId="164" fontId="99" fillId="9" borderId="194" xfId="0" applyNumberFormat="1" applyFont="1" applyFill="1" applyBorder="1" applyAlignment="1">
      <alignment horizontal="left" vertical="center"/>
    </xf>
    <xf numFmtId="0" fontId="104" fillId="9" borderId="146" xfId="55" applyNumberFormat="1" applyFont="1" applyFill="1" applyBorder="1" applyAlignment="1">
      <alignment vertical="top"/>
    </xf>
    <xf numFmtId="0" fontId="108" fillId="9" borderId="196" xfId="0" applyNumberFormat="1" applyFont="1" applyFill="1" applyBorder="1" applyAlignment="1">
      <alignment horizontal="right" vertical="center"/>
    </xf>
    <xf numFmtId="0" fontId="110" fillId="10" borderId="131" xfId="55" applyNumberFormat="1" applyFont="1" applyFill="1" applyBorder="1" applyAlignment="1">
      <alignment horizontal="right" vertical="center"/>
    </xf>
    <xf numFmtId="0" fontId="111" fillId="10" borderId="131" xfId="0" applyFont="1" applyFill="1" applyBorder="1" applyAlignment="1">
      <alignment horizontal="right" vertical="center"/>
    </xf>
    <xf numFmtId="0" fontId="111" fillId="9" borderId="135" xfId="55" applyNumberFormat="1" applyFont="1" applyFill="1" applyBorder="1" applyAlignment="1">
      <alignment horizontal="right" vertical="center"/>
    </xf>
    <xf numFmtId="0" fontId="110" fillId="9" borderId="135" xfId="55" applyNumberFormat="1" applyFont="1" applyFill="1" applyBorder="1" applyAlignment="1">
      <alignment horizontal="right" vertical="center"/>
    </xf>
    <xf numFmtId="0" fontId="112" fillId="9" borderId="197" xfId="0" applyFont="1" applyFill="1" applyBorder="1" applyAlignment="1">
      <alignment horizontal="center" vertical="center"/>
    </xf>
    <xf numFmtId="10" fontId="113" fillId="10" borderId="135" xfId="114" applyNumberFormat="1" applyFont="1" applyFill="1" applyBorder="1" applyAlignment="1">
      <alignment horizontal="center" vertical="center"/>
    </xf>
    <xf numFmtId="0" fontId="114" fillId="10" borderId="132" xfId="0" applyFont="1" applyFill="1" applyBorder="1" applyAlignment="1">
      <alignment horizontal="right" vertical="center"/>
    </xf>
    <xf numFmtId="0" fontId="114" fillId="10" borderId="131" xfId="0" applyFont="1" applyFill="1" applyBorder="1" applyAlignment="1">
      <alignment horizontal="right" vertical="center"/>
    </xf>
    <xf numFmtId="0" fontId="114" fillId="10" borderId="137" xfId="0" applyFont="1" applyFill="1" applyBorder="1" applyAlignment="1">
      <alignment horizontal="right" vertical="center"/>
    </xf>
    <xf numFmtId="0" fontId="115" fillId="10" borderId="131" xfId="0" applyFont="1" applyFill="1" applyBorder="1" applyAlignment="1">
      <alignment horizontal="right" vertical="center"/>
    </xf>
    <xf numFmtId="3" fontId="115" fillId="10" borderId="131" xfId="0" applyNumberFormat="1" applyFont="1" applyFill="1" applyBorder="1" applyAlignment="1">
      <alignment horizontal="right" vertical="center"/>
    </xf>
    <xf numFmtId="0" fontId="104" fillId="9" borderId="206" xfId="55" applyNumberFormat="1" applyFont="1" applyFill="1" applyBorder="1" applyAlignment="1">
      <alignment vertical="top"/>
    </xf>
    <xf numFmtId="2" fontId="108" fillId="9" borderId="201" xfId="0" applyNumberFormat="1" applyFont="1" applyFill="1" applyBorder="1" applyAlignment="1">
      <alignment horizontal="right" vertical="center"/>
    </xf>
    <xf numFmtId="2" fontId="116" fillId="9" borderId="135" xfId="55" applyNumberFormat="1" applyFont="1" applyFill="1" applyBorder="1" applyAlignment="1">
      <alignment horizontal="right" vertical="center"/>
    </xf>
    <xf numFmtId="164" fontId="118" fillId="9" borderId="135" xfId="55" applyNumberFormat="1" applyFont="1" applyFill="1" applyBorder="1" applyAlignment="1">
      <alignment horizontal="right" vertical="center"/>
    </xf>
    <xf numFmtId="0" fontId="120" fillId="9" borderId="158" xfId="55" applyNumberFormat="1" applyFont="1" applyFill="1" applyBorder="1" applyAlignment="1">
      <alignment horizontal="left" vertical="center"/>
    </xf>
    <xf numFmtId="0" fontId="120" fillId="9" borderId="160" xfId="55" applyNumberFormat="1" applyFont="1" applyFill="1" applyBorder="1" applyAlignment="1">
      <alignment horizontal="right" vertical="center"/>
    </xf>
    <xf numFmtId="0" fontId="120" fillId="9" borderId="194" xfId="55" applyNumberFormat="1" applyFont="1" applyFill="1" applyBorder="1" applyAlignment="1">
      <alignment horizontal="right" vertical="center"/>
    </xf>
    <xf numFmtId="0" fontId="121" fillId="9" borderId="158" xfId="55" applyNumberFormat="1" applyFont="1" applyFill="1" applyBorder="1" applyAlignment="1">
      <alignment horizontal="center" vertical="center"/>
    </xf>
    <xf numFmtId="0" fontId="121" fillId="9" borderId="160" xfId="55" applyNumberFormat="1" applyFont="1" applyFill="1" applyBorder="1" applyAlignment="1">
      <alignment horizontal="center" vertical="center"/>
    </xf>
    <xf numFmtId="0" fontId="121" fillId="9" borderId="194" xfId="55" applyNumberFormat="1" applyFont="1" applyFill="1" applyBorder="1" applyAlignment="1">
      <alignment horizontal="center" vertical="center"/>
    </xf>
    <xf numFmtId="0" fontId="89" fillId="9" borderId="158" xfId="55"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96" xfId="0"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1" fontId="23" fillId="9" borderId="104" xfId="0" applyNumberFormat="1" applyFont="1" applyFill="1" applyBorder="1" applyAlignment="1">
      <alignment horizontal="center" vertical="center"/>
    </xf>
    <xf numFmtId="1" fontId="23" fillId="9" borderId="132" xfId="0" applyNumberFormat="1" applyFont="1" applyFill="1" applyBorder="1" applyAlignment="1">
      <alignment horizontal="center" vertical="center"/>
    </xf>
    <xf numFmtId="1" fontId="23" fillId="9" borderId="121" xfId="0"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1" fontId="85" fillId="9" borderId="207" xfId="0" applyNumberFormat="1" applyFont="1" applyFill="1" applyBorder="1" applyAlignment="1">
      <alignment horizontal="center" vertical="center"/>
    </xf>
    <xf numFmtId="0" fontId="23" fillId="9" borderId="208"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20" xfId="0" applyFont="1" applyFill="1" applyBorder="1" applyAlignment="1">
      <alignment horizontal="center" vertical="center"/>
    </xf>
    <xf numFmtId="0" fontId="23" fillId="9" borderId="209" xfId="0" applyFont="1" applyFill="1" applyBorder="1" applyAlignment="1">
      <alignment horizontal="center" vertical="center"/>
    </xf>
    <xf numFmtId="1" fontId="89" fillId="9" borderId="160" xfId="55" applyNumberFormat="1" applyFont="1" applyFill="1" applyBorder="1" applyAlignment="1">
      <alignment horizontal="center" vertical="center"/>
    </xf>
    <xf numFmtId="1" fontId="89" fillId="9" borderId="194" xfId="55" applyNumberFormat="1" applyFont="1" applyFill="1" applyBorder="1" applyAlignment="1">
      <alignment horizontal="center" vertical="center"/>
    </xf>
    <xf numFmtId="167" fontId="78" fillId="10" borderId="102" xfId="55" applyNumberFormat="1" applyFont="1" applyFill="1" applyBorder="1" applyAlignment="1">
      <alignment horizontal="right" vertical="center"/>
    </xf>
    <xf numFmtId="167" fontId="78" fillId="10" borderId="109" xfId="55" applyNumberFormat="1" applyFont="1" applyFill="1" applyBorder="1" applyAlignment="1">
      <alignment horizontal="right" vertical="center"/>
    </xf>
    <xf numFmtId="167" fontId="78" fillId="10" borderId="112" xfId="55" applyNumberFormat="1" applyFont="1" applyFill="1" applyBorder="1" applyAlignment="1">
      <alignment horizontal="right" vertical="center"/>
    </xf>
    <xf numFmtId="0" fontId="105" fillId="9" borderId="210" xfId="0" applyNumberFormat="1" applyFont="1" applyFill="1" applyBorder="1" applyAlignment="1">
      <alignment vertical="top"/>
    </xf>
    <xf numFmtId="0" fontId="105" fillId="9" borderId="211" xfId="0" applyNumberFormat="1" applyFont="1" applyFill="1" applyBorder="1" applyAlignment="1">
      <alignment vertical="top"/>
    </xf>
    <xf numFmtId="2" fontId="99" fillId="9" borderId="215" xfId="55" applyNumberFormat="1" applyFont="1" applyFill="1" applyBorder="1" applyAlignment="1">
      <alignment horizontal="center" vertical="center"/>
    </xf>
    <xf numFmtId="1" fontId="99" fillId="9" borderId="213" xfId="55" applyNumberFormat="1" applyFont="1" applyFill="1" applyBorder="1" applyAlignment="1">
      <alignment vertical="center"/>
    </xf>
    <xf numFmtId="0" fontId="99" fillId="9" borderId="212" xfId="55" applyNumberFormat="1" applyFont="1" applyFill="1" applyBorder="1" applyAlignment="1">
      <alignment horizontal="center" vertical="center"/>
    </xf>
    <xf numFmtId="2" fontId="99" fillId="9" borderId="214" xfId="55" applyNumberFormat="1" applyFont="1" applyFill="1" applyBorder="1" applyAlignment="1">
      <alignment horizontal="center" vertical="center"/>
    </xf>
    <xf numFmtId="0" fontId="86" fillId="12" borderId="192" xfId="55" applyNumberFormat="1" applyFont="1" applyFill="1" applyBorder="1" applyAlignment="1">
      <alignment horizontal="center" vertical="center"/>
    </xf>
    <xf numFmtId="2" fontId="99" fillId="9" borderId="216" xfId="55" applyNumberFormat="1" applyFont="1" applyFill="1" applyBorder="1" applyAlignment="1">
      <alignment horizontal="center" vertical="center"/>
    </xf>
    <xf numFmtId="2" fontId="99" fillId="9" borderId="217" xfId="55" applyNumberFormat="1" applyFont="1" applyFill="1" applyBorder="1" applyAlignment="1">
      <alignment horizontal="center" vertical="center"/>
    </xf>
    <xf numFmtId="0" fontId="99" fillId="9" borderId="218" xfId="55" applyNumberFormat="1" applyFont="1" applyFill="1" applyBorder="1" applyAlignment="1">
      <alignment horizontal="center" vertical="center"/>
    </xf>
    <xf numFmtId="1" fontId="99" fillId="9" borderId="219" xfId="55" applyNumberFormat="1" applyFont="1" applyFill="1" applyBorder="1" applyAlignment="1">
      <alignment vertical="center"/>
    </xf>
    <xf numFmtId="10" fontId="103" fillId="10" borderId="142" xfId="114" applyNumberFormat="1" applyFont="1" applyFill="1" applyBorder="1" applyAlignment="1">
      <alignment horizontal="center" vertical="center"/>
    </xf>
    <xf numFmtId="0" fontId="76" fillId="10" borderId="161" xfId="0" applyFont="1" applyFill="1" applyBorder="1" applyAlignment="1">
      <alignment horizontal="right" vertical="center"/>
    </xf>
    <xf numFmtId="164" fontId="121" fillId="9" borderId="160" xfId="55" applyNumberFormat="1" applyFont="1" applyFill="1" applyBorder="1" applyAlignment="1">
      <alignment horizontal="center" vertical="center"/>
    </xf>
    <xf numFmtId="164" fontId="121" fillId="9" borderId="194" xfId="55" applyNumberFormat="1" applyFont="1" applyFill="1" applyBorder="1" applyAlignment="1">
      <alignment horizontal="center" vertical="center"/>
    </xf>
    <xf numFmtId="164" fontId="121" fillId="9" borderId="109" xfId="55" applyNumberFormat="1" applyFont="1" applyFill="1" applyBorder="1" applyAlignment="1">
      <alignment horizontal="center" vertical="center"/>
    </xf>
    <xf numFmtId="164" fontId="121" fillId="9" borderId="112" xfId="55" applyNumberFormat="1" applyFont="1" applyFill="1" applyBorder="1" applyAlignment="1">
      <alignment horizontal="center" vertical="center"/>
    </xf>
    <xf numFmtId="2" fontId="33" fillId="9" borderId="189" xfId="55" applyNumberFormat="1" applyFont="1" applyFill="1" applyBorder="1" applyAlignment="1">
      <alignment horizontal="center" vertical="center"/>
    </xf>
    <xf numFmtId="2" fontId="33" fillId="9" borderId="188" xfId="55" applyNumberFormat="1" applyFont="1" applyFill="1" applyBorder="1" applyAlignment="1">
      <alignment horizontal="center" vertical="center"/>
    </xf>
    <xf numFmtId="2" fontId="88" fillId="9" borderId="189" xfId="55" applyNumberFormat="1" applyFont="1" applyFill="1" applyBorder="1" applyAlignment="1">
      <alignment horizontal="center" vertical="center"/>
    </xf>
    <xf numFmtId="2" fontId="88" fillId="9" borderId="190" xfId="55" applyNumberFormat="1" applyFont="1" applyFill="1" applyBorder="1" applyAlignment="1">
      <alignment horizontal="center" vertical="center"/>
    </xf>
    <xf numFmtId="2" fontId="89" fillId="9" borderId="184" xfId="0" applyNumberFormat="1" applyFont="1" applyFill="1" applyBorder="1" applyAlignment="1">
      <alignment horizontal="center" vertical="center"/>
    </xf>
    <xf numFmtId="2" fontId="89" fillId="9" borderId="200" xfId="0" applyNumberFormat="1" applyFont="1" applyFill="1" applyBorder="1" applyAlignment="1">
      <alignment horizontal="center" vertical="center"/>
    </xf>
    <xf numFmtId="0" fontId="13" fillId="9" borderId="174" xfId="0" applyFont="1" applyFill="1" applyBorder="1" applyAlignment="1">
      <alignment horizontal="center" vertical="center"/>
    </xf>
    <xf numFmtId="0" fontId="13" fillId="9" borderId="142" xfId="0" applyFont="1" applyFill="1" applyBorder="1" applyAlignment="1">
      <alignment horizontal="center" vertical="center"/>
    </xf>
    <xf numFmtId="0" fontId="38" fillId="9" borderId="173" xfId="0" applyFont="1" applyFill="1" applyBorder="1" applyAlignment="1">
      <alignment horizontal="center" vertical="center"/>
    </xf>
    <xf numFmtId="0" fontId="38" fillId="9" borderId="131" xfId="0" applyFont="1" applyFill="1" applyBorder="1" applyAlignment="1">
      <alignment horizontal="center" vertical="center"/>
    </xf>
    <xf numFmtId="2" fontId="89" fillId="9" borderId="185" xfId="0" applyNumberFormat="1" applyFont="1" applyFill="1" applyBorder="1" applyAlignment="1">
      <alignment horizontal="center" vertical="center"/>
    </xf>
    <xf numFmtId="2" fontId="89" fillId="9" borderId="186" xfId="0" applyNumberFormat="1" applyFont="1" applyFill="1" applyBorder="1" applyAlignment="1">
      <alignment horizontal="center" vertical="center"/>
    </xf>
    <xf numFmtId="2" fontId="89" fillId="9" borderId="205" xfId="0" applyNumberFormat="1" applyFont="1" applyFill="1" applyBorder="1" applyAlignment="1">
      <alignment horizontal="center" vertical="center"/>
    </xf>
    <xf numFmtId="0" fontId="46"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6" fillId="40" borderId="71" xfId="0" applyFont="1" applyFill="1" applyBorder="1" applyAlignment="1">
      <alignment horizontal="center" vertical="center"/>
    </xf>
    <xf numFmtId="164" fontId="54" fillId="20" borderId="13" xfId="0" applyNumberFormat="1" applyFont="1" applyFill="1" applyBorder="1" applyAlignment="1">
      <alignment horizontal="center" vertical="center"/>
    </xf>
    <xf numFmtId="0" fontId="54" fillId="20" borderId="21" xfId="0" applyFont="1" applyFill="1" applyBorder="1" applyAlignment="1">
      <alignment horizontal="center" vertical="center"/>
    </xf>
    <xf numFmtId="0" fontId="46" fillId="40" borderId="59" xfId="0" applyFont="1" applyFill="1" applyBorder="1" applyAlignment="1">
      <alignment horizontal="center" vertical="center"/>
    </xf>
    <xf numFmtId="0" fontId="59" fillId="24" borderId="59" xfId="0" applyFont="1" applyFill="1" applyBorder="1" applyAlignment="1">
      <alignment horizontal="center" vertical="center"/>
    </xf>
    <xf numFmtId="0" fontId="59" fillId="35" borderId="71" xfId="0" applyFont="1" applyFill="1" applyBorder="1" applyAlignment="1">
      <alignment horizontal="center" vertical="center"/>
    </xf>
    <xf numFmtId="0" fontId="59" fillId="36" borderId="73" xfId="0" applyFont="1" applyFill="1" applyBorder="1" applyAlignment="1">
      <alignment horizontal="center" vertical="center"/>
    </xf>
    <xf numFmtId="0" fontId="59" fillId="36" borderId="11" xfId="0" applyFont="1" applyFill="1" applyBorder="1" applyAlignment="1">
      <alignment horizontal="center" vertical="center"/>
    </xf>
    <xf numFmtId="0" fontId="59" fillId="36" borderId="94" xfId="0" applyFont="1" applyFill="1" applyBorder="1" applyAlignment="1">
      <alignment horizontal="center" vertical="center"/>
    </xf>
    <xf numFmtId="0" fontId="59" fillId="36" borderId="9" xfId="0" applyFont="1" applyFill="1" applyBorder="1" applyAlignment="1">
      <alignment horizontal="center" vertical="center"/>
    </xf>
    <xf numFmtId="0" fontId="59" fillId="36" borderId="3" xfId="0" applyFont="1" applyFill="1" applyBorder="1" applyAlignment="1">
      <alignment horizontal="center" vertical="center"/>
    </xf>
    <xf numFmtId="0" fontId="59" fillId="36" borderId="95" xfId="0" applyFont="1" applyFill="1" applyBorder="1" applyAlignment="1">
      <alignment horizontal="center" vertical="center"/>
    </xf>
    <xf numFmtId="1" fontId="59" fillId="33" borderId="11" xfId="0" applyNumberFormat="1" applyFont="1" applyFill="1" applyBorder="1" applyAlignment="1">
      <alignment horizontal="center" vertical="center"/>
    </xf>
    <xf numFmtId="1" fontId="59" fillId="33" borderId="74" xfId="0" applyNumberFormat="1" applyFont="1" applyFill="1" applyBorder="1" applyAlignment="1">
      <alignment horizontal="center" vertical="center"/>
    </xf>
    <xf numFmtId="1" fontId="59" fillId="33" borderId="3" xfId="0" applyNumberFormat="1" applyFont="1" applyFill="1" applyBorder="1" applyAlignment="1">
      <alignment horizontal="center" vertical="center"/>
    </xf>
    <xf numFmtId="1" fontId="59" fillId="33" borderId="12" xfId="0" applyNumberFormat="1" applyFont="1" applyFill="1" applyBorder="1" applyAlignment="1">
      <alignment horizontal="center" vertical="center"/>
    </xf>
    <xf numFmtId="0" fontId="64" fillId="40" borderId="71" xfId="0" applyFont="1" applyFill="1" applyBorder="1" applyAlignment="1">
      <alignment horizontal="center" vertical="center"/>
    </xf>
    <xf numFmtId="0" fontId="64" fillId="36" borderId="71" xfId="0" applyFont="1" applyFill="1" applyBorder="1" applyAlignment="1">
      <alignment horizontal="center" vertical="center"/>
    </xf>
    <xf numFmtId="0" fontId="46"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4" fillId="24" borderId="71" xfId="0" applyFont="1" applyFill="1" applyBorder="1" applyAlignment="1">
      <alignment horizontal="center" vertical="center"/>
    </xf>
    <xf numFmtId="0" fontId="46"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4" fillId="35" borderId="71" xfId="0" applyFont="1" applyFill="1" applyBorder="1" applyAlignment="1">
      <alignment horizontal="center" vertical="center"/>
    </xf>
    <xf numFmtId="0" fontId="49" fillId="40" borderId="71" xfId="0" applyFont="1" applyFill="1" applyBorder="1" applyAlignment="1">
      <alignment horizontal="center" vertical="center"/>
    </xf>
    <xf numFmtId="0" fontId="122" fillId="12" borderId="127" xfId="55" applyNumberFormat="1" applyFont="1" applyFill="1" applyBorder="1" applyAlignment="1">
      <alignment horizontal="center" vertical="center"/>
    </xf>
    <xf numFmtId="0" fontId="122" fillId="12" borderId="126" xfId="55" applyNumberFormat="1"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880">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FF5050"/>
      <color rgb="FFFD999B"/>
      <color rgb="FF970E03"/>
      <color rgb="FF480000"/>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7"/>
  <sheetViews>
    <sheetView tabSelected="1" zoomScale="90" zoomScaleNormal="90" workbookViewId="0">
      <pane ySplit="1" topLeftCell="A2" activePane="bottomLeft" state="frozen"/>
      <selection pane="bottomLeft" activeCell="E57" sqref="E57"/>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customWidth="1"/>
    <col min="22" max="22" width="6.5703125" style="11" customWidth="1"/>
    <col min="23" max="23" width="8" customWidth="1"/>
    <col min="24" max="24" width="6" style="563" customWidth="1"/>
    <col min="25" max="25" width="9" style="508" bestFit="1" customWidth="1"/>
    <col min="26" max="26" width="11.28515625" style="512" bestFit="1" customWidth="1"/>
    <col min="27" max="27" width="10.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89" t="s">
        <v>305</v>
      </c>
      <c r="M1" s="287" t="s">
        <v>131</v>
      </c>
      <c r="N1" s="288" t="s">
        <v>132</v>
      </c>
      <c r="O1" s="289" t="s">
        <v>133</v>
      </c>
      <c r="P1" s="290"/>
      <c r="Q1" s="497">
        <v>1</v>
      </c>
      <c r="R1" s="498">
        <v>2</v>
      </c>
      <c r="S1" s="495">
        <v>3</v>
      </c>
      <c r="T1" s="496">
        <v>4</v>
      </c>
      <c r="U1" s="482">
        <v>0</v>
      </c>
      <c r="V1" s="418">
        <v>0</v>
      </c>
      <c r="W1" s="275">
        <v>1</v>
      </c>
      <c r="X1" s="276">
        <f>W1</f>
        <v>1</v>
      </c>
      <c r="Y1" s="678">
        <v>10000</v>
      </c>
      <c r="Z1" s="504">
        <f>Y1*($AE$1*$AD$1)</f>
        <v>95.452054794520549</v>
      </c>
      <c r="AA1" s="38">
        <f>AD1</f>
        <v>4</v>
      </c>
      <c r="AB1" s="369">
        <v>525.94000000000005</v>
      </c>
      <c r="AC1" s="277" t="s">
        <v>312</v>
      </c>
      <c r="AD1" s="54">
        <f>IF(AJ3&lt;&gt;0,2,IF(AJ4&lt;&gt;0,4,IF(AJ5&lt;&gt;0,5,IF(AJ6&lt;&gt;0,6,IF(AJ7&lt;&gt;0,7,IF(AJ8&lt;&gt;0,8,30))))))</f>
        <v>4</v>
      </c>
      <c r="AE1" s="53">
        <f>IF(AJ3&lt;&gt;0,AJ3/365,IF(AJ4&lt;&gt;0,AJ5/365,IF(AJ5&lt;&gt;0,AJ6/365,IF(AJ6&lt;&gt;0,AJ7/365,IF(AJ7&lt;&gt;0,AJ8/365,IF(AJ8&lt;&gt;0,AJ9/365,110/365))))))</f>
        <v>2.3863013698630139E-3</v>
      </c>
      <c r="AF1" s="440" t="s">
        <v>315</v>
      </c>
      <c r="AG1" s="440" t="s">
        <v>316</v>
      </c>
      <c r="AH1" s="440" t="s">
        <v>317</v>
      </c>
      <c r="AI1" s="440" t="s">
        <v>318</v>
      </c>
      <c r="AJ1" s="441" t="s">
        <v>313</v>
      </c>
      <c r="AK1" s="439" t="s">
        <v>314</v>
      </c>
    </row>
    <row r="2" spans="1:38" ht="12.75" hidden="1" customHeight="1">
      <c r="A2" s="520" t="s">
        <v>14</v>
      </c>
      <c r="B2" s="532">
        <f>IF(A2&lt;&gt;"",VLOOKUP($A2,$A$46:$N$157,2,0),"")</f>
        <v>24182</v>
      </c>
      <c r="C2" s="524">
        <f>IF(A2&lt;&gt;"",VLOOKUP($A2,$A$42:$N$157,3,0),"")</f>
        <v>37.799999999999997</v>
      </c>
      <c r="D2" s="370">
        <f>IF(A2&lt;&gt;"",VLOOKUP($A2,$A$42:$N$157,4,0),"")</f>
        <v>37.86</v>
      </c>
      <c r="E2" s="523">
        <f>IF(A2&lt;&gt;"",VLOOKUP($A2,$A$42:$N$157,5,0),"")</f>
        <v>384</v>
      </c>
      <c r="F2" s="437">
        <f>IF($A2&lt;&gt;"",VLOOKUP($A2,$A$42:$N$157,6,0),"")</f>
        <v>37.799999999999997</v>
      </c>
      <c r="G2" s="534">
        <f>IF($A2&lt;&gt;"",VLOOKUP($A2,$A$42:$N$157,7,0),"")</f>
        <v>-2.5999999999999999E-3</v>
      </c>
      <c r="H2" s="331">
        <f>IF($A2&lt;&gt;"",VLOOKUP($A2,$A$42:$N$157,8,0),"")</f>
        <v>37.6</v>
      </c>
      <c r="I2" s="323">
        <f>IF($A2&lt;&gt;"",VLOOKUP($A2,$A$42:$N$157,9,0),"")</f>
        <v>38.25</v>
      </c>
      <c r="J2" s="457">
        <f>IF($A2&lt;&gt;"",VLOOKUP($A2,$A$42:$N$157,10,0),"")</f>
        <v>37.42</v>
      </c>
      <c r="K2" s="327">
        <f>IF($A2&lt;&gt;"",VLOOKUP($A2,$A$42:$N$157,11,0),"")</f>
        <v>37.899000000000001</v>
      </c>
      <c r="L2" s="372">
        <f>IF($A2&lt;&gt;"",VLOOKUP($A2,$A$42:$N$157,12,0),"")</f>
        <v>39058947</v>
      </c>
      <c r="M2" s="327">
        <f>IF($A2&lt;&gt;"",VLOOKUP($A2,$A$42:$N$157,13,0),"")</f>
        <v>103438140</v>
      </c>
      <c r="N2" s="372">
        <f>IF($A2&lt;&gt;"",VLOOKUP($A2,$A$42:$N$157,14,0),"")</f>
        <v>40188</v>
      </c>
      <c r="O2" s="447">
        <f>IF($A2&lt;&gt;"",VLOOKUP($A2,$A$42:$O$157,15,0),"")</f>
        <v>45303.687824074077</v>
      </c>
      <c r="P2" s="462">
        <v>1</v>
      </c>
      <c r="Q2" s="722">
        <v>0</v>
      </c>
      <c r="R2" s="714">
        <v>0</v>
      </c>
      <c r="S2" s="431">
        <v>0</v>
      </c>
      <c r="T2" s="355">
        <v>0</v>
      </c>
      <c r="U2" s="414">
        <v>0</v>
      </c>
      <c r="V2" s="499">
        <v>0</v>
      </c>
      <c r="W2" s="540">
        <v>0</v>
      </c>
      <c r="X2" s="545">
        <v>0</v>
      </c>
      <c r="Y2" s="501">
        <f>IFERROR(IF($Y$1&lt;&gt;"",INT($Y$1/(D5/100)),100),100)</f>
        <v>24</v>
      </c>
      <c r="Z2" s="672">
        <f>IFERROR($C2*(1-$V$1)/100*$Y2,"")</f>
        <v>9.0719999999999992</v>
      </c>
      <c r="AA2" s="758">
        <f>IFERROR($Z2-$Z3,"")</f>
        <v>0.3044999999999991</v>
      </c>
      <c r="AD2" s="473" t="s">
        <v>319</v>
      </c>
      <c r="AE2" s="479">
        <v>45304</v>
      </c>
      <c r="AF2" s="471"/>
      <c r="AG2" s="472"/>
      <c r="AH2" s="472"/>
      <c r="AI2" s="471"/>
      <c r="AJ2" s="476"/>
      <c r="AK2" s="471"/>
    </row>
    <row r="3" spans="1:38" ht="12.75" hidden="1" customHeight="1">
      <c r="A3" s="587" t="s">
        <v>18</v>
      </c>
      <c r="B3" s="525">
        <f t="shared" ref="B3:B29" si="0">IF(A3&lt;&gt;"",VLOOKUP($A3,$A$46:$N$157,2,0),"")</f>
        <v>1276</v>
      </c>
      <c r="C3" s="522">
        <f t="shared" ref="C3:C6" si="1">IF(A3&lt;&gt;"",VLOOKUP($A3,$A$42:$N$157,3,0),"")</f>
        <v>41.350999999999999</v>
      </c>
      <c r="D3" s="526">
        <f t="shared" ref="D3:D6" si="2">IF(A3&lt;&gt;"",VLOOKUP($A3,$A$42:$N$157,4,0),"")</f>
        <v>41.75</v>
      </c>
      <c r="E3" s="530">
        <f t="shared" ref="E3:E6" si="3">IF(A3&lt;&gt;"",VLOOKUP($A3,$A$42:$N$157,5,0),"")</f>
        <v>6051</v>
      </c>
      <c r="F3" s="338">
        <f t="shared" ref="F3:F29" si="4">IF($A3&lt;&gt;"",VLOOKUP($A3,$A$42:$N$157,6,0),"")</f>
        <v>41.600999999999999</v>
      </c>
      <c r="G3" s="535">
        <f t="shared" ref="G3:G29" si="5">IF($A3&lt;&gt;"",VLOOKUP($A3,$A$42:$N$157,7,0),"")</f>
        <v>7.1999999999999998E-3</v>
      </c>
      <c r="H3" s="330">
        <f t="shared" ref="H3:H29" si="6">IF($A3&lt;&gt;"",VLOOKUP($A3,$A$42:$N$157,8,0),"")</f>
        <v>41</v>
      </c>
      <c r="I3" s="321">
        <f t="shared" ref="I3:I29" si="7">IF($A3&lt;&gt;"",VLOOKUP($A3,$A$42:$N$157,9,0),"")</f>
        <v>41.999000000000002</v>
      </c>
      <c r="J3" s="454">
        <f t="shared" ref="J3:J29" si="8">IF($A3&lt;&gt;"",VLOOKUP($A3,$A$42:$N$157,10,0),"")</f>
        <v>41</v>
      </c>
      <c r="K3" s="325">
        <f t="shared" ref="K3:K29" si="9">IF($A3&lt;&gt;"",VLOOKUP($A3,$A$42:$N$157,11,0),"")</f>
        <v>41.3</v>
      </c>
      <c r="L3" s="328">
        <f t="shared" ref="L3:L29" si="10">IF($A3&lt;&gt;"",VLOOKUP($A3,$A$42:$N$157,12,0),"")</f>
        <v>2878178</v>
      </c>
      <c r="M3" s="325">
        <f t="shared" ref="M3:M29" si="11">IF($A3&lt;&gt;"",VLOOKUP($A3,$A$42:$N$157,13,0),"")</f>
        <v>6915913</v>
      </c>
      <c r="N3" s="328">
        <f t="shared" ref="N3:N29" si="12">IF($A3&lt;&gt;"",VLOOKUP($A3,$A$42:$N$157,14,0),"")</f>
        <v>3092</v>
      </c>
      <c r="O3" s="448">
        <f t="shared" ref="O3:O29" si="13">IF($A3&lt;&gt;"",VLOOKUP($A3,$A$42:$O$157,15,0),"")</f>
        <v>45303.6877662037</v>
      </c>
      <c r="P3" s="461">
        <v>2</v>
      </c>
      <c r="Q3" s="396">
        <v>0</v>
      </c>
      <c r="R3" s="715">
        <v>0</v>
      </c>
      <c r="S3" s="428">
        <v>0</v>
      </c>
      <c r="T3" s="354">
        <v>0</v>
      </c>
      <c r="U3" s="415">
        <v>0</v>
      </c>
      <c r="V3" s="500">
        <v>0</v>
      </c>
      <c r="W3" s="541">
        <v>0</v>
      </c>
      <c r="X3" s="546">
        <v>0</v>
      </c>
      <c r="Y3" s="502">
        <f>IFERROR(INT($Z2/($D3*(1+$V$1)/100)),0)</f>
        <v>21</v>
      </c>
      <c r="Z3" s="673">
        <f>$D3/100*INT($Y3)</f>
        <v>8.7675000000000001</v>
      </c>
      <c r="AA3" s="759"/>
      <c r="AD3" s="49" t="s">
        <v>320</v>
      </c>
      <c r="AE3" s="480">
        <v>45305</v>
      </c>
      <c r="AF3" s="48"/>
      <c r="AG3" s="52"/>
      <c r="AH3" s="52"/>
      <c r="AI3" s="48"/>
      <c r="AJ3" s="477"/>
      <c r="AK3" s="48"/>
    </row>
    <row r="4" spans="1:38" ht="12.75" hidden="1" customHeight="1">
      <c r="A4" s="585" t="s">
        <v>16</v>
      </c>
      <c r="B4" s="532">
        <f t="shared" si="0"/>
        <v>889</v>
      </c>
      <c r="C4" s="524">
        <f t="shared" si="1"/>
        <v>45110</v>
      </c>
      <c r="D4" s="521">
        <f t="shared" si="2"/>
        <v>45150</v>
      </c>
      <c r="E4" s="527">
        <f t="shared" si="3"/>
        <v>12382</v>
      </c>
      <c r="F4" s="437">
        <f t="shared" si="4"/>
        <v>45150</v>
      </c>
      <c r="G4" s="534">
        <f t="shared" si="5"/>
        <v>-2.3799999999999998E-2</v>
      </c>
      <c r="H4" s="331">
        <f t="shared" si="6"/>
        <v>45715</v>
      </c>
      <c r="I4" s="323">
        <f t="shared" si="7"/>
        <v>46990</v>
      </c>
      <c r="J4" s="457">
        <f t="shared" si="8"/>
        <v>44975</v>
      </c>
      <c r="K4" s="327">
        <f t="shared" si="9"/>
        <v>46255</v>
      </c>
      <c r="L4" s="372">
        <f t="shared" si="10"/>
        <v>4970858926</v>
      </c>
      <c r="M4" s="327">
        <f t="shared" si="11"/>
        <v>10861408</v>
      </c>
      <c r="N4" s="372">
        <f t="shared" si="12"/>
        <v>5516</v>
      </c>
      <c r="O4" s="447">
        <f t="shared" si="13"/>
        <v>45303.687604166669</v>
      </c>
      <c r="P4" s="462">
        <v>3</v>
      </c>
      <c r="Q4" s="399">
        <v>0</v>
      </c>
      <c r="R4" s="714">
        <v>0</v>
      </c>
      <c r="S4" s="431">
        <v>0</v>
      </c>
      <c r="T4" s="355">
        <v>0</v>
      </c>
      <c r="U4" s="414">
        <v>0</v>
      </c>
      <c r="V4" s="499">
        <v>0</v>
      </c>
      <c r="W4" s="542">
        <v>0</v>
      </c>
      <c r="X4" s="547">
        <v>0</v>
      </c>
      <c r="Y4" s="503">
        <f t="shared" ref="Y4:Y12" si="14">Y3</f>
        <v>21</v>
      </c>
      <c r="Z4" s="519">
        <f>$C4*(1-$V$1)/100*INT($Y4)</f>
        <v>9473.1</v>
      </c>
      <c r="AA4" s="752">
        <f>IFERROR($Z4-$Z5,"")</f>
        <v>409.10000000000036</v>
      </c>
      <c r="AD4" s="473" t="s">
        <v>321</v>
      </c>
      <c r="AE4" s="480">
        <v>45306</v>
      </c>
      <c r="AF4" s="471">
        <v>36292241.810000002</v>
      </c>
      <c r="AG4" s="472">
        <v>0.89500000000000002</v>
      </c>
      <c r="AH4" s="472">
        <v>0.9</v>
      </c>
      <c r="AI4" s="471">
        <v>349711694.43000001</v>
      </c>
      <c r="AJ4" s="476">
        <v>0.89500000000000002</v>
      </c>
      <c r="AK4" s="471"/>
      <c r="AL4" s="47"/>
    </row>
    <row r="5" spans="1:38" ht="12.75" hidden="1" customHeight="1">
      <c r="A5" s="679" t="s">
        <v>13</v>
      </c>
      <c r="B5" s="528">
        <f t="shared" si="0"/>
        <v>37614</v>
      </c>
      <c r="C5" s="409">
        <f t="shared" si="1"/>
        <v>41000</v>
      </c>
      <c r="D5" s="529">
        <f t="shared" si="2"/>
        <v>41200</v>
      </c>
      <c r="E5" s="531">
        <f t="shared" si="3"/>
        <v>763</v>
      </c>
      <c r="F5" s="533">
        <f t="shared" si="4"/>
        <v>41000</v>
      </c>
      <c r="G5" s="536">
        <f t="shared" si="5"/>
        <v>-3.2899999999999999E-2</v>
      </c>
      <c r="H5" s="402">
        <f t="shared" si="6"/>
        <v>42400</v>
      </c>
      <c r="I5" s="403">
        <f t="shared" si="7"/>
        <v>42400</v>
      </c>
      <c r="J5" s="456">
        <f t="shared" si="8"/>
        <v>40700</v>
      </c>
      <c r="K5" s="405">
        <f t="shared" si="9"/>
        <v>42395</v>
      </c>
      <c r="L5" s="404">
        <f t="shared" si="10"/>
        <v>60360244360</v>
      </c>
      <c r="M5" s="405">
        <f t="shared" si="11"/>
        <v>145569954</v>
      </c>
      <c r="N5" s="680">
        <f t="shared" si="12"/>
        <v>53074</v>
      </c>
      <c r="O5" s="449">
        <f t="shared" si="13"/>
        <v>45303.687627314815</v>
      </c>
      <c r="P5" s="681">
        <v>4</v>
      </c>
      <c r="Q5" s="463">
        <v>0</v>
      </c>
      <c r="R5" s="716">
        <v>0</v>
      </c>
      <c r="S5" s="430">
        <v>0</v>
      </c>
      <c r="T5" s="584">
        <v>0</v>
      </c>
      <c r="U5" s="737">
        <v>0</v>
      </c>
      <c r="V5" s="500">
        <v>0</v>
      </c>
      <c r="W5" s="682">
        <v>0</v>
      </c>
      <c r="X5" s="568">
        <v>0</v>
      </c>
      <c r="Y5" s="683">
        <f>IFERROR($Z4/($D5*(1+$V$1)/100),0)</f>
        <v>22.992961165048545</v>
      </c>
      <c r="Z5" s="684">
        <f>$D5/100*INT($Y5)</f>
        <v>9064</v>
      </c>
      <c r="AA5" s="760"/>
      <c r="AD5" s="49" t="s">
        <v>322</v>
      </c>
      <c r="AE5" s="480">
        <v>45307</v>
      </c>
      <c r="AF5" s="48">
        <v>3086401.62</v>
      </c>
      <c r="AG5" s="52">
        <v>0.871</v>
      </c>
      <c r="AH5" s="52">
        <v>0.97</v>
      </c>
      <c r="AI5" s="48">
        <v>170400</v>
      </c>
      <c r="AJ5" s="477">
        <v>0.871</v>
      </c>
      <c r="AK5" s="48">
        <v>10025993784</v>
      </c>
      <c r="AL5" s="47"/>
    </row>
    <row r="6" spans="1:38" ht="12.75" hidden="1" customHeight="1">
      <c r="A6" s="520" t="str">
        <f>IF($A$22&lt;&gt;0,$A$22,"")</f>
        <v/>
      </c>
      <c r="B6" s="532" t="str">
        <f t="shared" si="0"/>
        <v/>
      </c>
      <c r="C6" s="524" t="str">
        <f t="shared" si="1"/>
        <v/>
      </c>
      <c r="D6" s="370" t="str">
        <f t="shared" si="2"/>
        <v/>
      </c>
      <c r="E6" s="523" t="str">
        <f t="shared" si="3"/>
        <v/>
      </c>
      <c r="F6" s="437" t="str">
        <f t="shared" si="4"/>
        <v/>
      </c>
      <c r="G6" s="534" t="str">
        <f t="shared" si="5"/>
        <v/>
      </c>
      <c r="H6" s="329" t="str">
        <f t="shared" si="6"/>
        <v/>
      </c>
      <c r="I6" s="320" t="str">
        <f t="shared" si="7"/>
        <v/>
      </c>
      <c r="J6" s="455" t="str">
        <f t="shared" si="8"/>
        <v/>
      </c>
      <c r="K6" s="324" t="str">
        <f t="shared" si="9"/>
        <v/>
      </c>
      <c r="L6" s="392" t="str">
        <f t="shared" si="10"/>
        <v/>
      </c>
      <c r="M6" s="324" t="str">
        <f t="shared" si="11"/>
        <v/>
      </c>
      <c r="N6" s="392" t="str">
        <f t="shared" si="12"/>
        <v/>
      </c>
      <c r="O6" s="443" t="str">
        <f t="shared" si="13"/>
        <v/>
      </c>
      <c r="P6" s="462">
        <v>5</v>
      </c>
      <c r="Q6" s="723">
        <v>0</v>
      </c>
      <c r="R6" s="717">
        <v>0</v>
      </c>
      <c r="S6" s="429">
        <v>0</v>
      </c>
      <c r="T6" s="348">
        <v>0</v>
      </c>
      <c r="U6" s="590">
        <v>0</v>
      </c>
      <c r="V6" s="499">
        <v>0</v>
      </c>
      <c r="W6" s="540">
        <v>0</v>
      </c>
      <c r="X6" s="548">
        <v>0</v>
      </c>
      <c r="Y6" s="501">
        <f>IFERROR(IF($Y$1&lt;&gt;"",INT($Y$1/(D9/100)),100),100)</f>
        <v>100</v>
      </c>
      <c r="Z6" s="517" t="str">
        <f>IFERROR($C6*(1-$V$1)/100*$Y6,"")</f>
        <v/>
      </c>
      <c r="AA6" s="758" t="str">
        <f>IFERROR($Z6-$Z7,"")</f>
        <v/>
      </c>
      <c r="AB6" s="318"/>
      <c r="AD6" s="473" t="s">
        <v>323</v>
      </c>
      <c r="AE6" s="480">
        <v>45308</v>
      </c>
      <c r="AF6" s="471">
        <v>229967166.49000001</v>
      </c>
      <c r="AG6" s="472">
        <v>0.86750000000000005</v>
      </c>
      <c r="AH6" s="472">
        <v>0.89</v>
      </c>
      <c r="AI6" s="471">
        <v>650000</v>
      </c>
      <c r="AJ6" s="476">
        <v>0.86750000000000005</v>
      </c>
      <c r="AK6" s="471">
        <v>2255369574</v>
      </c>
    </row>
    <row r="7" spans="1:38" ht="12.75" hidden="1" customHeight="1">
      <c r="A7" s="587" t="str">
        <f>IF($Z$26&lt;&gt;0,Z26,"")</f>
        <v/>
      </c>
      <c r="B7" s="525" t="str">
        <f t="shared" si="0"/>
        <v/>
      </c>
      <c r="C7" s="522" t="str">
        <f t="shared" ref="C7:C29" si="15">IF(A7&lt;&gt;"",VLOOKUP($A7,$A$42:$N$157,3,0),"")</f>
        <v/>
      </c>
      <c r="D7" s="526" t="str">
        <f t="shared" ref="D7:D29" si="16">IF(A7&lt;&gt;"",VLOOKUP($A7,$A$42:$N$157,4,0),"")</f>
        <v/>
      </c>
      <c r="E7" s="530" t="str">
        <f t="shared" ref="E7:E29" si="17">IF(A7&lt;&gt;"",VLOOKUP($A7,$A$42:$N$157,5,0),"")</f>
        <v/>
      </c>
      <c r="F7" s="338" t="str">
        <f t="shared" si="4"/>
        <v/>
      </c>
      <c r="G7" s="535" t="str">
        <f t="shared" si="5"/>
        <v/>
      </c>
      <c r="H7" s="330" t="str">
        <f t="shared" si="6"/>
        <v/>
      </c>
      <c r="I7" s="321" t="str">
        <f t="shared" si="7"/>
        <v/>
      </c>
      <c r="J7" s="454" t="str">
        <f t="shared" si="8"/>
        <v/>
      </c>
      <c r="K7" s="325" t="str">
        <f t="shared" si="9"/>
        <v/>
      </c>
      <c r="L7" s="328" t="str">
        <f t="shared" si="10"/>
        <v/>
      </c>
      <c r="M7" s="346" t="str">
        <f t="shared" si="11"/>
        <v/>
      </c>
      <c r="N7" s="328" t="str">
        <f t="shared" si="12"/>
        <v/>
      </c>
      <c r="O7" s="442" t="str">
        <f t="shared" si="13"/>
        <v/>
      </c>
      <c r="P7" s="461">
        <v>6</v>
      </c>
      <c r="Q7" s="396">
        <v>0</v>
      </c>
      <c r="R7" s="715">
        <v>0</v>
      </c>
      <c r="S7" s="428">
        <v>0</v>
      </c>
      <c r="T7" s="347">
        <v>0</v>
      </c>
      <c r="U7" s="415">
        <v>0</v>
      </c>
      <c r="V7" s="500">
        <v>0</v>
      </c>
      <c r="W7" s="541">
        <v>0</v>
      </c>
      <c r="X7" s="549">
        <v>0</v>
      </c>
      <c r="Y7" s="502">
        <f>IFERROR(INT($Z6/($D7*(1+$V$1)/100)),0)</f>
        <v>0</v>
      </c>
      <c r="Z7" s="518" t="str">
        <f>IFERROR($D7/100*INT($Y7),"")</f>
        <v/>
      </c>
      <c r="AA7" s="759"/>
      <c r="AD7" s="49" t="s">
        <v>324</v>
      </c>
      <c r="AE7" s="480">
        <v>45309</v>
      </c>
      <c r="AF7" s="48">
        <v>43520870.479999997</v>
      </c>
      <c r="AG7" s="52">
        <v>0.87</v>
      </c>
      <c r="AH7" s="52">
        <v>0.88500000000000001</v>
      </c>
      <c r="AI7" s="48">
        <v>700000</v>
      </c>
      <c r="AJ7" s="477">
        <v>0.87</v>
      </c>
      <c r="AK7" s="48">
        <v>568546629</v>
      </c>
    </row>
    <row r="8" spans="1:38" hidden="1">
      <c r="A8" s="585" t="str">
        <f>IF($A$26&lt;&gt;0,A26,"")</f>
        <v/>
      </c>
      <c r="B8" s="532" t="str">
        <f t="shared" si="0"/>
        <v/>
      </c>
      <c r="C8" s="524" t="str">
        <f t="shared" si="15"/>
        <v/>
      </c>
      <c r="D8" s="521" t="str">
        <f t="shared" si="16"/>
        <v/>
      </c>
      <c r="E8" s="527" t="str">
        <f t="shared" si="17"/>
        <v/>
      </c>
      <c r="F8" s="437" t="str">
        <f t="shared" si="4"/>
        <v/>
      </c>
      <c r="G8" s="534" t="str">
        <f t="shared" si="5"/>
        <v/>
      </c>
      <c r="H8" s="329" t="str">
        <f t="shared" si="6"/>
        <v/>
      </c>
      <c r="I8" s="320" t="str">
        <f t="shared" si="7"/>
        <v/>
      </c>
      <c r="J8" s="455" t="str">
        <f t="shared" si="8"/>
        <v/>
      </c>
      <c r="K8" s="324" t="str">
        <f t="shared" si="9"/>
        <v/>
      </c>
      <c r="L8" s="392" t="str">
        <f t="shared" si="10"/>
        <v/>
      </c>
      <c r="M8" s="324" t="str">
        <f t="shared" si="11"/>
        <v/>
      </c>
      <c r="N8" s="392" t="str">
        <f t="shared" si="12"/>
        <v/>
      </c>
      <c r="O8" s="443" t="str">
        <f t="shared" si="13"/>
        <v/>
      </c>
      <c r="P8" s="462">
        <v>7</v>
      </c>
      <c r="Q8" s="723">
        <v>0</v>
      </c>
      <c r="R8" s="717">
        <v>0</v>
      </c>
      <c r="S8" s="429">
        <v>0</v>
      </c>
      <c r="T8" s="348">
        <v>0</v>
      </c>
      <c r="U8" s="414">
        <v>0</v>
      </c>
      <c r="V8" s="499">
        <v>0</v>
      </c>
      <c r="W8" s="542">
        <v>0</v>
      </c>
      <c r="X8" s="550">
        <v>0</v>
      </c>
      <c r="Y8" s="503">
        <f t="shared" si="14"/>
        <v>0</v>
      </c>
      <c r="Z8" s="519" t="str">
        <f>IFERROR($C8*(1-$V$1)/100*INT($Y8),"")</f>
        <v/>
      </c>
      <c r="AA8" s="752" t="str">
        <f>IFERROR($Z8-$Z9,"")</f>
        <v/>
      </c>
      <c r="AD8" s="473" t="s">
        <v>325</v>
      </c>
      <c r="AE8" s="480">
        <v>45310</v>
      </c>
      <c r="AF8" s="471">
        <v>198321089.62</v>
      </c>
      <c r="AG8" s="472">
        <v>0.87</v>
      </c>
      <c r="AH8" s="472">
        <v>0.89</v>
      </c>
      <c r="AI8" s="471">
        <v>2305671.63</v>
      </c>
      <c r="AJ8" s="476">
        <v>0.87</v>
      </c>
      <c r="AK8" s="471">
        <v>21660302591</v>
      </c>
    </row>
    <row r="9" spans="1:38" ht="12.75" hidden="1" customHeight="1">
      <c r="A9" s="586" t="str">
        <f>IF($Z$22&lt;&gt;0,Z22,"")</f>
        <v/>
      </c>
      <c r="B9" s="571" t="str">
        <f t="shared" si="0"/>
        <v/>
      </c>
      <c r="C9" s="572" t="str">
        <f t="shared" si="15"/>
        <v/>
      </c>
      <c r="D9" s="573" t="str">
        <f t="shared" si="16"/>
        <v/>
      </c>
      <c r="E9" s="574" t="str">
        <f t="shared" si="17"/>
        <v/>
      </c>
      <c r="F9" s="575" t="str">
        <f t="shared" si="4"/>
        <v/>
      </c>
      <c r="G9" s="576" t="str">
        <f t="shared" si="5"/>
        <v/>
      </c>
      <c r="H9" s="373" t="str">
        <f t="shared" si="6"/>
        <v/>
      </c>
      <c r="I9" s="374" t="str">
        <f t="shared" si="7"/>
        <v/>
      </c>
      <c r="J9" s="459" t="str">
        <f t="shared" si="8"/>
        <v/>
      </c>
      <c r="K9" s="375" t="str">
        <f t="shared" si="9"/>
        <v/>
      </c>
      <c r="L9" s="379" t="str">
        <f t="shared" si="10"/>
        <v/>
      </c>
      <c r="M9" s="375" t="str">
        <f t="shared" si="11"/>
        <v/>
      </c>
      <c r="N9" s="379" t="str">
        <f t="shared" si="12"/>
        <v/>
      </c>
      <c r="O9" s="577" t="str">
        <f t="shared" si="13"/>
        <v/>
      </c>
      <c r="P9" s="461">
        <v>8</v>
      </c>
      <c r="Q9" s="398">
        <v>0</v>
      </c>
      <c r="R9" s="718">
        <v>0</v>
      </c>
      <c r="S9" s="434">
        <v>0</v>
      </c>
      <c r="T9" s="579">
        <v>0</v>
      </c>
      <c r="U9" s="415">
        <v>0</v>
      </c>
      <c r="V9" s="500">
        <v>0</v>
      </c>
      <c r="W9" s="593">
        <v>0</v>
      </c>
      <c r="X9" s="594">
        <v>0</v>
      </c>
      <c r="Y9" s="580">
        <f>IFERROR($Z8/($D9*(1+$V$1)/100),0)</f>
        <v>0</v>
      </c>
      <c r="Z9" s="581" t="str">
        <f>IFERROR($D9/100*INT($Y9),"")</f>
        <v/>
      </c>
      <c r="AA9" s="753"/>
      <c r="AD9" s="49"/>
      <c r="AE9" s="480"/>
      <c r="AF9" s="474"/>
      <c r="AG9" s="475"/>
      <c r="AH9" s="475"/>
      <c r="AI9" s="474"/>
      <c r="AJ9" s="478"/>
      <c r="AK9" s="474"/>
    </row>
    <row r="10" spans="1:38" ht="12.75" hidden="1" customHeight="1">
      <c r="A10" s="520" t="str">
        <f>IF($A$24&lt;&gt;0,A24,"")</f>
        <v/>
      </c>
      <c r="B10" s="532" t="str">
        <f t="shared" si="0"/>
        <v/>
      </c>
      <c r="C10" s="524" t="str">
        <f t="shared" si="15"/>
        <v/>
      </c>
      <c r="D10" s="370" t="str">
        <f t="shared" si="16"/>
        <v/>
      </c>
      <c r="E10" s="523" t="str">
        <f t="shared" si="17"/>
        <v/>
      </c>
      <c r="F10" s="437" t="str">
        <f t="shared" si="4"/>
        <v/>
      </c>
      <c r="G10" s="534" t="str">
        <f t="shared" si="5"/>
        <v/>
      </c>
      <c r="H10" s="329" t="str">
        <f t="shared" si="6"/>
        <v/>
      </c>
      <c r="I10" s="320" t="str">
        <f t="shared" si="7"/>
        <v/>
      </c>
      <c r="J10" s="455" t="str">
        <f t="shared" si="8"/>
        <v/>
      </c>
      <c r="K10" s="324" t="str">
        <f t="shared" si="9"/>
        <v/>
      </c>
      <c r="L10" s="392" t="str">
        <f t="shared" si="10"/>
        <v/>
      </c>
      <c r="M10" s="324" t="str">
        <f t="shared" si="11"/>
        <v/>
      </c>
      <c r="N10" s="392" t="str">
        <f t="shared" si="12"/>
        <v/>
      </c>
      <c r="O10" s="443" t="str">
        <f t="shared" si="13"/>
        <v/>
      </c>
      <c r="P10" s="462">
        <v>9</v>
      </c>
      <c r="Q10" s="723">
        <v>0</v>
      </c>
      <c r="R10" s="717">
        <v>0</v>
      </c>
      <c r="S10" s="429">
        <v>0</v>
      </c>
      <c r="T10" s="348">
        <v>0</v>
      </c>
      <c r="U10" s="414">
        <v>0</v>
      </c>
      <c r="V10" s="499">
        <v>0</v>
      </c>
      <c r="W10" s="543">
        <v>0</v>
      </c>
      <c r="X10" s="548">
        <v>0</v>
      </c>
      <c r="Y10" s="501">
        <v>100</v>
      </c>
      <c r="Z10" s="517" t="str">
        <f>IFERROR($C10*(1-$V$1)/100*$Y10,"")</f>
        <v/>
      </c>
      <c r="AA10" s="758" t="str">
        <f>IFERROR($Z10-$Z11,"")</f>
        <v/>
      </c>
      <c r="AB10" s="318"/>
      <c r="AF10" s="278"/>
      <c r="AH10" s="278"/>
      <c r="AJ10" s="47"/>
      <c r="AK10" s="47"/>
    </row>
    <row r="11" spans="1:38" ht="12.75" hidden="1" customHeight="1">
      <c r="A11" s="587" t="str">
        <f>IF($AA$22&lt;&gt;0,AA22,"")</f>
        <v/>
      </c>
      <c r="B11" s="525" t="str">
        <f t="shared" si="0"/>
        <v/>
      </c>
      <c r="C11" s="522" t="str">
        <f t="shared" si="15"/>
        <v/>
      </c>
      <c r="D11" s="526" t="str">
        <f t="shared" si="16"/>
        <v/>
      </c>
      <c r="E11" s="530" t="str">
        <f t="shared" si="17"/>
        <v/>
      </c>
      <c r="F11" s="338" t="str">
        <f t="shared" si="4"/>
        <v/>
      </c>
      <c r="G11" s="535" t="str">
        <f t="shared" si="5"/>
        <v/>
      </c>
      <c r="H11" s="330" t="str">
        <f t="shared" si="6"/>
        <v/>
      </c>
      <c r="I11" s="321" t="str">
        <f t="shared" si="7"/>
        <v/>
      </c>
      <c r="J11" s="454" t="str">
        <f t="shared" si="8"/>
        <v/>
      </c>
      <c r="K11" s="325" t="str">
        <f t="shared" si="9"/>
        <v/>
      </c>
      <c r="L11" s="328" t="str">
        <f t="shared" si="10"/>
        <v/>
      </c>
      <c r="M11" s="325" t="str">
        <f t="shared" si="11"/>
        <v/>
      </c>
      <c r="N11" s="328" t="str">
        <f t="shared" si="12"/>
        <v/>
      </c>
      <c r="O11" s="442" t="str">
        <f t="shared" si="13"/>
        <v/>
      </c>
      <c r="P11" s="461">
        <v>10</v>
      </c>
      <c r="Q11" s="396">
        <v>0</v>
      </c>
      <c r="R11" s="715">
        <v>0</v>
      </c>
      <c r="S11" s="428">
        <v>0</v>
      </c>
      <c r="T11" s="347">
        <v>0</v>
      </c>
      <c r="U11" s="415">
        <v>0</v>
      </c>
      <c r="V11" s="500">
        <v>0</v>
      </c>
      <c r="W11" s="544">
        <v>0</v>
      </c>
      <c r="X11" s="549">
        <v>0</v>
      </c>
      <c r="Y11" s="502">
        <f>IFERROR(INT($Z10/($D11*(1+$V$1)/100)),0)</f>
        <v>0</v>
      </c>
      <c r="Z11" s="518" t="str">
        <f>IFERROR($D11/100*INT($Y11),"")</f>
        <v/>
      </c>
      <c r="AA11" s="759"/>
    </row>
    <row r="12" spans="1:38" ht="12.75" hidden="1" customHeight="1">
      <c r="A12" s="567" t="str">
        <f>IF($A$22&lt;&gt;0,$A$22,"")</f>
        <v/>
      </c>
      <c r="B12" s="532" t="str">
        <f t="shared" si="0"/>
        <v/>
      </c>
      <c r="C12" s="524" t="str">
        <f t="shared" si="15"/>
        <v/>
      </c>
      <c r="D12" s="521" t="str">
        <f t="shared" si="16"/>
        <v/>
      </c>
      <c r="E12" s="527" t="str">
        <f t="shared" si="17"/>
        <v/>
      </c>
      <c r="F12" s="437" t="str">
        <f t="shared" si="4"/>
        <v/>
      </c>
      <c r="G12" s="534" t="str">
        <f t="shared" si="5"/>
        <v/>
      </c>
      <c r="H12" s="329" t="str">
        <f t="shared" si="6"/>
        <v/>
      </c>
      <c r="I12" s="320" t="str">
        <f t="shared" si="7"/>
        <v/>
      </c>
      <c r="J12" s="455" t="str">
        <f t="shared" si="8"/>
        <v/>
      </c>
      <c r="K12" s="324" t="str">
        <f t="shared" si="9"/>
        <v/>
      </c>
      <c r="L12" s="392" t="str">
        <f t="shared" si="10"/>
        <v/>
      </c>
      <c r="M12" s="324" t="str">
        <f t="shared" si="11"/>
        <v/>
      </c>
      <c r="N12" s="392" t="str">
        <f t="shared" si="12"/>
        <v/>
      </c>
      <c r="O12" s="443" t="str">
        <f t="shared" si="13"/>
        <v/>
      </c>
      <c r="P12" s="462">
        <v>11</v>
      </c>
      <c r="Q12" s="723">
        <v>0</v>
      </c>
      <c r="R12" s="717">
        <v>0</v>
      </c>
      <c r="S12" s="429">
        <v>0</v>
      </c>
      <c r="T12" s="348">
        <v>0</v>
      </c>
      <c r="U12" s="414">
        <v>0</v>
      </c>
      <c r="V12" s="499">
        <v>0</v>
      </c>
      <c r="W12" s="564">
        <v>0</v>
      </c>
      <c r="X12" s="550">
        <v>0</v>
      </c>
      <c r="Y12" s="503">
        <f t="shared" si="14"/>
        <v>0</v>
      </c>
      <c r="Z12" s="519" t="str">
        <f>IFERROR($C12*(1-$V$1)/100*INT($Y12),"")</f>
        <v/>
      </c>
      <c r="AA12" s="752" t="str">
        <f>IFERROR($Z12-$Z13,"")</f>
        <v/>
      </c>
    </row>
    <row r="13" spans="1:38" ht="12.75" hidden="1" customHeight="1">
      <c r="A13" s="588" t="str">
        <f>IF($AA$24&lt;&gt;0,AA24,"")</f>
        <v/>
      </c>
      <c r="B13" s="571" t="str">
        <f t="shared" si="0"/>
        <v/>
      </c>
      <c r="C13" s="572" t="str">
        <f t="shared" si="15"/>
        <v/>
      </c>
      <c r="D13" s="573" t="str">
        <f t="shared" si="16"/>
        <v/>
      </c>
      <c r="E13" s="574" t="str">
        <f t="shared" si="17"/>
        <v/>
      </c>
      <c r="F13" s="575" t="str">
        <f t="shared" si="4"/>
        <v/>
      </c>
      <c r="G13" s="576" t="str">
        <f t="shared" si="5"/>
        <v/>
      </c>
      <c r="H13" s="373" t="str">
        <f t="shared" si="6"/>
        <v/>
      </c>
      <c r="I13" s="374" t="str">
        <f t="shared" si="7"/>
        <v/>
      </c>
      <c r="J13" s="459" t="str">
        <f t="shared" si="8"/>
        <v/>
      </c>
      <c r="K13" s="375" t="str">
        <f t="shared" si="9"/>
        <v/>
      </c>
      <c r="L13" s="379" t="str">
        <f t="shared" si="10"/>
        <v/>
      </c>
      <c r="M13" s="375" t="str">
        <f t="shared" si="11"/>
        <v/>
      </c>
      <c r="N13" s="379" t="str">
        <f t="shared" si="12"/>
        <v/>
      </c>
      <c r="O13" s="577" t="str">
        <f t="shared" si="13"/>
        <v/>
      </c>
      <c r="P13" s="461">
        <v>12</v>
      </c>
      <c r="Q13" s="398">
        <v>0</v>
      </c>
      <c r="R13" s="718">
        <v>0</v>
      </c>
      <c r="S13" s="434">
        <v>0</v>
      </c>
      <c r="T13" s="579">
        <v>0</v>
      </c>
      <c r="U13" s="415">
        <v>0</v>
      </c>
      <c r="V13" s="500">
        <v>0</v>
      </c>
      <c r="W13" s="583">
        <v>0</v>
      </c>
      <c r="X13" s="582">
        <v>0</v>
      </c>
      <c r="Y13" s="580">
        <f>IFERROR($Z12/($D13*(1+$V$1)/100),0)</f>
        <v>0</v>
      </c>
      <c r="Z13" s="581" t="str">
        <f>IFERROR($D13/100*INT($Y13),"")</f>
        <v/>
      </c>
      <c r="AA13" s="753"/>
    </row>
    <row r="14" spans="1:38" ht="12.75" hidden="1" customHeight="1">
      <c r="A14" s="520" t="str">
        <f>IF($A$24&lt;&gt;0,A25,"")</f>
        <v/>
      </c>
      <c r="B14" s="532" t="str">
        <f t="shared" si="0"/>
        <v/>
      </c>
      <c r="C14" s="524" t="str">
        <f t="shared" si="15"/>
        <v/>
      </c>
      <c r="D14" s="370" t="str">
        <f t="shared" si="16"/>
        <v/>
      </c>
      <c r="E14" s="523" t="str">
        <f t="shared" si="17"/>
        <v/>
      </c>
      <c r="F14" s="437" t="str">
        <f t="shared" si="4"/>
        <v/>
      </c>
      <c r="G14" s="534" t="str">
        <f t="shared" si="5"/>
        <v/>
      </c>
      <c r="H14" s="331" t="str">
        <f t="shared" si="6"/>
        <v/>
      </c>
      <c r="I14" s="323" t="str">
        <f t="shared" si="7"/>
        <v/>
      </c>
      <c r="J14" s="457" t="str">
        <f t="shared" si="8"/>
        <v/>
      </c>
      <c r="K14" s="327" t="str">
        <f t="shared" si="9"/>
        <v/>
      </c>
      <c r="L14" s="372" t="str">
        <f t="shared" si="10"/>
        <v/>
      </c>
      <c r="M14" s="327" t="str">
        <f t="shared" si="11"/>
        <v/>
      </c>
      <c r="N14" s="372" t="str">
        <f t="shared" si="12"/>
        <v/>
      </c>
      <c r="O14" s="445" t="str">
        <f t="shared" si="13"/>
        <v/>
      </c>
      <c r="P14" s="462">
        <v>13</v>
      </c>
      <c r="Q14" s="399">
        <v>0</v>
      </c>
      <c r="R14" s="714">
        <v>0</v>
      </c>
      <c r="S14" s="431">
        <v>0</v>
      </c>
      <c r="T14" s="376">
        <v>0</v>
      </c>
      <c r="U14" s="414">
        <v>0</v>
      </c>
      <c r="V14" s="499">
        <v>0</v>
      </c>
      <c r="W14" s="543">
        <v>0</v>
      </c>
      <c r="X14" s="548">
        <v>0</v>
      </c>
      <c r="Y14" s="501">
        <v>100</v>
      </c>
      <c r="Z14" s="517" t="str">
        <f>IFERROR($C14*(1-$V$1)/100*$Y14,"")</f>
        <v/>
      </c>
      <c r="AA14" s="758" t="str">
        <f>IFERROR($Z14-$Z15,"")</f>
        <v/>
      </c>
    </row>
    <row r="15" spans="1:38" ht="12.75" hidden="1" customHeight="1">
      <c r="A15" s="591" t="str">
        <f>IF(AA23&lt;&gt;0,AA23,"")</f>
        <v/>
      </c>
      <c r="B15" s="525" t="str">
        <f t="shared" si="0"/>
        <v/>
      </c>
      <c r="C15" s="522" t="str">
        <f t="shared" si="15"/>
        <v/>
      </c>
      <c r="D15" s="526" t="str">
        <f t="shared" si="16"/>
        <v/>
      </c>
      <c r="E15" s="530" t="str">
        <f t="shared" si="17"/>
        <v/>
      </c>
      <c r="F15" s="338" t="str">
        <f t="shared" si="4"/>
        <v/>
      </c>
      <c r="G15" s="535" t="str">
        <f t="shared" si="5"/>
        <v/>
      </c>
      <c r="H15" s="349" t="str">
        <f t="shared" si="6"/>
        <v/>
      </c>
      <c r="I15" s="350" t="str">
        <f t="shared" si="7"/>
        <v/>
      </c>
      <c r="J15" s="458" t="str">
        <f t="shared" si="8"/>
        <v/>
      </c>
      <c r="K15" s="351" t="str">
        <f t="shared" si="9"/>
        <v/>
      </c>
      <c r="L15" s="395" t="str">
        <f t="shared" si="10"/>
        <v/>
      </c>
      <c r="M15" s="351" t="str">
        <f t="shared" si="11"/>
        <v/>
      </c>
      <c r="N15" s="395" t="str">
        <f t="shared" si="12"/>
        <v/>
      </c>
      <c r="O15" s="446" t="str">
        <f t="shared" si="13"/>
        <v/>
      </c>
      <c r="P15" s="461">
        <v>14</v>
      </c>
      <c r="Q15" s="724">
        <v>0</v>
      </c>
      <c r="R15" s="719">
        <v>0</v>
      </c>
      <c r="S15" s="432">
        <v>0</v>
      </c>
      <c r="T15" s="352">
        <v>0</v>
      </c>
      <c r="U15" s="415">
        <v>0</v>
      </c>
      <c r="V15" s="500">
        <v>0</v>
      </c>
      <c r="W15" s="544">
        <v>0</v>
      </c>
      <c r="X15" s="549">
        <v>0</v>
      </c>
      <c r="Y15" s="502">
        <f>IFERROR(INT($Z14/($D15*(1+$V$1)/100)),0)</f>
        <v>0</v>
      </c>
      <c r="Z15" s="518" t="str">
        <f>IFERROR($D15/100*INT($Y15),"")</f>
        <v/>
      </c>
      <c r="AA15" s="759"/>
    </row>
    <row r="16" spans="1:38" ht="12.75" hidden="1" customHeight="1">
      <c r="A16" s="567" t="str">
        <f>IF(A23&lt;&gt;0,A23,"")</f>
        <v/>
      </c>
      <c r="B16" s="532" t="str">
        <f t="shared" si="0"/>
        <v/>
      </c>
      <c r="C16" s="524" t="str">
        <f t="shared" si="15"/>
        <v/>
      </c>
      <c r="D16" s="521" t="str">
        <f t="shared" si="16"/>
        <v/>
      </c>
      <c r="E16" s="527" t="str">
        <f t="shared" si="17"/>
        <v/>
      </c>
      <c r="F16" s="437" t="str">
        <f t="shared" si="4"/>
        <v/>
      </c>
      <c r="G16" s="534" t="str">
        <f t="shared" si="5"/>
        <v/>
      </c>
      <c r="H16" s="329" t="str">
        <f t="shared" si="6"/>
        <v/>
      </c>
      <c r="I16" s="320" t="str">
        <f t="shared" si="7"/>
        <v/>
      </c>
      <c r="J16" s="320" t="str">
        <f t="shared" si="8"/>
        <v/>
      </c>
      <c r="K16" s="324" t="str">
        <f t="shared" si="9"/>
        <v/>
      </c>
      <c r="L16" s="392" t="str">
        <f t="shared" si="10"/>
        <v/>
      </c>
      <c r="M16" s="324" t="str">
        <f t="shared" si="11"/>
        <v/>
      </c>
      <c r="N16" s="392" t="str">
        <f t="shared" si="12"/>
        <v/>
      </c>
      <c r="O16" s="443" t="str">
        <f t="shared" si="13"/>
        <v/>
      </c>
      <c r="P16" s="462">
        <v>15</v>
      </c>
      <c r="Q16" s="725">
        <v>0</v>
      </c>
      <c r="R16" s="717">
        <v>0</v>
      </c>
      <c r="S16" s="429">
        <v>0</v>
      </c>
      <c r="T16" s="348">
        <v>0</v>
      </c>
      <c r="U16" s="414">
        <v>0</v>
      </c>
      <c r="V16" s="499">
        <v>0</v>
      </c>
      <c r="W16" s="564">
        <v>0</v>
      </c>
      <c r="X16" s="550">
        <v>0</v>
      </c>
      <c r="Y16" s="503">
        <f t="shared" ref="Y16" si="18">Y15</f>
        <v>0</v>
      </c>
      <c r="Z16" s="519" t="str">
        <f>IFERROR($C16*(1-$V$1)/100*INT($Y16),"")</f>
        <v/>
      </c>
      <c r="AA16" s="752" t="str">
        <f>IFERROR($Z16-$Z17,"")</f>
        <v/>
      </c>
    </row>
    <row r="17" spans="1:29" ht="12.75" hidden="1" customHeight="1">
      <c r="A17" s="689" t="str">
        <f>IF($AA$25&lt;&gt;0,AA25,"")</f>
        <v/>
      </c>
      <c r="B17" s="528" t="str">
        <f t="shared" si="0"/>
        <v/>
      </c>
      <c r="C17" s="409" t="str">
        <f t="shared" si="15"/>
        <v/>
      </c>
      <c r="D17" s="529" t="str">
        <f t="shared" si="16"/>
        <v/>
      </c>
      <c r="E17" s="531" t="str">
        <f t="shared" si="17"/>
        <v/>
      </c>
      <c r="F17" s="533" t="str">
        <f t="shared" si="4"/>
        <v/>
      </c>
      <c r="G17" s="536" t="str">
        <f t="shared" si="5"/>
        <v/>
      </c>
      <c r="H17" s="402" t="str">
        <f t="shared" si="6"/>
        <v/>
      </c>
      <c r="I17" s="403" t="str">
        <f t="shared" si="7"/>
        <v/>
      </c>
      <c r="J17" s="456" t="str">
        <f t="shared" si="8"/>
        <v/>
      </c>
      <c r="K17" s="405" t="str">
        <f t="shared" si="9"/>
        <v/>
      </c>
      <c r="L17" s="404" t="str">
        <f t="shared" si="10"/>
        <v/>
      </c>
      <c r="M17" s="405" t="str">
        <f t="shared" si="11"/>
        <v/>
      </c>
      <c r="N17" s="404" t="str">
        <f t="shared" si="12"/>
        <v/>
      </c>
      <c r="O17" s="444" t="str">
        <f t="shared" si="13"/>
        <v/>
      </c>
      <c r="P17" s="681">
        <v>16</v>
      </c>
      <c r="Q17" s="463">
        <v>0</v>
      </c>
      <c r="R17" s="720">
        <v>0</v>
      </c>
      <c r="S17" s="430">
        <v>0</v>
      </c>
      <c r="T17" s="406">
        <v>0</v>
      </c>
      <c r="U17" s="415">
        <v>0</v>
      </c>
      <c r="V17" s="500">
        <v>0</v>
      </c>
      <c r="W17" s="592">
        <v>0</v>
      </c>
      <c r="X17" s="690">
        <v>0</v>
      </c>
      <c r="Y17" s="683">
        <f>IFERROR($Z16/($D17*(1+$V$1)/100),0)</f>
        <v>0</v>
      </c>
      <c r="Z17" s="684" t="str">
        <f>IFERROR($D17/100*INT($Y17),"")</f>
        <v/>
      </c>
      <c r="AA17" s="760"/>
    </row>
    <row r="18" spans="1:29" ht="12.75" hidden="1" customHeight="1">
      <c r="A18" s="707" t="s">
        <v>13</v>
      </c>
      <c r="B18" s="729">
        <f t="shared" si="0"/>
        <v>37614</v>
      </c>
      <c r="C18" s="687">
        <f t="shared" si="15"/>
        <v>41000</v>
      </c>
      <c r="D18" s="370">
        <f t="shared" si="16"/>
        <v>41200</v>
      </c>
      <c r="E18" s="728">
        <f t="shared" si="17"/>
        <v>763</v>
      </c>
      <c r="F18" s="437">
        <f t="shared" si="4"/>
        <v>41000</v>
      </c>
      <c r="G18" s="534">
        <f t="shared" si="5"/>
        <v>-3.2899999999999999E-2</v>
      </c>
      <c r="H18" s="331">
        <f t="shared" si="6"/>
        <v>42400</v>
      </c>
      <c r="I18" s="323">
        <f t="shared" si="7"/>
        <v>42400</v>
      </c>
      <c r="J18" s="457">
        <f t="shared" si="8"/>
        <v>40700</v>
      </c>
      <c r="K18" s="327">
        <f t="shared" si="9"/>
        <v>42395</v>
      </c>
      <c r="L18" s="372">
        <f t="shared" si="10"/>
        <v>60360244360</v>
      </c>
      <c r="M18" s="327">
        <f t="shared" si="11"/>
        <v>145569954</v>
      </c>
      <c r="N18" s="372">
        <f t="shared" si="12"/>
        <v>53074</v>
      </c>
      <c r="O18" s="445">
        <f t="shared" si="13"/>
        <v>45303.687627314815</v>
      </c>
      <c r="P18" s="462">
        <v>17</v>
      </c>
      <c r="Q18" s="399">
        <v>0</v>
      </c>
      <c r="R18" s="714">
        <v>0</v>
      </c>
      <c r="S18" s="431">
        <v>0</v>
      </c>
      <c r="T18" s="355">
        <v>0</v>
      </c>
      <c r="U18" s="414">
        <v>0</v>
      </c>
      <c r="V18" s="499">
        <v>0</v>
      </c>
      <c r="W18" s="543">
        <v>0</v>
      </c>
      <c r="X18" s="545">
        <v>0</v>
      </c>
      <c r="Y18" s="713">
        <f>IFERROR(IF($Y$1&lt;&gt;"",INT($Y$1/(D18/100)),100),100)</f>
        <v>24</v>
      </c>
      <c r="Z18" s="710" t="str">
        <f>A19</f>
        <v>GD30 - spot</v>
      </c>
      <c r="AA18" s="746">
        <f>IFERROR(INT(VLOOKUP($A18,$A$42:$N$157,6,0)*$Y18/100)/(VLOOKUP($Z18,$A$42:$N$157,6,0)/100),"")</f>
        <v>21.794019933554818</v>
      </c>
      <c r="AC18" s="318"/>
    </row>
    <row r="19" spans="1:29" ht="12.75" hidden="1" customHeight="1">
      <c r="A19" s="708" t="s">
        <v>16</v>
      </c>
      <c r="B19" s="481">
        <f t="shared" si="0"/>
        <v>889</v>
      </c>
      <c r="C19" s="522">
        <f t="shared" si="15"/>
        <v>45110</v>
      </c>
      <c r="D19" s="526">
        <f t="shared" si="16"/>
        <v>45150</v>
      </c>
      <c r="E19" s="481">
        <f t="shared" si="17"/>
        <v>12382</v>
      </c>
      <c r="F19" s="338">
        <f t="shared" si="4"/>
        <v>45150</v>
      </c>
      <c r="G19" s="535">
        <f t="shared" si="5"/>
        <v>-2.3799999999999998E-2</v>
      </c>
      <c r="H19" s="349">
        <f t="shared" si="6"/>
        <v>45715</v>
      </c>
      <c r="I19" s="350">
        <f t="shared" si="7"/>
        <v>46990</v>
      </c>
      <c r="J19" s="458">
        <f t="shared" si="8"/>
        <v>44975</v>
      </c>
      <c r="K19" s="351">
        <f t="shared" si="9"/>
        <v>46255</v>
      </c>
      <c r="L19" s="395">
        <f t="shared" si="10"/>
        <v>4970858926</v>
      </c>
      <c r="M19" s="351">
        <f t="shared" si="11"/>
        <v>10861408</v>
      </c>
      <c r="N19" s="395">
        <f t="shared" si="12"/>
        <v>5516</v>
      </c>
      <c r="O19" s="446">
        <f t="shared" si="13"/>
        <v>45303.687604166669</v>
      </c>
      <c r="P19" s="461">
        <v>18</v>
      </c>
      <c r="Q19" s="724">
        <v>0</v>
      </c>
      <c r="R19" s="719">
        <v>0</v>
      </c>
      <c r="S19" s="428">
        <v>0</v>
      </c>
      <c r="T19" s="354">
        <v>0</v>
      </c>
      <c r="U19" s="415">
        <v>0</v>
      </c>
      <c r="V19" s="500">
        <v>0</v>
      </c>
      <c r="W19" s="544">
        <v>0</v>
      </c>
      <c r="X19" s="546">
        <v>0</v>
      </c>
      <c r="Y19" s="726">
        <v>22</v>
      </c>
      <c r="Z19" s="711" t="str">
        <f>A18</f>
        <v>AL30 - spot</v>
      </c>
      <c r="AA19" s="744">
        <f>IFERROR(INT(VLOOKUP($A19,$A$42:$N$157,6,0)*$Y19/100)/(VLOOKUP($Z19,$A$42:$N$157,6,0)/100),"")</f>
        <v>24.226829268292683</v>
      </c>
    </row>
    <row r="20" spans="1:29" ht="12.75" hidden="1" customHeight="1">
      <c r="A20" s="707" t="s">
        <v>2</v>
      </c>
      <c r="B20" s="730">
        <f t="shared" si="0"/>
        <v>403547</v>
      </c>
      <c r="C20" s="687">
        <f t="shared" si="15"/>
        <v>41405</v>
      </c>
      <c r="D20" s="521">
        <f t="shared" si="16"/>
        <v>41450</v>
      </c>
      <c r="E20" s="728">
        <f t="shared" si="17"/>
        <v>4301</v>
      </c>
      <c r="F20" s="437">
        <f t="shared" si="4"/>
        <v>41405</v>
      </c>
      <c r="G20" s="534">
        <f t="shared" si="5"/>
        <v>-1.3899999999999999E-2</v>
      </c>
      <c r="H20" s="329">
        <f t="shared" si="6"/>
        <v>42490</v>
      </c>
      <c r="I20" s="320">
        <f t="shared" si="7"/>
        <v>42600</v>
      </c>
      <c r="J20" s="320">
        <f t="shared" si="8"/>
        <v>41200</v>
      </c>
      <c r="K20" s="324">
        <f t="shared" si="9"/>
        <v>41990</v>
      </c>
      <c r="L20" s="392">
        <f t="shared" si="10"/>
        <v>50058409465</v>
      </c>
      <c r="M20" s="324">
        <f t="shared" si="11"/>
        <v>119691770</v>
      </c>
      <c r="N20" s="392">
        <f t="shared" si="12"/>
        <v>22868</v>
      </c>
      <c r="O20" s="443">
        <f t="shared" si="13"/>
        <v>45303.708483796298</v>
      </c>
      <c r="P20" s="462">
        <v>19</v>
      </c>
      <c r="Q20" s="725">
        <v>0</v>
      </c>
      <c r="R20" s="717">
        <v>0</v>
      </c>
      <c r="S20" s="433">
        <v>0</v>
      </c>
      <c r="T20" s="353">
        <v>0</v>
      </c>
      <c r="U20" s="414">
        <v>0</v>
      </c>
      <c r="V20" s="499">
        <v>0</v>
      </c>
      <c r="W20" s="564">
        <v>0</v>
      </c>
      <c r="X20" s="547">
        <v>0</v>
      </c>
      <c r="Y20" s="713">
        <f>Y18</f>
        <v>24</v>
      </c>
      <c r="Z20" s="710" t="str">
        <f>A21</f>
        <v>GD30 - 48hs</v>
      </c>
      <c r="AA20" s="747">
        <f>IFERROR(INT(VLOOKUP($A20,$A$42:$N$157,6,0)*$Y20/100)/(VLOOKUP($Z20,$A$42:$N$157,6,0)/100),"")</f>
        <v>21.786888840166629</v>
      </c>
    </row>
    <row r="21" spans="1:29" ht="12.75" hidden="1" customHeight="1">
      <c r="A21" s="709" t="s">
        <v>5</v>
      </c>
      <c r="B21" s="688">
        <f t="shared" si="0"/>
        <v>491098</v>
      </c>
      <c r="C21" s="409">
        <f t="shared" si="15"/>
        <v>45610</v>
      </c>
      <c r="D21" s="529">
        <f t="shared" si="16"/>
        <v>45650</v>
      </c>
      <c r="E21" s="688">
        <f t="shared" si="17"/>
        <v>56</v>
      </c>
      <c r="F21" s="533">
        <f t="shared" si="4"/>
        <v>45610</v>
      </c>
      <c r="G21" s="536">
        <f t="shared" si="5"/>
        <v>-1.0800000000000001E-2</v>
      </c>
      <c r="H21" s="402">
        <f t="shared" si="6"/>
        <v>46200</v>
      </c>
      <c r="I21" s="403">
        <f t="shared" si="7"/>
        <v>46960</v>
      </c>
      <c r="J21" s="456">
        <f t="shared" si="8"/>
        <v>45380</v>
      </c>
      <c r="K21" s="405">
        <f t="shared" si="9"/>
        <v>46110</v>
      </c>
      <c r="L21" s="404">
        <f t="shared" si="10"/>
        <v>18285820080</v>
      </c>
      <c r="M21" s="405">
        <f t="shared" si="11"/>
        <v>39636719</v>
      </c>
      <c r="N21" s="404">
        <f t="shared" si="12"/>
        <v>5514</v>
      </c>
      <c r="O21" s="444">
        <f t="shared" si="13"/>
        <v>45303.708518518521</v>
      </c>
      <c r="P21" s="461">
        <v>20</v>
      </c>
      <c r="Q21" s="463">
        <v>0</v>
      </c>
      <c r="R21" s="720">
        <v>0</v>
      </c>
      <c r="S21" s="430">
        <v>0</v>
      </c>
      <c r="T21" s="411">
        <v>0</v>
      </c>
      <c r="U21" s="415">
        <v>0</v>
      </c>
      <c r="V21" s="500">
        <v>0</v>
      </c>
      <c r="W21" s="592">
        <v>0</v>
      </c>
      <c r="X21" s="568">
        <v>0</v>
      </c>
      <c r="Y21" s="727">
        <v>22</v>
      </c>
      <c r="Z21" s="712" t="str">
        <f>A20</f>
        <v>AL30 - 48hs</v>
      </c>
      <c r="AA21" s="745">
        <f>IFERROR(INT(VLOOKUP($A21,$A$42:$N$157,6,0)*$Y21/100)/(VLOOKUP($Z21,$A$42:$N$157,6,0)/100),"")</f>
        <v>24.233788189832143</v>
      </c>
    </row>
    <row r="22" spans="1:29" ht="12.75" hidden="1" customHeight="1">
      <c r="A22" s="595"/>
      <c r="B22" s="601" t="str">
        <f t="shared" si="0"/>
        <v/>
      </c>
      <c r="C22" s="602" t="str">
        <f t="shared" si="15"/>
        <v/>
      </c>
      <c r="D22" s="603" t="str">
        <f t="shared" si="16"/>
        <v/>
      </c>
      <c r="E22" s="604" t="str">
        <f t="shared" si="17"/>
        <v/>
      </c>
      <c r="F22" s="605" t="str">
        <f t="shared" si="4"/>
        <v/>
      </c>
      <c r="G22" s="606" t="str">
        <f t="shared" si="5"/>
        <v/>
      </c>
      <c r="H22" s="607" t="str">
        <f t="shared" si="6"/>
        <v/>
      </c>
      <c r="I22" s="608" t="str">
        <f t="shared" si="7"/>
        <v/>
      </c>
      <c r="J22" s="609" t="str">
        <f t="shared" si="8"/>
        <v/>
      </c>
      <c r="K22" s="610" t="str">
        <f t="shared" si="9"/>
        <v/>
      </c>
      <c r="L22" s="611" t="str">
        <f t="shared" si="10"/>
        <v/>
      </c>
      <c r="M22" s="610" t="str">
        <f t="shared" si="11"/>
        <v/>
      </c>
      <c r="N22" s="372" t="str">
        <f t="shared" si="12"/>
        <v/>
      </c>
      <c r="O22" s="445" t="str">
        <f t="shared" si="13"/>
        <v/>
      </c>
      <c r="P22" s="462">
        <v>21</v>
      </c>
      <c r="Q22" s="399">
        <v>0</v>
      </c>
      <c r="R22" s="721">
        <v>0</v>
      </c>
      <c r="S22" s="431">
        <v>0</v>
      </c>
      <c r="T22" s="376">
        <v>0</v>
      </c>
      <c r="U22" s="414">
        <v>0</v>
      </c>
      <c r="V22" s="486">
        <v>0</v>
      </c>
      <c r="W22" s="540">
        <v>0</v>
      </c>
      <c r="X22" s="545">
        <v>0</v>
      </c>
      <c r="Y22" s="646"/>
      <c r="Z22" s="647"/>
      <c r="AA22" s="648"/>
    </row>
    <row r="23" spans="1:29" ht="12.75" hidden="1" customHeight="1">
      <c r="A23" s="596"/>
      <c r="B23" s="612" t="str">
        <f t="shared" si="0"/>
        <v/>
      </c>
      <c r="C23" s="613" t="str">
        <f t="shared" si="15"/>
        <v/>
      </c>
      <c r="D23" s="614" t="str">
        <f t="shared" si="16"/>
        <v/>
      </c>
      <c r="E23" s="615" t="str">
        <f t="shared" si="17"/>
        <v/>
      </c>
      <c r="F23" s="616" t="str">
        <f t="shared" si="4"/>
        <v/>
      </c>
      <c r="G23" s="617" t="str">
        <f t="shared" si="5"/>
        <v/>
      </c>
      <c r="H23" s="618" t="str">
        <f t="shared" si="6"/>
        <v/>
      </c>
      <c r="I23" s="619" t="str">
        <f t="shared" si="7"/>
        <v/>
      </c>
      <c r="J23" s="620" t="str">
        <f t="shared" si="8"/>
        <v/>
      </c>
      <c r="K23" s="621" t="str">
        <f t="shared" si="9"/>
        <v/>
      </c>
      <c r="L23" s="622" t="str">
        <f t="shared" si="10"/>
        <v/>
      </c>
      <c r="M23" s="621" t="str">
        <f t="shared" si="11"/>
        <v/>
      </c>
      <c r="N23" s="395" t="str">
        <f t="shared" si="12"/>
        <v/>
      </c>
      <c r="O23" s="446" t="str">
        <f t="shared" si="13"/>
        <v/>
      </c>
      <c r="P23" s="461">
        <v>22</v>
      </c>
      <c r="Q23" s="724">
        <v>0</v>
      </c>
      <c r="R23" s="719">
        <v>0</v>
      </c>
      <c r="S23" s="432">
        <v>0</v>
      </c>
      <c r="T23" s="352">
        <v>0</v>
      </c>
      <c r="U23" s="589">
        <v>0</v>
      </c>
      <c r="V23" s="487">
        <v>0</v>
      </c>
      <c r="W23" s="541">
        <v>0</v>
      </c>
      <c r="X23" s="546">
        <v>0</v>
      </c>
      <c r="Y23" s="649"/>
      <c r="Z23" s="650"/>
      <c r="AA23" s="651"/>
    </row>
    <row r="24" spans="1:29" ht="12.75" hidden="1" customHeight="1">
      <c r="A24" s="597"/>
      <c r="B24" s="601" t="str">
        <f t="shared" si="0"/>
        <v/>
      </c>
      <c r="C24" s="602" t="str">
        <f t="shared" si="15"/>
        <v/>
      </c>
      <c r="D24" s="623" t="str">
        <f t="shared" si="16"/>
        <v/>
      </c>
      <c r="E24" s="624" t="str">
        <f t="shared" si="17"/>
        <v/>
      </c>
      <c r="F24" s="605" t="str">
        <f t="shared" si="4"/>
        <v/>
      </c>
      <c r="G24" s="606" t="str">
        <f t="shared" si="5"/>
        <v/>
      </c>
      <c r="H24" s="625" t="str">
        <f t="shared" si="6"/>
        <v/>
      </c>
      <c r="I24" s="626" t="str">
        <f t="shared" si="7"/>
        <v/>
      </c>
      <c r="J24" s="627" t="str">
        <f t="shared" si="8"/>
        <v/>
      </c>
      <c r="K24" s="628" t="str">
        <f t="shared" si="9"/>
        <v/>
      </c>
      <c r="L24" s="629" t="str">
        <f t="shared" si="10"/>
        <v/>
      </c>
      <c r="M24" s="628" t="str">
        <f t="shared" si="11"/>
        <v/>
      </c>
      <c r="N24" s="392" t="str">
        <f t="shared" si="12"/>
        <v/>
      </c>
      <c r="O24" s="443" t="str">
        <f t="shared" si="13"/>
        <v/>
      </c>
      <c r="P24" s="462">
        <v>23</v>
      </c>
      <c r="Q24" s="725">
        <v>0</v>
      </c>
      <c r="R24" s="717">
        <v>0</v>
      </c>
      <c r="S24" s="429">
        <v>0</v>
      </c>
      <c r="T24" s="348">
        <v>0</v>
      </c>
      <c r="U24" s="590">
        <v>0</v>
      </c>
      <c r="V24" s="486">
        <v>0</v>
      </c>
      <c r="W24" s="542">
        <v>0</v>
      </c>
      <c r="X24" s="547">
        <v>0</v>
      </c>
      <c r="Y24" s="652"/>
      <c r="Z24" s="647"/>
      <c r="AA24" s="653"/>
    </row>
    <row r="25" spans="1:29" ht="12.75" hidden="1" customHeight="1">
      <c r="A25" s="691"/>
      <c r="B25" s="692" t="str">
        <f t="shared" si="0"/>
        <v/>
      </c>
      <c r="C25" s="693" t="str">
        <f t="shared" si="15"/>
        <v/>
      </c>
      <c r="D25" s="694" t="str">
        <f t="shared" si="16"/>
        <v/>
      </c>
      <c r="E25" s="695" t="str">
        <f t="shared" si="17"/>
        <v/>
      </c>
      <c r="F25" s="696" t="str">
        <f t="shared" si="4"/>
        <v/>
      </c>
      <c r="G25" s="697" t="str">
        <f t="shared" si="5"/>
        <v/>
      </c>
      <c r="H25" s="698" t="str">
        <f t="shared" si="6"/>
        <v/>
      </c>
      <c r="I25" s="699" t="str">
        <f t="shared" si="7"/>
        <v/>
      </c>
      <c r="J25" s="700" t="str">
        <f t="shared" si="8"/>
        <v/>
      </c>
      <c r="K25" s="701" t="str">
        <f t="shared" si="9"/>
        <v/>
      </c>
      <c r="L25" s="702" t="str">
        <f t="shared" si="10"/>
        <v/>
      </c>
      <c r="M25" s="701" t="str">
        <f t="shared" si="11"/>
        <v/>
      </c>
      <c r="N25" s="379" t="str">
        <f t="shared" si="12"/>
        <v/>
      </c>
      <c r="O25" s="577" t="str">
        <f t="shared" si="13"/>
        <v/>
      </c>
      <c r="P25" s="578">
        <v>24</v>
      </c>
      <c r="Q25" s="398">
        <v>0</v>
      </c>
      <c r="R25" s="718">
        <v>0</v>
      </c>
      <c r="S25" s="434">
        <v>0</v>
      </c>
      <c r="T25" s="579">
        <v>0</v>
      </c>
      <c r="U25" s="415">
        <v>0</v>
      </c>
      <c r="V25" s="487">
        <v>0</v>
      </c>
      <c r="W25" s="593">
        <v>0</v>
      </c>
      <c r="X25" s="703">
        <v>0</v>
      </c>
      <c r="Y25" s="704"/>
      <c r="Z25" s="705"/>
      <c r="AA25" s="706"/>
    </row>
    <row r="26" spans="1:29" ht="12.75" hidden="1" customHeight="1">
      <c r="A26" s="598"/>
      <c r="B26" s="601" t="str">
        <f t="shared" si="0"/>
        <v/>
      </c>
      <c r="C26" s="602" t="str">
        <f t="shared" si="15"/>
        <v/>
      </c>
      <c r="D26" s="603" t="str">
        <f t="shared" si="16"/>
        <v/>
      </c>
      <c r="E26" s="604" t="str">
        <f t="shared" si="17"/>
        <v/>
      </c>
      <c r="F26" s="605" t="str">
        <f t="shared" si="4"/>
        <v/>
      </c>
      <c r="G26" s="606" t="str">
        <f t="shared" si="5"/>
        <v/>
      </c>
      <c r="H26" s="607" t="str">
        <f t="shared" si="6"/>
        <v/>
      </c>
      <c r="I26" s="608" t="str">
        <f t="shared" si="7"/>
        <v/>
      </c>
      <c r="J26" s="609" t="str">
        <f t="shared" si="8"/>
        <v/>
      </c>
      <c r="K26" s="610" t="str">
        <f t="shared" si="9"/>
        <v/>
      </c>
      <c r="L26" s="611" t="str">
        <f t="shared" si="10"/>
        <v/>
      </c>
      <c r="M26" s="610" t="str">
        <f t="shared" si="11"/>
        <v/>
      </c>
      <c r="N26" s="372" t="str">
        <f t="shared" si="12"/>
        <v/>
      </c>
      <c r="O26" s="447" t="str">
        <f t="shared" si="13"/>
        <v/>
      </c>
      <c r="P26" s="462">
        <v>25</v>
      </c>
      <c r="Q26" s="399">
        <v>0</v>
      </c>
      <c r="R26" s="714">
        <v>0</v>
      </c>
      <c r="S26" s="431">
        <v>0</v>
      </c>
      <c r="T26" s="355">
        <v>0</v>
      </c>
      <c r="U26" s="414">
        <v>0</v>
      </c>
      <c r="V26" s="417">
        <v>0</v>
      </c>
      <c r="W26" s="317">
        <v>0</v>
      </c>
      <c r="X26" s="551">
        <v>0</v>
      </c>
      <c r="Y26" s="654"/>
      <c r="Z26" s="655"/>
      <c r="AA26" s="656"/>
    </row>
    <row r="27" spans="1:29" ht="12.75" hidden="1" customHeight="1">
      <c r="A27" s="599"/>
      <c r="B27" s="612" t="str">
        <f t="shared" si="0"/>
        <v/>
      </c>
      <c r="C27" s="613" t="str">
        <f t="shared" si="15"/>
        <v/>
      </c>
      <c r="D27" s="614" t="str">
        <f t="shared" si="16"/>
        <v/>
      </c>
      <c r="E27" s="615" t="str">
        <f t="shared" si="17"/>
        <v/>
      </c>
      <c r="F27" s="616" t="str">
        <f t="shared" si="4"/>
        <v/>
      </c>
      <c r="G27" s="617" t="str">
        <f t="shared" si="5"/>
        <v/>
      </c>
      <c r="H27" s="641" t="str">
        <f t="shared" si="6"/>
        <v/>
      </c>
      <c r="I27" s="642" t="str">
        <f t="shared" si="7"/>
        <v/>
      </c>
      <c r="J27" s="643" t="str">
        <f t="shared" si="8"/>
        <v/>
      </c>
      <c r="K27" s="644" t="str">
        <f t="shared" si="9"/>
        <v/>
      </c>
      <c r="L27" s="645" t="str">
        <f t="shared" si="10"/>
        <v/>
      </c>
      <c r="M27" s="644" t="str">
        <f t="shared" si="11"/>
        <v/>
      </c>
      <c r="N27" s="328" t="str">
        <f t="shared" si="12"/>
        <v/>
      </c>
      <c r="O27" s="448" t="str">
        <f t="shared" si="13"/>
        <v/>
      </c>
      <c r="P27" s="461">
        <v>26</v>
      </c>
      <c r="Q27" s="396">
        <v>0</v>
      </c>
      <c r="R27" s="715">
        <v>0</v>
      </c>
      <c r="S27" s="428">
        <v>0</v>
      </c>
      <c r="T27" s="354">
        <v>0</v>
      </c>
      <c r="U27" s="415">
        <v>0</v>
      </c>
      <c r="V27" s="416">
        <v>0</v>
      </c>
      <c r="W27" s="279">
        <v>0</v>
      </c>
      <c r="X27" s="552">
        <v>0</v>
      </c>
      <c r="Y27" s="657"/>
      <c r="Z27" s="658"/>
      <c r="AA27" s="659"/>
    </row>
    <row r="28" spans="1:29" ht="12.75" hidden="1" customHeight="1">
      <c r="A28" s="598"/>
      <c r="B28" s="601" t="str">
        <f t="shared" si="0"/>
        <v/>
      </c>
      <c r="C28" s="602" t="str">
        <f t="shared" si="15"/>
        <v/>
      </c>
      <c r="D28" s="623" t="str">
        <f t="shared" si="16"/>
        <v/>
      </c>
      <c r="E28" s="624" t="str">
        <f t="shared" si="17"/>
        <v/>
      </c>
      <c r="F28" s="605" t="str">
        <f t="shared" si="4"/>
        <v/>
      </c>
      <c r="G28" s="606" t="str">
        <f t="shared" si="5"/>
        <v/>
      </c>
      <c r="H28" s="607" t="str">
        <f t="shared" si="6"/>
        <v/>
      </c>
      <c r="I28" s="608" t="str">
        <f t="shared" si="7"/>
        <v/>
      </c>
      <c r="J28" s="609" t="str">
        <f t="shared" si="8"/>
        <v/>
      </c>
      <c r="K28" s="610" t="str">
        <f t="shared" si="9"/>
        <v/>
      </c>
      <c r="L28" s="611" t="str">
        <f t="shared" si="10"/>
        <v/>
      </c>
      <c r="M28" s="610" t="str">
        <f t="shared" si="11"/>
        <v/>
      </c>
      <c r="N28" s="372" t="str">
        <f t="shared" si="12"/>
        <v/>
      </c>
      <c r="O28" s="447" t="str">
        <f t="shared" si="13"/>
        <v/>
      </c>
      <c r="P28" s="462">
        <v>27</v>
      </c>
      <c r="Q28" s="399">
        <v>0</v>
      </c>
      <c r="R28" s="714">
        <v>0</v>
      </c>
      <c r="S28" s="431">
        <v>0</v>
      </c>
      <c r="T28" s="355">
        <v>0</v>
      </c>
      <c r="U28" s="414">
        <v>0</v>
      </c>
      <c r="V28" s="417">
        <v>0</v>
      </c>
      <c r="W28" s="360">
        <v>0</v>
      </c>
      <c r="X28" s="553">
        <v>0</v>
      </c>
      <c r="Y28" s="660"/>
      <c r="Z28" s="661"/>
      <c r="AA28" s="662"/>
    </row>
    <row r="29" spans="1:29" ht="12.75" hidden="1" customHeight="1">
      <c r="A29" s="600"/>
      <c r="B29" s="630" t="str">
        <f t="shared" si="0"/>
        <v/>
      </c>
      <c r="C29" s="631" t="str">
        <f t="shared" si="15"/>
        <v/>
      </c>
      <c r="D29" s="632" t="str">
        <f t="shared" si="16"/>
        <v/>
      </c>
      <c r="E29" s="633" t="str">
        <f t="shared" si="17"/>
        <v/>
      </c>
      <c r="F29" s="634" t="str">
        <f t="shared" si="4"/>
        <v/>
      </c>
      <c r="G29" s="635" t="str">
        <f t="shared" si="5"/>
        <v/>
      </c>
      <c r="H29" s="636" t="str">
        <f t="shared" si="6"/>
        <v/>
      </c>
      <c r="I29" s="637" t="str">
        <f t="shared" si="7"/>
        <v/>
      </c>
      <c r="J29" s="638" t="str">
        <f t="shared" si="8"/>
        <v/>
      </c>
      <c r="K29" s="639" t="str">
        <f t="shared" si="9"/>
        <v/>
      </c>
      <c r="L29" s="640" t="str">
        <f t="shared" si="10"/>
        <v/>
      </c>
      <c r="M29" s="639" t="str">
        <f t="shared" si="11"/>
        <v/>
      </c>
      <c r="N29" s="404" t="str">
        <f t="shared" si="12"/>
        <v/>
      </c>
      <c r="O29" s="449" t="str">
        <f t="shared" si="13"/>
        <v/>
      </c>
      <c r="P29" s="461">
        <v>28</v>
      </c>
      <c r="Q29" s="463">
        <v>0</v>
      </c>
      <c r="R29" s="716">
        <v>0</v>
      </c>
      <c r="S29" s="430">
        <v>0</v>
      </c>
      <c r="T29" s="584">
        <v>0</v>
      </c>
      <c r="U29" s="415">
        <v>0</v>
      </c>
      <c r="V29" s="416">
        <v>0</v>
      </c>
      <c r="W29" s="436">
        <v>0</v>
      </c>
      <c r="X29" s="554">
        <v>0</v>
      </c>
      <c r="Y29" s="663"/>
      <c r="Z29" s="664"/>
      <c r="AA29" s="665"/>
    </row>
    <row r="30" spans="1:29" ht="12.75" hidden="1" customHeight="1">
      <c r="A30" s="386" t="s">
        <v>642</v>
      </c>
      <c r="B30" s="333">
        <v>15</v>
      </c>
      <c r="C30" s="370">
        <v>16.5</v>
      </c>
      <c r="D30" s="370">
        <v>17</v>
      </c>
      <c r="E30" s="333">
        <v>57</v>
      </c>
      <c r="F30" s="371">
        <v>17</v>
      </c>
      <c r="G30" s="513">
        <v>-0.32</v>
      </c>
      <c r="H30" s="331">
        <v>25.5</v>
      </c>
      <c r="I30" s="323">
        <v>28</v>
      </c>
      <c r="J30" s="457">
        <v>12.7</v>
      </c>
      <c r="K30" s="327">
        <v>25</v>
      </c>
      <c r="L30" s="372">
        <v>7846702</v>
      </c>
      <c r="M30" s="372">
        <v>4263</v>
      </c>
      <c r="N30" s="372">
        <v>493</v>
      </c>
      <c r="O30" s="447">
        <v>45303.708298611113</v>
      </c>
      <c r="P30" s="462">
        <v>29</v>
      </c>
      <c r="Q30" s="399">
        <v>0</v>
      </c>
      <c r="R30" s="423">
        <v>0</v>
      </c>
      <c r="S30" s="431">
        <v>0</v>
      </c>
      <c r="T30" s="355">
        <v>0</v>
      </c>
      <c r="U30" s="414">
        <v>0</v>
      </c>
      <c r="V30" s="417">
        <v>0</v>
      </c>
      <c r="W30" s="317">
        <v>0</v>
      </c>
      <c r="X30" s="551">
        <v>0</v>
      </c>
      <c r="Y30" s="569">
        <v>0</v>
      </c>
      <c r="Z30" s="570">
        <v>0</v>
      </c>
      <c r="AA30" s="368"/>
    </row>
    <row r="31" spans="1:29" ht="12.75" hidden="1" customHeight="1">
      <c r="A31" s="387" t="s">
        <v>643</v>
      </c>
      <c r="B31" s="319">
        <v>6</v>
      </c>
      <c r="C31" s="334">
        <v>10.502000000000001</v>
      </c>
      <c r="D31" s="334">
        <v>10.9</v>
      </c>
      <c r="E31" s="319">
        <v>1</v>
      </c>
      <c r="F31" s="332">
        <v>10.9</v>
      </c>
      <c r="G31" s="515">
        <v>-0.27329999999999999</v>
      </c>
      <c r="H31" s="330">
        <v>15.5</v>
      </c>
      <c r="I31" s="321">
        <v>15.5</v>
      </c>
      <c r="J31" s="454">
        <v>9</v>
      </c>
      <c r="K31" s="325">
        <v>15</v>
      </c>
      <c r="L31" s="328">
        <v>3000007</v>
      </c>
      <c r="M31" s="328">
        <v>2473</v>
      </c>
      <c r="N31" s="328">
        <v>128</v>
      </c>
      <c r="O31" s="448">
        <v>45303.708287037036</v>
      </c>
      <c r="P31" s="461">
        <v>30</v>
      </c>
      <c r="Q31" s="396">
        <v>0</v>
      </c>
      <c r="R31" s="424">
        <v>0</v>
      </c>
      <c r="S31" s="428">
        <v>0</v>
      </c>
      <c r="T31" s="354">
        <v>0</v>
      </c>
      <c r="U31" s="415">
        <v>0</v>
      </c>
      <c r="V31" s="416">
        <v>0</v>
      </c>
      <c r="W31" s="279">
        <v>0</v>
      </c>
      <c r="X31" s="552">
        <v>0</v>
      </c>
      <c r="Y31" s="505">
        <v>0</v>
      </c>
      <c r="Z31" s="509">
        <v>0</v>
      </c>
      <c r="AA31" s="368"/>
    </row>
    <row r="32" spans="1:29" ht="12.75" hidden="1" customHeight="1">
      <c r="A32" s="388" t="s">
        <v>644</v>
      </c>
      <c r="B32" s="356">
        <v>1</v>
      </c>
      <c r="C32" s="357">
        <v>7.55</v>
      </c>
      <c r="D32" s="357">
        <v>7.87</v>
      </c>
      <c r="E32" s="356">
        <v>15</v>
      </c>
      <c r="F32" s="358">
        <v>7.8710000000000004</v>
      </c>
      <c r="G32" s="516">
        <v>-0.2009</v>
      </c>
      <c r="H32" s="342">
        <v>11.5</v>
      </c>
      <c r="I32" s="322">
        <v>11.5</v>
      </c>
      <c r="J32" s="460">
        <v>6.6660000000000004</v>
      </c>
      <c r="K32" s="326">
        <v>9.85</v>
      </c>
      <c r="L32" s="359">
        <v>306825</v>
      </c>
      <c r="M32" s="359">
        <v>383</v>
      </c>
      <c r="N32" s="359">
        <v>111</v>
      </c>
      <c r="O32" s="450">
        <v>45303.707245370373</v>
      </c>
      <c r="P32" s="462">
        <v>31</v>
      </c>
      <c r="Q32" s="397">
        <v>0</v>
      </c>
      <c r="R32" s="425">
        <v>0</v>
      </c>
      <c r="S32" s="433">
        <v>0</v>
      </c>
      <c r="T32" s="353">
        <v>0</v>
      </c>
      <c r="U32" s="414">
        <v>0</v>
      </c>
      <c r="V32" s="417">
        <v>0</v>
      </c>
      <c r="W32" s="360">
        <v>0</v>
      </c>
      <c r="X32" s="553">
        <v>0</v>
      </c>
      <c r="Y32" s="506">
        <v>0</v>
      </c>
      <c r="Z32" s="510">
        <v>0</v>
      </c>
      <c r="AA32" s="368"/>
    </row>
    <row r="33" spans="1:29" ht="12.75" hidden="1" customHeight="1">
      <c r="A33" s="387" t="s">
        <v>645</v>
      </c>
      <c r="B33" s="319">
        <v>1</v>
      </c>
      <c r="C33" s="334">
        <v>5.55</v>
      </c>
      <c r="D33" s="334">
        <v>6.4</v>
      </c>
      <c r="E33" s="319">
        <v>20</v>
      </c>
      <c r="F33" s="332">
        <v>5.5510000000000002</v>
      </c>
      <c r="G33" s="515">
        <v>-0.17920000000000003</v>
      </c>
      <c r="H33" s="330">
        <v>6.7</v>
      </c>
      <c r="I33" s="321">
        <v>6.8010000000000002</v>
      </c>
      <c r="J33" s="454">
        <v>5.25</v>
      </c>
      <c r="K33" s="325">
        <v>6.7629999999999999</v>
      </c>
      <c r="L33" s="328">
        <v>99863</v>
      </c>
      <c r="M33" s="328">
        <v>162</v>
      </c>
      <c r="N33" s="328">
        <v>59</v>
      </c>
      <c r="O33" s="448">
        <v>45303.701770833337</v>
      </c>
      <c r="P33" s="461">
        <v>32</v>
      </c>
      <c r="Q33" s="396">
        <v>0</v>
      </c>
      <c r="R33" s="424">
        <v>0</v>
      </c>
      <c r="S33" s="428">
        <v>0</v>
      </c>
      <c r="T33" s="354">
        <v>0</v>
      </c>
      <c r="U33" s="415">
        <v>0</v>
      </c>
      <c r="V33" s="416">
        <v>0</v>
      </c>
      <c r="W33" s="279">
        <v>0</v>
      </c>
      <c r="X33" s="552">
        <v>0</v>
      </c>
      <c r="Y33" s="505">
        <v>0</v>
      </c>
      <c r="Z33" s="509">
        <v>0</v>
      </c>
      <c r="AA33" s="368"/>
    </row>
    <row r="34" spans="1:29" ht="12.75" hidden="1" customHeight="1">
      <c r="A34" s="388" t="s">
        <v>646</v>
      </c>
      <c r="B34" s="356">
        <v>11</v>
      </c>
      <c r="C34" s="357">
        <v>4.26</v>
      </c>
      <c r="D34" s="357">
        <v>4.3</v>
      </c>
      <c r="E34" s="356">
        <v>1</v>
      </c>
      <c r="F34" s="358">
        <v>4.3</v>
      </c>
      <c r="G34" s="516">
        <v>-0.20379999999999998</v>
      </c>
      <c r="H34" s="342">
        <v>5.9</v>
      </c>
      <c r="I34" s="322">
        <v>5.9</v>
      </c>
      <c r="J34" s="460">
        <v>4.1900000000000004</v>
      </c>
      <c r="K34" s="326">
        <v>5.4009999999999998</v>
      </c>
      <c r="L34" s="359">
        <v>289473</v>
      </c>
      <c r="M34" s="359">
        <v>603</v>
      </c>
      <c r="N34" s="359">
        <v>201</v>
      </c>
      <c r="O34" s="450">
        <v>45303.708275462966</v>
      </c>
      <c r="P34" s="462">
        <v>33</v>
      </c>
      <c r="Q34" s="397">
        <v>0</v>
      </c>
      <c r="R34" s="425">
        <v>0</v>
      </c>
      <c r="S34" s="433">
        <v>0</v>
      </c>
      <c r="T34" s="353">
        <v>0</v>
      </c>
      <c r="U34" s="414">
        <v>0</v>
      </c>
      <c r="V34" s="417">
        <v>0</v>
      </c>
      <c r="W34" s="360">
        <v>0</v>
      </c>
      <c r="X34" s="553">
        <v>0</v>
      </c>
      <c r="Y34" s="506">
        <v>0</v>
      </c>
      <c r="Z34" s="510">
        <v>0</v>
      </c>
      <c r="AA34" s="368"/>
    </row>
    <row r="35" spans="1:29" ht="12.75" hidden="1" customHeight="1">
      <c r="A35" s="387" t="s">
        <v>647</v>
      </c>
      <c r="B35" s="319">
        <v>1</v>
      </c>
      <c r="C35" s="334">
        <v>3.016</v>
      </c>
      <c r="D35" s="334">
        <v>3.0169999999999999</v>
      </c>
      <c r="E35" s="319">
        <v>2</v>
      </c>
      <c r="F35" s="332">
        <v>3.016</v>
      </c>
      <c r="G35" s="515">
        <v>-0.18940000000000001</v>
      </c>
      <c r="H35" s="330">
        <v>4.1500000000000004</v>
      </c>
      <c r="I35" s="321">
        <v>6</v>
      </c>
      <c r="J35" s="454">
        <v>3</v>
      </c>
      <c r="K35" s="325">
        <v>3.7210000000000001</v>
      </c>
      <c r="L35" s="328">
        <v>749117</v>
      </c>
      <c r="M35" s="328">
        <v>2094</v>
      </c>
      <c r="N35" s="328">
        <v>497</v>
      </c>
      <c r="O35" s="448">
        <v>45303.708298611113</v>
      </c>
      <c r="P35" s="461">
        <v>34</v>
      </c>
      <c r="Q35" s="396">
        <v>0</v>
      </c>
      <c r="R35" s="424">
        <v>0</v>
      </c>
      <c r="S35" s="428">
        <v>0</v>
      </c>
      <c r="T35" s="354">
        <v>0</v>
      </c>
      <c r="U35" s="415">
        <v>0</v>
      </c>
      <c r="V35" s="416">
        <v>0</v>
      </c>
      <c r="W35" s="279">
        <v>0</v>
      </c>
      <c r="X35" s="552">
        <v>0</v>
      </c>
      <c r="Y35" s="505">
        <v>0</v>
      </c>
      <c r="Z35" s="509">
        <v>0</v>
      </c>
      <c r="AA35" s="368"/>
    </row>
    <row r="36" spans="1:29" ht="12.75" hidden="1" customHeight="1">
      <c r="A36" s="388" t="s">
        <v>659</v>
      </c>
      <c r="B36" s="356">
        <v>1</v>
      </c>
      <c r="C36" s="357">
        <v>2</v>
      </c>
      <c r="D36" s="357">
        <v>2.2000000000000002</v>
      </c>
      <c r="E36" s="356">
        <v>100</v>
      </c>
      <c r="F36" s="358">
        <v>2.1989999999999998</v>
      </c>
      <c r="G36" s="516">
        <v>-1.3899999999999999E-2</v>
      </c>
      <c r="H36" s="342">
        <v>2.35</v>
      </c>
      <c r="I36" s="322">
        <v>2.75</v>
      </c>
      <c r="J36" s="460">
        <v>2</v>
      </c>
      <c r="K36" s="326">
        <v>2.23</v>
      </c>
      <c r="L36" s="359">
        <v>43597</v>
      </c>
      <c r="M36" s="359">
        <v>204</v>
      </c>
      <c r="N36" s="359">
        <v>56</v>
      </c>
      <c r="O36" s="450">
        <v>45303.706064814818</v>
      </c>
      <c r="P36" s="462">
        <v>35</v>
      </c>
      <c r="Q36" s="397">
        <v>0</v>
      </c>
      <c r="R36" s="425">
        <v>0</v>
      </c>
      <c r="S36" s="433">
        <v>0</v>
      </c>
      <c r="T36" s="353">
        <v>0</v>
      </c>
      <c r="U36" s="414">
        <v>0</v>
      </c>
      <c r="V36" s="417">
        <v>0</v>
      </c>
      <c r="W36" s="360">
        <v>0</v>
      </c>
      <c r="X36" s="553">
        <v>0</v>
      </c>
      <c r="Y36" s="506">
        <v>0</v>
      </c>
      <c r="Z36" s="510">
        <v>0</v>
      </c>
      <c r="AA36" s="368"/>
    </row>
    <row r="37" spans="1:29" ht="12.75" hidden="1" customHeight="1">
      <c r="A37" s="387" t="s">
        <v>660</v>
      </c>
      <c r="B37" s="319">
        <v>1</v>
      </c>
      <c r="C37" s="334">
        <v>2.75</v>
      </c>
      <c r="D37" s="334">
        <v>2.95</v>
      </c>
      <c r="E37" s="319">
        <v>15</v>
      </c>
      <c r="F37" s="332">
        <v>2.75</v>
      </c>
      <c r="G37" s="515">
        <v>-0.1048</v>
      </c>
      <c r="H37" s="330">
        <v>3.35</v>
      </c>
      <c r="I37" s="321">
        <v>3.35</v>
      </c>
      <c r="J37" s="454">
        <v>2.71</v>
      </c>
      <c r="K37" s="325">
        <v>3.0720000000000001</v>
      </c>
      <c r="L37" s="328">
        <v>72499</v>
      </c>
      <c r="M37" s="328">
        <v>250</v>
      </c>
      <c r="N37" s="328">
        <v>66</v>
      </c>
      <c r="O37" s="448">
        <v>45303.705659722225</v>
      </c>
      <c r="P37" s="461">
        <v>36</v>
      </c>
      <c r="Q37" s="396">
        <v>0</v>
      </c>
      <c r="R37" s="424">
        <v>0</v>
      </c>
      <c r="S37" s="428">
        <v>0</v>
      </c>
      <c r="T37" s="354">
        <v>0</v>
      </c>
      <c r="U37" s="415">
        <v>0</v>
      </c>
      <c r="V37" s="416">
        <v>0</v>
      </c>
      <c r="W37" s="279">
        <v>0</v>
      </c>
      <c r="X37" s="552">
        <v>0</v>
      </c>
      <c r="Y37" s="505">
        <v>0</v>
      </c>
      <c r="Z37" s="509">
        <v>0</v>
      </c>
      <c r="AA37" s="368"/>
    </row>
    <row r="38" spans="1:29" ht="12.75" hidden="1" customHeight="1">
      <c r="A38" s="388" t="s">
        <v>661</v>
      </c>
      <c r="B38" s="356">
        <v>45</v>
      </c>
      <c r="C38" s="357">
        <v>4.1109999999999998</v>
      </c>
      <c r="D38" s="357">
        <v>5.15</v>
      </c>
      <c r="E38" s="356">
        <v>1</v>
      </c>
      <c r="F38" s="358">
        <v>4.7030000000000003</v>
      </c>
      <c r="G38" s="516">
        <v>-0.1069</v>
      </c>
      <c r="H38" s="342">
        <v>5</v>
      </c>
      <c r="I38" s="322">
        <v>5.8</v>
      </c>
      <c r="J38" s="460">
        <v>4.0999999999999996</v>
      </c>
      <c r="K38" s="326">
        <v>5.266</v>
      </c>
      <c r="L38" s="359">
        <v>147141</v>
      </c>
      <c r="M38" s="359">
        <v>301</v>
      </c>
      <c r="N38" s="359">
        <v>82</v>
      </c>
      <c r="O38" s="450">
        <v>45303.70584490741</v>
      </c>
      <c r="P38" s="462">
        <v>37</v>
      </c>
      <c r="Q38" s="397">
        <v>0</v>
      </c>
      <c r="R38" s="425">
        <v>0</v>
      </c>
      <c r="S38" s="433">
        <v>0</v>
      </c>
      <c r="T38" s="353">
        <v>0</v>
      </c>
      <c r="U38" s="414">
        <v>0</v>
      </c>
      <c r="V38" s="417">
        <v>0</v>
      </c>
      <c r="W38" s="360">
        <v>0</v>
      </c>
      <c r="X38" s="553">
        <v>0</v>
      </c>
      <c r="Y38" s="506">
        <v>0</v>
      </c>
      <c r="Z38" s="510">
        <v>0</v>
      </c>
      <c r="AA38" s="368"/>
    </row>
    <row r="39" spans="1:29" ht="12.75" hidden="1" customHeight="1">
      <c r="A39" s="387" t="s">
        <v>662</v>
      </c>
      <c r="B39" s="319">
        <v>1</v>
      </c>
      <c r="C39" s="334">
        <v>8</v>
      </c>
      <c r="D39" s="334">
        <v>8.4</v>
      </c>
      <c r="E39" s="319">
        <v>10</v>
      </c>
      <c r="F39" s="332">
        <v>8.4659999999999993</v>
      </c>
      <c r="G39" s="515">
        <v>-6.6699999999999995E-2</v>
      </c>
      <c r="H39" s="330">
        <v>9.01</v>
      </c>
      <c r="I39" s="321">
        <v>9.98</v>
      </c>
      <c r="J39" s="454">
        <v>7.5010000000000003</v>
      </c>
      <c r="K39" s="325">
        <v>9.0719999999999992</v>
      </c>
      <c r="L39" s="328">
        <v>3080504</v>
      </c>
      <c r="M39" s="328">
        <v>3558</v>
      </c>
      <c r="N39" s="328">
        <v>499</v>
      </c>
      <c r="O39" s="448">
        <v>45303.704097222224</v>
      </c>
      <c r="P39" s="461">
        <v>38</v>
      </c>
      <c r="Q39" s="396">
        <v>0</v>
      </c>
      <c r="R39" s="424">
        <v>0</v>
      </c>
      <c r="S39" s="428">
        <v>0</v>
      </c>
      <c r="T39" s="354">
        <v>0</v>
      </c>
      <c r="U39" s="415">
        <v>0</v>
      </c>
      <c r="V39" s="416">
        <v>0</v>
      </c>
      <c r="W39" s="279">
        <v>0</v>
      </c>
      <c r="X39" s="552">
        <v>0</v>
      </c>
      <c r="Y39" s="505">
        <v>0</v>
      </c>
      <c r="Z39" s="509">
        <v>0</v>
      </c>
      <c r="AA39" s="368"/>
    </row>
    <row r="40" spans="1:29" ht="12.75" hidden="1" customHeight="1">
      <c r="A40" s="388" t="s">
        <v>663</v>
      </c>
      <c r="B40" s="356">
        <v>15</v>
      </c>
      <c r="C40" s="357">
        <v>13.451000000000001</v>
      </c>
      <c r="D40" s="357">
        <v>15.14</v>
      </c>
      <c r="E40" s="356">
        <v>1</v>
      </c>
      <c r="F40" s="358">
        <v>14</v>
      </c>
      <c r="G40" s="516">
        <v>-9.5000000000000001E-2</v>
      </c>
      <c r="H40" s="342">
        <v>14</v>
      </c>
      <c r="I40" s="322">
        <v>16.989999999999998</v>
      </c>
      <c r="J40" s="460">
        <v>11.5</v>
      </c>
      <c r="K40" s="326">
        <v>15.471</v>
      </c>
      <c r="L40" s="359">
        <v>2510791</v>
      </c>
      <c r="M40" s="359">
        <v>1692</v>
      </c>
      <c r="N40" s="359">
        <v>307</v>
      </c>
      <c r="O40" s="450">
        <v>45303.704039351855</v>
      </c>
      <c r="P40" s="462">
        <v>39</v>
      </c>
      <c r="Q40" s="397">
        <v>0</v>
      </c>
      <c r="R40" s="425">
        <v>0</v>
      </c>
      <c r="S40" s="433">
        <v>0</v>
      </c>
      <c r="T40" s="353">
        <v>0</v>
      </c>
      <c r="U40" s="414">
        <v>0</v>
      </c>
      <c r="V40" s="417">
        <v>0</v>
      </c>
      <c r="W40" s="360">
        <v>0</v>
      </c>
      <c r="X40" s="553">
        <v>0</v>
      </c>
      <c r="Y40" s="506">
        <v>0</v>
      </c>
      <c r="Z40" s="510">
        <v>0</v>
      </c>
      <c r="AA40" s="368"/>
    </row>
    <row r="41" spans="1:29" ht="12.75" hidden="1" customHeight="1">
      <c r="A41" s="408" t="s">
        <v>664</v>
      </c>
      <c r="B41" s="407">
        <v>5</v>
      </c>
      <c r="C41" s="409">
        <v>25.5</v>
      </c>
      <c r="D41" s="409">
        <v>27.2</v>
      </c>
      <c r="E41" s="407">
        <v>2</v>
      </c>
      <c r="F41" s="410">
        <v>26</v>
      </c>
      <c r="G41" s="514">
        <v>-2.4E-2</v>
      </c>
      <c r="H41" s="402">
        <v>26</v>
      </c>
      <c r="I41" s="403">
        <v>31</v>
      </c>
      <c r="J41" s="456">
        <v>24</v>
      </c>
      <c r="K41" s="405">
        <v>26.640999999999998</v>
      </c>
      <c r="L41" s="404">
        <v>9988537</v>
      </c>
      <c r="M41" s="404">
        <v>3716</v>
      </c>
      <c r="N41" s="404">
        <v>515</v>
      </c>
      <c r="O41" s="449">
        <v>45303.706203703703</v>
      </c>
      <c r="P41" s="461">
        <v>40</v>
      </c>
      <c r="Q41" s="463">
        <v>0</v>
      </c>
      <c r="R41" s="426">
        <v>0</v>
      </c>
      <c r="S41" s="430">
        <v>0</v>
      </c>
      <c r="T41" s="411">
        <v>0</v>
      </c>
      <c r="U41" s="415">
        <v>0</v>
      </c>
      <c r="V41" s="416">
        <v>0</v>
      </c>
      <c r="W41" s="436">
        <v>0</v>
      </c>
      <c r="X41" s="554">
        <v>0</v>
      </c>
      <c r="Y41" s="507">
        <v>0</v>
      </c>
      <c r="Z41" s="511">
        <v>0</v>
      </c>
      <c r="AA41" s="368"/>
    </row>
    <row r="42" spans="1:29" ht="12.75" hidden="1" customHeight="1">
      <c r="A42" s="421" t="s">
        <v>335</v>
      </c>
      <c r="B42" s="364">
        <v>2000</v>
      </c>
      <c r="C42" s="521">
        <v>1813</v>
      </c>
      <c r="D42" s="377">
        <v>1840</v>
      </c>
      <c r="E42" s="364">
        <v>289</v>
      </c>
      <c r="F42" s="378">
        <v>1840</v>
      </c>
      <c r="G42" s="534">
        <v>7.4000000000000003E-3</v>
      </c>
      <c r="H42" s="331">
        <v>1850</v>
      </c>
      <c r="I42" s="323">
        <v>1889.95</v>
      </c>
      <c r="J42" s="457">
        <v>1751</v>
      </c>
      <c r="K42" s="327">
        <v>1826.4</v>
      </c>
      <c r="L42" s="372">
        <v>202735354</v>
      </c>
      <c r="M42" s="327">
        <v>111355</v>
      </c>
      <c r="N42" s="372">
        <v>645</v>
      </c>
      <c r="O42" s="447">
        <v>45303.687210648146</v>
      </c>
      <c r="P42" s="462">
        <v>41</v>
      </c>
      <c r="Q42" s="399">
        <v>0</v>
      </c>
      <c r="R42" s="423">
        <v>0</v>
      </c>
      <c r="S42" s="431">
        <v>0</v>
      </c>
      <c r="T42" s="355">
        <v>0</v>
      </c>
      <c r="U42" s="414">
        <v>0</v>
      </c>
      <c r="V42" s="417">
        <v>0</v>
      </c>
      <c r="W42" s="435">
        <v>0</v>
      </c>
      <c r="X42" s="551">
        <v>0</v>
      </c>
      <c r="Y42" s="736">
        <f>IF(D42&lt;&gt;0,($C43*(1-$V$1))-$D42,0)</f>
        <v>10</v>
      </c>
      <c r="Z42" s="733">
        <f>$F43*($AE$1*$AD$1)</f>
        <v>17.677243287671235</v>
      </c>
      <c r="AA42" s="756" t="str">
        <f>MID($A42,1,5)</f>
        <v xml:space="preserve">GGAL </v>
      </c>
    </row>
    <row r="43" spans="1:29" ht="12.75" hidden="1" customHeight="1">
      <c r="A43" s="466" t="s">
        <v>336</v>
      </c>
      <c r="B43" s="412">
        <v>41</v>
      </c>
      <c r="C43" s="384">
        <v>1850</v>
      </c>
      <c r="D43" s="384">
        <v>1851.95</v>
      </c>
      <c r="E43" s="412">
        <v>19</v>
      </c>
      <c r="F43" s="381">
        <v>1851.95</v>
      </c>
      <c r="G43" s="539">
        <v>4.0000000000000001E-3</v>
      </c>
      <c r="H43" s="373">
        <v>1850</v>
      </c>
      <c r="I43" s="374">
        <v>1888</v>
      </c>
      <c r="J43" s="459">
        <v>1825</v>
      </c>
      <c r="K43" s="375">
        <v>1844.45</v>
      </c>
      <c r="L43" s="379">
        <v>2182906709</v>
      </c>
      <c r="M43" s="375">
        <v>1183380</v>
      </c>
      <c r="N43" s="379">
        <v>2985</v>
      </c>
      <c r="O43" s="451">
        <v>45303.70820601852</v>
      </c>
      <c r="P43" s="461">
        <v>42</v>
      </c>
      <c r="Q43" s="398">
        <v>0</v>
      </c>
      <c r="R43" s="427">
        <v>0</v>
      </c>
      <c r="S43" s="434">
        <v>0</v>
      </c>
      <c r="T43" s="380">
        <v>0</v>
      </c>
      <c r="U43" s="415">
        <v>0</v>
      </c>
      <c r="V43" s="416">
        <v>0</v>
      </c>
      <c r="W43" s="413">
        <v>0</v>
      </c>
      <c r="X43" s="555">
        <v>0</v>
      </c>
      <c r="Y43" s="735">
        <f>IFERROR(IF($Y$1&lt;&gt;"",INT($Y$1/(D42)),100),100)</f>
        <v>5</v>
      </c>
      <c r="Z43" s="734"/>
      <c r="AA43" s="757"/>
    </row>
    <row r="44" spans="1:29" ht="12.75" hidden="1" customHeight="1">
      <c r="A44" s="421" t="s">
        <v>604</v>
      </c>
      <c r="B44" s="364">
        <v>8</v>
      </c>
      <c r="C44" s="521">
        <v>2115</v>
      </c>
      <c r="D44" s="377">
        <v>2150</v>
      </c>
      <c r="E44" s="364">
        <v>185</v>
      </c>
      <c r="F44" s="437">
        <v>2150</v>
      </c>
      <c r="G44" s="534">
        <v>-1.55E-2</v>
      </c>
      <c r="H44" s="331">
        <v>2200</v>
      </c>
      <c r="I44" s="323">
        <v>2270</v>
      </c>
      <c r="J44" s="457">
        <v>2105</v>
      </c>
      <c r="K44" s="327">
        <v>2184</v>
      </c>
      <c r="L44" s="372">
        <v>68816773</v>
      </c>
      <c r="M44" s="327">
        <v>31949</v>
      </c>
      <c r="N44" s="372">
        <v>1212</v>
      </c>
      <c r="O44" s="447">
        <v>45303.687256944446</v>
      </c>
      <c r="P44" s="462">
        <v>43</v>
      </c>
      <c r="Q44" s="399">
        <v>0</v>
      </c>
      <c r="R44" s="423">
        <v>0</v>
      </c>
      <c r="S44" s="431">
        <v>0</v>
      </c>
      <c r="T44" s="355">
        <v>0</v>
      </c>
      <c r="U44" s="414">
        <v>0</v>
      </c>
      <c r="V44" s="417">
        <v>0</v>
      </c>
      <c r="W44" s="438">
        <v>0</v>
      </c>
      <c r="X44" s="556">
        <v>0</v>
      </c>
      <c r="Y44" s="736">
        <f>IF(D44&lt;&gt;0,($C45*(1-$V$1))-$D44,0)</f>
        <v>25</v>
      </c>
      <c r="Z44" s="733">
        <f>$F45*($AE$1*$AD$1)</f>
        <v>20.778957808219179</v>
      </c>
      <c r="AA44" s="754" t="str">
        <f>MID($A44,1,5)</f>
        <v xml:space="preserve">PAMP </v>
      </c>
    </row>
    <row r="45" spans="1:29" ht="12.75" hidden="1" customHeight="1">
      <c r="A45" s="420" t="s">
        <v>605</v>
      </c>
      <c r="B45" s="467">
        <v>17237</v>
      </c>
      <c r="C45" s="743">
        <v>2175</v>
      </c>
      <c r="D45" s="743">
        <v>2188</v>
      </c>
      <c r="E45" s="467">
        <v>1000</v>
      </c>
      <c r="F45" s="468">
        <v>2176.9</v>
      </c>
      <c r="G45" s="742">
        <v>-1.7000000000000001E-3</v>
      </c>
      <c r="H45" s="402">
        <v>2185</v>
      </c>
      <c r="I45" s="403">
        <v>2230</v>
      </c>
      <c r="J45" s="456">
        <v>2120</v>
      </c>
      <c r="K45" s="405">
        <v>2180.6999999999998</v>
      </c>
      <c r="L45" s="404">
        <v>1020476090</v>
      </c>
      <c r="M45" s="405">
        <v>472053</v>
      </c>
      <c r="N45" s="404">
        <v>5360</v>
      </c>
      <c r="O45" s="469">
        <v>45303.708287037036</v>
      </c>
      <c r="P45" s="461">
        <v>44</v>
      </c>
      <c r="Q45" s="463">
        <v>0</v>
      </c>
      <c r="R45" s="426">
        <v>0</v>
      </c>
      <c r="S45" s="430">
        <v>0</v>
      </c>
      <c r="T45" s="411">
        <v>0</v>
      </c>
      <c r="U45" s="415">
        <v>0</v>
      </c>
      <c r="V45" s="416">
        <v>0</v>
      </c>
      <c r="W45" s="470">
        <v>0</v>
      </c>
      <c r="X45" s="557">
        <v>0</v>
      </c>
      <c r="Y45" s="740">
        <f>IFERROR(IF($Y$1&lt;&gt;"",INT($Y$1/(D44)),100),100)</f>
        <v>4</v>
      </c>
      <c r="Z45" s="741"/>
      <c r="AA45" s="755"/>
    </row>
    <row r="46" spans="1:29" ht="12.75" customHeight="1">
      <c r="A46" s="421" t="s">
        <v>13</v>
      </c>
      <c r="B46" s="362">
        <v>37614</v>
      </c>
      <c r="C46" s="521">
        <v>41000</v>
      </c>
      <c r="D46" s="377">
        <v>41200</v>
      </c>
      <c r="E46" s="362">
        <v>763</v>
      </c>
      <c r="F46" s="483">
        <v>41000</v>
      </c>
      <c r="G46" s="534">
        <v>-3.2899999999999999E-2</v>
      </c>
      <c r="H46" s="331">
        <v>42400</v>
      </c>
      <c r="I46" s="323">
        <v>42400</v>
      </c>
      <c r="J46" s="457">
        <v>40700</v>
      </c>
      <c r="K46" s="327">
        <v>42395</v>
      </c>
      <c r="L46" s="372">
        <v>60360244360</v>
      </c>
      <c r="M46" s="327">
        <v>145569954</v>
      </c>
      <c r="N46" s="372">
        <v>53074</v>
      </c>
      <c r="O46" s="447">
        <v>45303.687627314815</v>
      </c>
      <c r="P46" s="462">
        <v>45</v>
      </c>
      <c r="Q46" s="399">
        <v>0</v>
      </c>
      <c r="R46" s="423">
        <v>0</v>
      </c>
      <c r="S46" s="431">
        <v>0</v>
      </c>
      <c r="T46" s="355">
        <v>0</v>
      </c>
      <c r="U46" s="791">
        <v>0</v>
      </c>
      <c r="V46" s="488">
        <v>0</v>
      </c>
      <c r="W46" s="492">
        <v>0</v>
      </c>
      <c r="X46" s="731">
        <v>0</v>
      </c>
      <c r="Y46" s="738">
        <f>IF(D46&lt;&gt;0,($C47*(1-$V$1))-$D46,0)</f>
        <v>205</v>
      </c>
      <c r="Z46" s="739">
        <f>$F47*($AE$1*$AD$1)</f>
        <v>395.21923287671234</v>
      </c>
      <c r="AA46" s="565"/>
      <c r="AB46" s="38"/>
      <c r="AC46" s="361"/>
    </row>
    <row r="47" spans="1:29" ht="12.75" customHeight="1">
      <c r="A47" s="419" t="s">
        <v>2</v>
      </c>
      <c r="B47" s="336">
        <v>403547</v>
      </c>
      <c r="C47" s="337">
        <v>41405</v>
      </c>
      <c r="D47" s="337">
        <v>41450</v>
      </c>
      <c r="E47" s="481">
        <v>4301</v>
      </c>
      <c r="F47" s="484">
        <v>41405</v>
      </c>
      <c r="G47" s="537">
        <v>-1.3899999999999999E-2</v>
      </c>
      <c r="H47" s="330">
        <v>42490</v>
      </c>
      <c r="I47" s="321">
        <v>42600</v>
      </c>
      <c r="J47" s="454">
        <v>41200</v>
      </c>
      <c r="K47" s="325">
        <v>41990</v>
      </c>
      <c r="L47" s="328">
        <v>50058409465</v>
      </c>
      <c r="M47" s="325">
        <v>119691770</v>
      </c>
      <c r="N47" s="328">
        <v>22868</v>
      </c>
      <c r="O47" s="448">
        <v>45303.708483796298</v>
      </c>
      <c r="P47" s="461">
        <v>46</v>
      </c>
      <c r="Q47" s="396">
        <v>0</v>
      </c>
      <c r="R47" s="424">
        <v>0</v>
      </c>
      <c r="S47" s="428">
        <v>0</v>
      </c>
      <c r="T47" s="354">
        <v>0</v>
      </c>
      <c r="U47" s="792">
        <v>0</v>
      </c>
      <c r="V47" s="489">
        <v>0</v>
      </c>
      <c r="W47" s="493">
        <v>0</v>
      </c>
      <c r="X47" s="732">
        <v>0</v>
      </c>
      <c r="Y47" s="735">
        <f>IFERROR(IF($Y$1&lt;&gt;"",INT($Y$1/(D46/100)),100),100)</f>
        <v>24</v>
      </c>
      <c r="Z47" s="734"/>
      <c r="AA47" s="566"/>
      <c r="AB47" s="38"/>
      <c r="AC47" s="367"/>
    </row>
    <row r="48" spans="1:29" ht="12.75" customHeight="1">
      <c r="A48" s="345" t="s">
        <v>15</v>
      </c>
      <c r="B48" s="339">
        <v>3552</v>
      </c>
      <c r="C48" s="340">
        <v>36.68</v>
      </c>
      <c r="D48" s="340">
        <v>37.085000000000001</v>
      </c>
      <c r="E48" s="339">
        <v>2729</v>
      </c>
      <c r="F48" s="341">
        <v>37.085000000000001</v>
      </c>
      <c r="G48" s="538">
        <v>1.5700000000000002E-2</v>
      </c>
      <c r="H48" s="342">
        <v>37.6</v>
      </c>
      <c r="I48" s="322">
        <v>37.6</v>
      </c>
      <c r="J48" s="460">
        <v>36.25</v>
      </c>
      <c r="K48" s="326">
        <v>36.51</v>
      </c>
      <c r="L48" s="359">
        <v>1890625</v>
      </c>
      <c r="M48" s="326">
        <v>5146712</v>
      </c>
      <c r="N48" s="359">
        <v>532</v>
      </c>
      <c r="O48" s="450">
        <v>45303.687569444446</v>
      </c>
      <c r="P48" s="462">
        <v>47</v>
      </c>
      <c r="Q48" s="397">
        <v>0</v>
      </c>
      <c r="R48" s="425">
        <v>0</v>
      </c>
      <c r="S48" s="433">
        <v>0</v>
      </c>
      <c r="T48" s="353">
        <v>0</v>
      </c>
      <c r="U48" s="414">
        <v>0</v>
      </c>
      <c r="V48" s="491">
        <v>0</v>
      </c>
      <c r="W48" s="492">
        <v>0</v>
      </c>
      <c r="X48" s="560">
        <v>0</v>
      </c>
      <c r="Y48" s="748">
        <f>IF(D48&lt;&gt;0,($C49*(1-$V$1))-$D48,0)</f>
        <v>-0.63499999999999801</v>
      </c>
      <c r="Z48" s="519">
        <f>IFERROR(D46/C48,"")</f>
        <v>1123.2279171210469</v>
      </c>
      <c r="AA48" s="674">
        <f>IFERROR($AB$1/(D48/100)*(C46/100),"")</f>
        <v>581462.58595119324</v>
      </c>
      <c r="AB48" s="38"/>
      <c r="AC48" s="367"/>
    </row>
    <row r="49" spans="1:29" ht="12.75" customHeight="1">
      <c r="A49" s="465" t="s">
        <v>3</v>
      </c>
      <c r="B49" s="335">
        <v>50000</v>
      </c>
      <c r="C49" s="337">
        <v>36.450000000000003</v>
      </c>
      <c r="D49" s="337">
        <v>37.15</v>
      </c>
      <c r="E49" s="335">
        <v>10000</v>
      </c>
      <c r="F49" s="338">
        <v>37.18</v>
      </c>
      <c r="G49" s="537">
        <v>1.8600000000000002E-2</v>
      </c>
      <c r="H49" s="330">
        <v>37.5</v>
      </c>
      <c r="I49" s="321">
        <v>37.5</v>
      </c>
      <c r="J49" s="454">
        <v>36.4</v>
      </c>
      <c r="K49" s="325">
        <v>36.5</v>
      </c>
      <c r="L49" s="328">
        <v>43875</v>
      </c>
      <c r="M49" s="325">
        <v>117685</v>
      </c>
      <c r="N49" s="328">
        <v>19</v>
      </c>
      <c r="O49" s="448">
        <v>45303.675185185188</v>
      </c>
      <c r="P49" s="461">
        <v>48</v>
      </c>
      <c r="Q49" s="396">
        <v>0</v>
      </c>
      <c r="R49" s="424">
        <v>0</v>
      </c>
      <c r="S49" s="428">
        <v>0</v>
      </c>
      <c r="T49" s="354">
        <v>0</v>
      </c>
      <c r="U49" s="415">
        <v>0</v>
      </c>
      <c r="V49" s="490">
        <v>0</v>
      </c>
      <c r="W49" s="493">
        <v>0</v>
      </c>
      <c r="X49" s="559">
        <v>0</v>
      </c>
      <c r="Y49" s="749"/>
      <c r="Z49" s="518">
        <f>IFERROR(D47/C49,"")</f>
        <v>1137.1742112482852</v>
      </c>
      <c r="AA49" s="676">
        <f>IFERROR($AB$1/(D49/100)*(C47/100),"")</f>
        <v>586178.88829071331</v>
      </c>
      <c r="AB49" s="38"/>
      <c r="AC49" s="367"/>
    </row>
    <row r="50" spans="1:29" ht="12.75" customHeight="1">
      <c r="A50" s="345" t="s">
        <v>14</v>
      </c>
      <c r="B50" s="343">
        <v>24182</v>
      </c>
      <c r="C50" s="340">
        <v>37.799999999999997</v>
      </c>
      <c r="D50" s="340">
        <v>37.86</v>
      </c>
      <c r="E50" s="343">
        <v>384</v>
      </c>
      <c r="F50" s="341">
        <v>37.799999999999997</v>
      </c>
      <c r="G50" s="538">
        <v>-2.5999999999999999E-3</v>
      </c>
      <c r="H50" s="342">
        <v>37.6</v>
      </c>
      <c r="I50" s="322">
        <v>38.25</v>
      </c>
      <c r="J50" s="460">
        <v>37.42</v>
      </c>
      <c r="K50" s="326">
        <v>37.899000000000001</v>
      </c>
      <c r="L50" s="359">
        <v>39058947</v>
      </c>
      <c r="M50" s="326">
        <v>103438140</v>
      </c>
      <c r="N50" s="359">
        <v>40188</v>
      </c>
      <c r="O50" s="450">
        <v>45303.687824074077</v>
      </c>
      <c r="P50" s="462">
        <v>49</v>
      </c>
      <c r="Q50" s="397">
        <v>0</v>
      </c>
      <c r="R50" s="425">
        <v>0</v>
      </c>
      <c r="S50" s="433">
        <v>0</v>
      </c>
      <c r="T50" s="353">
        <v>0</v>
      </c>
      <c r="U50" s="414">
        <v>0</v>
      </c>
      <c r="V50" s="485">
        <v>0</v>
      </c>
      <c r="W50" s="492">
        <v>0</v>
      </c>
      <c r="X50" s="560">
        <v>0</v>
      </c>
      <c r="Y50" s="750">
        <f>IF(D50&lt;&gt;0,($C51*(1-$V$1))-$D50,0)</f>
        <v>-0.25900000000000034</v>
      </c>
      <c r="Z50" s="517">
        <f>IFERROR(D46/C50,"")</f>
        <v>1089.94708994709</v>
      </c>
      <c r="AA50" s="675">
        <f>IFERROR($AB$1/(D50/100)*(C46/100),"")</f>
        <v>569559.95773903863</v>
      </c>
      <c r="AB50" s="38"/>
      <c r="AC50" s="367"/>
    </row>
    <row r="51" spans="1:29" ht="12.75" customHeight="1">
      <c r="A51" s="422" t="s">
        <v>4</v>
      </c>
      <c r="B51" s="383">
        <v>818</v>
      </c>
      <c r="C51" s="384">
        <v>37.600999999999999</v>
      </c>
      <c r="D51" s="384">
        <v>37.69</v>
      </c>
      <c r="E51" s="383">
        <v>3000</v>
      </c>
      <c r="F51" s="381">
        <v>37.600999999999999</v>
      </c>
      <c r="G51" s="539">
        <v>-3.5999999999999999E-3</v>
      </c>
      <c r="H51" s="373">
        <v>37.557000000000002</v>
      </c>
      <c r="I51" s="374">
        <v>38.098999999999997</v>
      </c>
      <c r="J51" s="459">
        <v>37.426000000000002</v>
      </c>
      <c r="K51" s="375">
        <v>37.74</v>
      </c>
      <c r="L51" s="379">
        <v>9444874</v>
      </c>
      <c r="M51" s="375">
        <v>25004388</v>
      </c>
      <c r="N51" s="379">
        <v>8598</v>
      </c>
      <c r="O51" s="451">
        <v>45303.708414351851</v>
      </c>
      <c r="P51" s="461">
        <v>50</v>
      </c>
      <c r="Q51" s="398">
        <v>0</v>
      </c>
      <c r="R51" s="427">
        <v>0</v>
      </c>
      <c r="S51" s="434">
        <v>0</v>
      </c>
      <c r="T51" s="380">
        <v>0</v>
      </c>
      <c r="U51" s="415">
        <v>0</v>
      </c>
      <c r="V51" s="416">
        <v>0</v>
      </c>
      <c r="W51" s="494">
        <v>0</v>
      </c>
      <c r="X51" s="561">
        <v>0</v>
      </c>
      <c r="Y51" s="751"/>
      <c r="Z51" s="581">
        <f>IFERROR(D47/C51,"")</f>
        <v>1102.3642988218398</v>
      </c>
      <c r="AA51" s="677">
        <f>IFERROR($AB$1/(D51/100)*(C47/100),"")</f>
        <v>577780.46431414189</v>
      </c>
      <c r="AB51" s="38"/>
      <c r="AC51" s="367"/>
    </row>
    <row r="52" spans="1:29" ht="12.75" customHeight="1">
      <c r="A52" s="421" t="s">
        <v>16</v>
      </c>
      <c r="B52" s="362">
        <v>889</v>
      </c>
      <c r="C52" s="521">
        <v>45110</v>
      </c>
      <c r="D52" s="377">
        <v>45150</v>
      </c>
      <c r="E52" s="362">
        <v>12382</v>
      </c>
      <c r="F52" s="483">
        <v>45150</v>
      </c>
      <c r="G52" s="534">
        <v>-2.3799999999999998E-2</v>
      </c>
      <c r="H52" s="331">
        <v>45715</v>
      </c>
      <c r="I52" s="323">
        <v>46990</v>
      </c>
      <c r="J52" s="457">
        <v>44975</v>
      </c>
      <c r="K52" s="327">
        <v>46255</v>
      </c>
      <c r="L52" s="372">
        <v>4970858926</v>
      </c>
      <c r="M52" s="327">
        <v>10861408</v>
      </c>
      <c r="N52" s="372">
        <v>5516</v>
      </c>
      <c r="O52" s="447">
        <v>45303.687604166669</v>
      </c>
      <c r="P52" s="462">
        <v>51</v>
      </c>
      <c r="Q52" s="399">
        <v>0</v>
      </c>
      <c r="R52" s="423">
        <v>0</v>
      </c>
      <c r="S52" s="431">
        <v>0</v>
      </c>
      <c r="T52" s="355">
        <v>0</v>
      </c>
      <c r="U52" s="791">
        <v>0</v>
      </c>
      <c r="V52" s="488">
        <v>0</v>
      </c>
      <c r="W52" s="492">
        <v>0</v>
      </c>
      <c r="X52" s="558">
        <v>0</v>
      </c>
      <c r="Y52" s="736">
        <f>IF(D52&lt;&gt;0,($C53*(1-$V$1))-$D52,0)</f>
        <v>460</v>
      </c>
      <c r="Z52" s="733">
        <f>$F53*($AE$1*$AD$1)</f>
        <v>435.35682191780825</v>
      </c>
      <c r="AA52" s="565"/>
      <c r="AB52" s="38"/>
      <c r="AC52" s="367"/>
    </row>
    <row r="53" spans="1:29" ht="12.75" customHeight="1">
      <c r="A53" s="419" t="s">
        <v>5</v>
      </c>
      <c r="B53" s="336">
        <v>491098</v>
      </c>
      <c r="C53" s="337">
        <v>45610</v>
      </c>
      <c r="D53" s="337">
        <v>45650</v>
      </c>
      <c r="E53" s="336">
        <v>56</v>
      </c>
      <c r="F53" s="484">
        <v>45610</v>
      </c>
      <c r="G53" s="537">
        <v>-1.0800000000000001E-2</v>
      </c>
      <c r="H53" s="330">
        <v>46200</v>
      </c>
      <c r="I53" s="321">
        <v>46960</v>
      </c>
      <c r="J53" s="454">
        <v>45380</v>
      </c>
      <c r="K53" s="325">
        <v>46110</v>
      </c>
      <c r="L53" s="328">
        <v>18285820080</v>
      </c>
      <c r="M53" s="325">
        <v>39636719</v>
      </c>
      <c r="N53" s="328">
        <v>5514</v>
      </c>
      <c r="O53" s="448">
        <v>45303.708518518521</v>
      </c>
      <c r="P53" s="461">
        <v>52</v>
      </c>
      <c r="Q53" s="396">
        <v>0</v>
      </c>
      <c r="R53" s="424">
        <v>0</v>
      </c>
      <c r="S53" s="428">
        <v>0</v>
      </c>
      <c r="T53" s="354">
        <v>0</v>
      </c>
      <c r="U53" s="792">
        <v>0</v>
      </c>
      <c r="V53" s="489">
        <v>0</v>
      </c>
      <c r="W53" s="493">
        <v>0</v>
      </c>
      <c r="X53" s="559">
        <v>0</v>
      </c>
      <c r="Y53" s="735">
        <f>IFERROR(IF($Y$1&lt;&gt;"",INT($Y$1/(D52/100)),100),100)</f>
        <v>22</v>
      </c>
      <c r="Z53" s="734"/>
      <c r="AA53" s="566"/>
      <c r="AB53" s="38"/>
      <c r="AC53" s="367"/>
    </row>
    <row r="54" spans="1:29" ht="12.75" customHeight="1">
      <c r="A54" s="345" t="s">
        <v>17</v>
      </c>
      <c r="B54" s="339">
        <v>22419</v>
      </c>
      <c r="C54" s="340">
        <v>40.5</v>
      </c>
      <c r="D54" s="340">
        <v>40.98</v>
      </c>
      <c r="E54" s="339">
        <v>552</v>
      </c>
      <c r="F54" s="341">
        <v>40.98</v>
      </c>
      <c r="G54" s="538">
        <v>3.0899999999999997E-2</v>
      </c>
      <c r="H54" s="342">
        <v>41.23</v>
      </c>
      <c r="I54" s="322">
        <v>41.23</v>
      </c>
      <c r="J54" s="460">
        <v>40.5</v>
      </c>
      <c r="K54" s="326">
        <v>39.75</v>
      </c>
      <c r="L54" s="359">
        <v>52530</v>
      </c>
      <c r="M54" s="326">
        <v>128051</v>
      </c>
      <c r="N54" s="359">
        <v>82</v>
      </c>
      <c r="O54" s="450">
        <v>45303.6875</v>
      </c>
      <c r="P54" s="462">
        <v>53</v>
      </c>
      <c r="Q54" s="397">
        <v>0</v>
      </c>
      <c r="R54" s="425">
        <v>0</v>
      </c>
      <c r="S54" s="433">
        <v>0</v>
      </c>
      <c r="T54" s="353">
        <v>0</v>
      </c>
      <c r="U54" s="414">
        <v>0</v>
      </c>
      <c r="V54" s="491">
        <v>0</v>
      </c>
      <c r="W54" s="492">
        <v>0</v>
      </c>
      <c r="X54" s="560">
        <v>0</v>
      </c>
      <c r="Y54" s="748">
        <f>IF(D54&lt;&gt;0,($C55*(1-$V$1))-$D54,0)</f>
        <v>-0.97999999999999687</v>
      </c>
      <c r="Z54" s="519">
        <f>IFERROR(D52/C54,"")</f>
        <v>1114.8148148148148</v>
      </c>
      <c r="AA54" s="674">
        <f>IFERROR($AB$1/(D54/100)*(C52/100),"")</f>
        <v>578944.69009272836</v>
      </c>
      <c r="AB54" s="38"/>
      <c r="AC54" s="367"/>
    </row>
    <row r="55" spans="1:29" ht="12.75" customHeight="1">
      <c r="A55" s="465" t="s">
        <v>6</v>
      </c>
      <c r="B55" s="335">
        <v>250000</v>
      </c>
      <c r="C55" s="337">
        <v>40</v>
      </c>
      <c r="D55" s="337">
        <v>40.99</v>
      </c>
      <c r="E55" s="335">
        <v>1032</v>
      </c>
      <c r="F55" s="338"/>
      <c r="G55" s="537"/>
      <c r="H55" s="330"/>
      <c r="I55" s="321"/>
      <c r="J55" s="454"/>
      <c r="K55" s="325">
        <v>39.5</v>
      </c>
      <c r="L55" s="328"/>
      <c r="M55" s="325"/>
      <c r="N55" s="328"/>
      <c r="O55" s="448"/>
      <c r="P55" s="461">
        <v>54</v>
      </c>
      <c r="Q55" s="396">
        <v>0</v>
      </c>
      <c r="R55" s="424">
        <v>0</v>
      </c>
      <c r="S55" s="428">
        <v>0</v>
      </c>
      <c r="T55" s="354">
        <v>0</v>
      </c>
      <c r="U55" s="415">
        <v>0</v>
      </c>
      <c r="V55" s="490">
        <v>0</v>
      </c>
      <c r="W55" s="493">
        <v>0</v>
      </c>
      <c r="X55" s="559">
        <v>0</v>
      </c>
      <c r="Y55" s="749"/>
      <c r="Z55" s="518">
        <f>IFERROR(D53/C55,"")</f>
        <v>1141.25</v>
      </c>
      <c r="AA55" s="676">
        <f>IFERROR($AB$1/(D55/100)*(C53/100),"")</f>
        <v>585218.91680897784</v>
      </c>
      <c r="AB55" s="38"/>
      <c r="AC55" s="367"/>
    </row>
    <row r="56" spans="1:29" ht="12.75" customHeight="1">
      <c r="A56" s="345" t="s">
        <v>18</v>
      </c>
      <c r="B56" s="343">
        <v>1276</v>
      </c>
      <c r="C56" s="340">
        <v>41.350999999999999</v>
      </c>
      <c r="D56" s="340">
        <v>41.75</v>
      </c>
      <c r="E56" s="343">
        <v>6051</v>
      </c>
      <c r="F56" s="341">
        <v>41.600999999999999</v>
      </c>
      <c r="G56" s="538">
        <v>7.1999999999999998E-3</v>
      </c>
      <c r="H56" s="342">
        <v>41</v>
      </c>
      <c r="I56" s="322">
        <v>41.999000000000002</v>
      </c>
      <c r="J56" s="460">
        <v>41</v>
      </c>
      <c r="K56" s="326">
        <v>41.3</v>
      </c>
      <c r="L56" s="359">
        <v>2878178</v>
      </c>
      <c r="M56" s="326">
        <v>6915913</v>
      </c>
      <c r="N56" s="359">
        <v>3092</v>
      </c>
      <c r="O56" s="450">
        <v>45303.6877662037</v>
      </c>
      <c r="P56" s="462">
        <v>55</v>
      </c>
      <c r="Q56" s="397">
        <v>0</v>
      </c>
      <c r="R56" s="425">
        <v>0</v>
      </c>
      <c r="S56" s="433">
        <v>0</v>
      </c>
      <c r="T56" s="353">
        <v>0</v>
      </c>
      <c r="U56" s="414">
        <v>0</v>
      </c>
      <c r="V56" s="485">
        <v>0</v>
      </c>
      <c r="W56" s="492">
        <v>0</v>
      </c>
      <c r="X56" s="560">
        <v>0</v>
      </c>
      <c r="Y56" s="750">
        <f>IF(D56&lt;&gt;0,($C57*(1-$V$1))-$D56,0)</f>
        <v>-0.14999999999999858</v>
      </c>
      <c r="Z56" s="517">
        <f>IFERROR(D52/C56,"")</f>
        <v>1091.8720224420208</v>
      </c>
      <c r="AA56" s="675">
        <f>IFERROR($AB$1/(D56/100)*(C52/100),"")</f>
        <v>568267.14730538928</v>
      </c>
      <c r="AB56" s="38"/>
    </row>
    <row r="57" spans="1:29" ht="12.75" customHeight="1">
      <c r="A57" s="422" t="s">
        <v>7</v>
      </c>
      <c r="B57" s="385">
        <v>10421</v>
      </c>
      <c r="C57" s="384">
        <v>41.6</v>
      </c>
      <c r="D57" s="384">
        <v>41.8</v>
      </c>
      <c r="E57" s="383">
        <v>1857</v>
      </c>
      <c r="F57" s="381">
        <v>41.6</v>
      </c>
      <c r="G57" s="539">
        <v>9.7000000000000003E-3</v>
      </c>
      <c r="H57" s="373">
        <v>41</v>
      </c>
      <c r="I57" s="374">
        <v>42</v>
      </c>
      <c r="J57" s="459">
        <v>41</v>
      </c>
      <c r="K57" s="375">
        <v>41.2</v>
      </c>
      <c r="L57" s="400">
        <v>599161</v>
      </c>
      <c r="M57" s="375">
        <v>1441057</v>
      </c>
      <c r="N57" s="379">
        <v>674</v>
      </c>
      <c r="O57" s="451">
        <v>45303.708553240744</v>
      </c>
      <c r="P57" s="461">
        <v>56</v>
      </c>
      <c r="Q57" s="398">
        <v>0</v>
      </c>
      <c r="R57" s="427">
        <v>0</v>
      </c>
      <c r="S57" s="434">
        <v>0</v>
      </c>
      <c r="T57" s="380">
        <v>0</v>
      </c>
      <c r="U57" s="415">
        <v>0</v>
      </c>
      <c r="V57" s="416">
        <v>0</v>
      </c>
      <c r="W57" s="494">
        <v>0</v>
      </c>
      <c r="X57" s="561">
        <v>0</v>
      </c>
      <c r="Y57" s="751"/>
      <c r="Z57" s="581">
        <f>IFERROR(D53/C57,"")</f>
        <v>1097.3557692307693</v>
      </c>
      <c r="AA57" s="677">
        <f>IFERROR($AB$1/(D57/100)*(C53/100),"")</f>
        <v>573878.55023923458</v>
      </c>
      <c r="AB57" s="38"/>
    </row>
    <row r="58" spans="1:29" ht="12.75" customHeight="1">
      <c r="A58" s="421" t="s">
        <v>549</v>
      </c>
      <c r="B58" s="362">
        <v>126166445</v>
      </c>
      <c r="C58" s="521">
        <v>159.6</v>
      </c>
      <c r="D58" s="377">
        <v>159.65</v>
      </c>
      <c r="E58" s="362">
        <v>71000000</v>
      </c>
      <c r="F58" s="437">
        <v>159.6</v>
      </c>
      <c r="G58" s="534">
        <v>7.000000000000001E-4</v>
      </c>
      <c r="H58" s="331">
        <v>159.50200000000001</v>
      </c>
      <c r="I58" s="323">
        <v>160.05000000000001</v>
      </c>
      <c r="J58" s="457">
        <v>159.32</v>
      </c>
      <c r="K58" s="327">
        <v>159.47999999999999</v>
      </c>
      <c r="L58" s="372">
        <v>23515585853</v>
      </c>
      <c r="M58" s="327">
        <v>14729153697</v>
      </c>
      <c r="N58" s="372">
        <v>3077</v>
      </c>
      <c r="O58" s="447">
        <v>45303.6877662037</v>
      </c>
      <c r="P58" s="462">
        <v>57</v>
      </c>
      <c r="Q58" s="399">
        <v>0</v>
      </c>
      <c r="R58" s="423">
        <v>0</v>
      </c>
      <c r="S58" s="431">
        <v>0</v>
      </c>
      <c r="T58" s="355">
        <v>0</v>
      </c>
      <c r="U58" s="791">
        <v>0</v>
      </c>
      <c r="V58" s="488">
        <v>0</v>
      </c>
      <c r="W58" s="492">
        <v>0</v>
      </c>
      <c r="X58" s="558">
        <v>0</v>
      </c>
      <c r="Y58" s="736">
        <f>IF(D58&lt;&gt;0,($C59*(1-$V$1))-$D58,0)</f>
        <v>1.4019999999999868</v>
      </c>
      <c r="Z58" s="733">
        <f>$F59*($AE$1*$AD$1)</f>
        <v>1.5396416438356166</v>
      </c>
      <c r="AA58" s="565"/>
      <c r="AB58" s="38"/>
      <c r="AC58"/>
    </row>
    <row r="59" spans="1:29" ht="12.75" customHeight="1">
      <c r="A59" s="419" t="s">
        <v>550</v>
      </c>
      <c r="B59" s="363">
        <v>18706572</v>
      </c>
      <c r="C59" s="337">
        <v>161.05199999999999</v>
      </c>
      <c r="D59" s="337">
        <v>161.30000000000001</v>
      </c>
      <c r="E59" s="336">
        <v>149648554</v>
      </c>
      <c r="F59" s="338">
        <v>161.30000000000001</v>
      </c>
      <c r="G59" s="537">
        <v>1.5E-3</v>
      </c>
      <c r="H59" s="330">
        <v>161.15</v>
      </c>
      <c r="I59" s="321">
        <v>161.804</v>
      </c>
      <c r="J59" s="454">
        <v>160.999</v>
      </c>
      <c r="K59" s="325">
        <v>161.05000000000001</v>
      </c>
      <c r="L59" s="328">
        <v>4931426569</v>
      </c>
      <c r="M59" s="325">
        <v>3057997584</v>
      </c>
      <c r="N59" s="328">
        <v>2016</v>
      </c>
      <c r="O59" s="448">
        <v>45303.70857638889</v>
      </c>
      <c r="P59" s="461">
        <v>58</v>
      </c>
      <c r="Q59" s="396">
        <v>0</v>
      </c>
      <c r="R59" s="424">
        <v>0</v>
      </c>
      <c r="S59" s="428">
        <v>0</v>
      </c>
      <c r="T59" s="354">
        <v>0</v>
      </c>
      <c r="U59" s="792">
        <v>0</v>
      </c>
      <c r="V59" s="489">
        <v>0</v>
      </c>
      <c r="W59" s="493">
        <v>0</v>
      </c>
      <c r="X59" s="559">
        <v>0</v>
      </c>
      <c r="Y59" s="735">
        <f>IFERROR(IF($Y$1&lt;&gt;"",INT($Y$1/(D58/100)),100),100)</f>
        <v>6263</v>
      </c>
      <c r="Z59" s="734"/>
      <c r="AA59" s="566"/>
      <c r="AB59" s="38"/>
      <c r="AC59"/>
    </row>
    <row r="60" spans="1:29" ht="12.75" customHeight="1">
      <c r="A60" s="345" t="s">
        <v>551</v>
      </c>
      <c r="B60" s="364">
        <v>500000</v>
      </c>
      <c r="C60" s="340">
        <v>0.14099999999999999</v>
      </c>
      <c r="D60" s="340">
        <v>0.14299999999999999</v>
      </c>
      <c r="E60" s="339">
        <v>2134668</v>
      </c>
      <c r="F60" s="341">
        <v>0.14299999999999999</v>
      </c>
      <c r="G60" s="538">
        <v>4.3700000000000003E-2</v>
      </c>
      <c r="H60" s="342">
        <v>0.13700000000000001</v>
      </c>
      <c r="I60" s="322">
        <v>0.14499999999999999</v>
      </c>
      <c r="J60" s="460">
        <v>0.13700000000000001</v>
      </c>
      <c r="K60" s="326">
        <v>0.13700000000000001</v>
      </c>
      <c r="L60" s="359">
        <v>13586604</v>
      </c>
      <c r="M60" s="326">
        <v>9618880748</v>
      </c>
      <c r="N60" s="359">
        <v>846</v>
      </c>
      <c r="O60" s="450">
        <v>45303.6877662037</v>
      </c>
      <c r="P60" s="462">
        <v>59</v>
      </c>
      <c r="Q60" s="397">
        <v>0</v>
      </c>
      <c r="R60" s="425">
        <v>0</v>
      </c>
      <c r="S60" s="433">
        <v>0</v>
      </c>
      <c r="T60" s="353">
        <v>0</v>
      </c>
      <c r="U60" s="414">
        <v>0</v>
      </c>
      <c r="V60" s="491">
        <v>0</v>
      </c>
      <c r="W60" s="492">
        <v>0</v>
      </c>
      <c r="X60" s="560">
        <v>0</v>
      </c>
      <c r="Y60" s="748">
        <f>IF(D60&lt;&gt;0,($C61*(1-$V$1))-$D60,0)</f>
        <v>-9.9999999999999811E-3</v>
      </c>
      <c r="Z60" s="519">
        <f>IFERROR(D58/C60,"")</f>
        <v>1132.2695035460995</v>
      </c>
      <c r="AA60" s="674">
        <f>IFERROR($AB$1/(D60/100)*(C58/100),"")</f>
        <v>586993.17482517497</v>
      </c>
      <c r="AB60" s="38"/>
      <c r="AC60"/>
    </row>
    <row r="61" spans="1:29" ht="12.75" customHeight="1">
      <c r="A61" s="465" t="s">
        <v>552</v>
      </c>
      <c r="B61" s="335">
        <v>5000000</v>
      </c>
      <c r="C61" s="337">
        <v>0.13300000000000001</v>
      </c>
      <c r="D61" s="337">
        <v>0.14499999999999999</v>
      </c>
      <c r="E61" s="335">
        <v>2134668</v>
      </c>
      <c r="F61" s="338"/>
      <c r="G61" s="537"/>
      <c r="H61" s="330"/>
      <c r="I61" s="321"/>
      <c r="J61" s="454"/>
      <c r="K61" s="325">
        <v>0.154</v>
      </c>
      <c r="L61" s="328"/>
      <c r="M61" s="325"/>
      <c r="N61" s="328"/>
      <c r="O61" s="448"/>
      <c r="P61" s="461">
        <v>60</v>
      </c>
      <c r="Q61" s="396">
        <v>0</v>
      </c>
      <c r="R61" s="424">
        <v>0</v>
      </c>
      <c r="S61" s="428">
        <v>0</v>
      </c>
      <c r="T61" s="354">
        <v>0</v>
      </c>
      <c r="U61" s="415">
        <v>0</v>
      </c>
      <c r="V61" s="490">
        <v>0</v>
      </c>
      <c r="W61" s="493">
        <v>0</v>
      </c>
      <c r="X61" s="559">
        <v>0</v>
      </c>
      <c r="Y61" s="749"/>
      <c r="Z61" s="518">
        <f>IFERROR(D59/C61,"")</f>
        <v>1212.781954887218</v>
      </c>
      <c r="AA61" s="676">
        <f>IFERROR($AB$1/(D61/100)*(C59/100),"")</f>
        <v>584163.37158620707</v>
      </c>
      <c r="AB61" s="38"/>
      <c r="AC61"/>
    </row>
    <row r="62" spans="1:29" ht="12.75" customHeight="1">
      <c r="A62" s="345" t="s">
        <v>553</v>
      </c>
      <c r="B62" s="343">
        <v>41391698</v>
      </c>
      <c r="C62" s="340">
        <v>0.14699999999999999</v>
      </c>
      <c r="D62" s="340">
        <v>0.14899999999999999</v>
      </c>
      <c r="E62" s="343">
        <v>37464934</v>
      </c>
      <c r="F62" s="341">
        <v>0.14699999999999999</v>
      </c>
      <c r="G62" s="538">
        <v>3.5200000000000002E-2</v>
      </c>
      <c r="H62" s="342">
        <v>0.14199999999999999</v>
      </c>
      <c r="I62" s="322">
        <v>0.14899999999999999</v>
      </c>
      <c r="J62" s="460">
        <v>0.14099999999999999</v>
      </c>
      <c r="K62" s="326">
        <v>0.14199999999999999</v>
      </c>
      <c r="L62" s="359">
        <v>9704515</v>
      </c>
      <c r="M62" s="326">
        <v>6687259474</v>
      </c>
      <c r="N62" s="359">
        <v>940</v>
      </c>
      <c r="O62" s="450">
        <v>45303.685162037036</v>
      </c>
      <c r="P62" s="462">
        <v>61</v>
      </c>
      <c r="Q62" s="397">
        <v>0</v>
      </c>
      <c r="R62" s="425">
        <v>0</v>
      </c>
      <c r="S62" s="433">
        <v>0</v>
      </c>
      <c r="T62" s="353">
        <v>0</v>
      </c>
      <c r="U62" s="414">
        <v>0</v>
      </c>
      <c r="V62" s="485">
        <v>0</v>
      </c>
      <c r="W62" s="492">
        <v>0</v>
      </c>
      <c r="X62" s="560">
        <v>0</v>
      </c>
      <c r="Y62" s="750">
        <f>IF(D62&lt;&gt;0,($C63*(1-$V$1))-$D62,0)</f>
        <v>-0.13899999999999998</v>
      </c>
      <c r="Z62" s="517">
        <f>IFERROR(D58/C62,"")</f>
        <v>1086.0544217687075</v>
      </c>
      <c r="AA62" s="675">
        <f>IFERROR($AB$1/(D62/100)*(C58/100),"")</f>
        <v>563355.86577181204</v>
      </c>
      <c r="AB62" s="38"/>
      <c r="AC62"/>
    </row>
    <row r="63" spans="1:29" ht="12.75" customHeight="1">
      <c r="A63" s="422" t="s">
        <v>554</v>
      </c>
      <c r="B63" s="383">
        <v>700</v>
      </c>
      <c r="C63" s="384">
        <v>0.01</v>
      </c>
      <c r="D63" s="384">
        <v>0.156</v>
      </c>
      <c r="E63" s="383">
        <v>57000</v>
      </c>
      <c r="F63" s="381">
        <v>0.14399999999999999</v>
      </c>
      <c r="G63" s="539"/>
      <c r="H63" s="373">
        <v>0.14199999999999999</v>
      </c>
      <c r="I63" s="374">
        <v>0.152</v>
      </c>
      <c r="J63" s="459">
        <v>0.14000000000000001</v>
      </c>
      <c r="K63" s="375">
        <v>0.14399999999999999</v>
      </c>
      <c r="L63" s="379">
        <v>33569</v>
      </c>
      <c r="M63" s="375">
        <v>23199400</v>
      </c>
      <c r="N63" s="379">
        <v>125</v>
      </c>
      <c r="O63" s="451">
        <v>45303.690798611111</v>
      </c>
      <c r="P63" s="461">
        <v>62</v>
      </c>
      <c r="Q63" s="398">
        <v>0</v>
      </c>
      <c r="R63" s="427">
        <v>0</v>
      </c>
      <c r="S63" s="434">
        <v>0</v>
      </c>
      <c r="T63" s="380">
        <v>0</v>
      </c>
      <c r="U63" s="415">
        <v>0</v>
      </c>
      <c r="V63" s="416">
        <v>0</v>
      </c>
      <c r="W63" s="494">
        <v>0</v>
      </c>
      <c r="X63" s="561">
        <v>0</v>
      </c>
      <c r="Y63" s="751"/>
      <c r="Z63" s="581">
        <f>IFERROR(D59/C63,"")</f>
        <v>16130</v>
      </c>
      <c r="AA63" s="677">
        <f>IFERROR($AB$1/(D63/100)*(C59/100),"")</f>
        <v>542972.36461538472</v>
      </c>
      <c r="AB63" s="38"/>
      <c r="AC63"/>
    </row>
    <row r="64" spans="1:29" ht="12.75" customHeight="1">
      <c r="A64" s="421" t="s">
        <v>612</v>
      </c>
      <c r="B64" s="362">
        <v>50000</v>
      </c>
      <c r="C64" s="521">
        <v>98.4</v>
      </c>
      <c r="D64" s="377">
        <v>98.599000000000004</v>
      </c>
      <c r="E64" s="362">
        <v>1045300</v>
      </c>
      <c r="F64" s="437">
        <v>98.55</v>
      </c>
      <c r="G64" s="534">
        <v>3.0000000000000001E-3</v>
      </c>
      <c r="H64" s="331">
        <v>99.8</v>
      </c>
      <c r="I64" s="323">
        <v>99.8</v>
      </c>
      <c r="J64" s="457">
        <v>98.45</v>
      </c>
      <c r="K64" s="327">
        <v>98.25</v>
      </c>
      <c r="L64" s="372">
        <v>305714049</v>
      </c>
      <c r="M64" s="327">
        <v>310202672</v>
      </c>
      <c r="N64" s="372">
        <v>253</v>
      </c>
      <c r="O64" s="447">
        <v>45303.687581018516</v>
      </c>
      <c r="P64" s="462">
        <v>63</v>
      </c>
      <c r="Q64" s="464">
        <v>0</v>
      </c>
      <c r="R64" s="423">
        <v>0</v>
      </c>
      <c r="S64" s="431">
        <v>0</v>
      </c>
      <c r="T64" s="355">
        <v>0</v>
      </c>
      <c r="U64" s="791">
        <v>0</v>
      </c>
      <c r="V64" s="488">
        <v>0</v>
      </c>
      <c r="W64" s="492">
        <v>0</v>
      </c>
      <c r="X64" s="558">
        <v>0</v>
      </c>
      <c r="Y64" s="736">
        <f>IF(D64&lt;&gt;0,($C65*(1-$V$1))-$D64,0)</f>
        <v>0.80400000000000205</v>
      </c>
      <c r="Z64" s="733">
        <f>$F65*($AE$1*$AD$1)</f>
        <v>0.95143744657534257</v>
      </c>
      <c r="AA64" s="565"/>
      <c r="AB64" s="38"/>
      <c r="AC64"/>
    </row>
    <row r="65" spans="1:29" ht="12.75" customHeight="1">
      <c r="A65" s="419" t="s">
        <v>613</v>
      </c>
      <c r="B65" s="336">
        <v>140538</v>
      </c>
      <c r="C65" s="337">
        <v>99.403000000000006</v>
      </c>
      <c r="D65" s="337">
        <v>99.677000000000007</v>
      </c>
      <c r="E65" s="336">
        <v>8327516</v>
      </c>
      <c r="F65" s="338">
        <v>99.677000000000007</v>
      </c>
      <c r="G65" s="537">
        <v>3.4999999999999996E-3</v>
      </c>
      <c r="H65" s="330">
        <v>99.230999999999995</v>
      </c>
      <c r="I65" s="321">
        <v>99.7</v>
      </c>
      <c r="J65" s="454">
        <v>99.2</v>
      </c>
      <c r="K65" s="325">
        <v>99.325000000000003</v>
      </c>
      <c r="L65" s="328">
        <v>201218964</v>
      </c>
      <c r="M65" s="325">
        <v>202138962</v>
      </c>
      <c r="N65" s="328">
        <v>991</v>
      </c>
      <c r="O65" s="448">
        <v>45303.708344907405</v>
      </c>
      <c r="P65" s="461">
        <v>64</v>
      </c>
      <c r="Q65" s="396">
        <v>0</v>
      </c>
      <c r="R65" s="424">
        <v>0</v>
      </c>
      <c r="S65" s="428">
        <v>0</v>
      </c>
      <c r="T65" s="354">
        <v>0</v>
      </c>
      <c r="U65" s="792">
        <v>0</v>
      </c>
      <c r="V65" s="489">
        <v>0</v>
      </c>
      <c r="W65" s="493">
        <v>0</v>
      </c>
      <c r="X65" s="559">
        <v>0</v>
      </c>
      <c r="Y65" s="735">
        <f>IFERROR(IF($Y$1&lt;&gt;"",INT($Y$1/(D64/100)),100),100)</f>
        <v>10142</v>
      </c>
      <c r="Z65" s="734"/>
      <c r="AA65" s="566"/>
      <c r="AB65" s="38"/>
      <c r="AC65"/>
    </row>
    <row r="66" spans="1:29" ht="12.75" customHeight="1">
      <c r="A66" s="345" t="s">
        <v>614</v>
      </c>
      <c r="B66" s="339"/>
      <c r="C66" s="340"/>
      <c r="D66" s="340"/>
      <c r="E66" s="339"/>
      <c r="F66" s="341"/>
      <c r="G66" s="538"/>
      <c r="H66" s="342"/>
      <c r="I66" s="322"/>
      <c r="J66" s="460"/>
      <c r="K66" s="326">
        <v>0.10100000000000001</v>
      </c>
      <c r="L66" s="359"/>
      <c r="M66" s="326"/>
      <c r="N66" s="359"/>
      <c r="O66" s="450"/>
      <c r="P66" s="462">
        <v>65</v>
      </c>
      <c r="Q66" s="397">
        <v>0</v>
      </c>
      <c r="R66" s="425">
        <v>0</v>
      </c>
      <c r="S66" s="433">
        <v>0</v>
      </c>
      <c r="T66" s="353">
        <v>0</v>
      </c>
      <c r="U66" s="414">
        <v>0</v>
      </c>
      <c r="V66" s="491">
        <v>0</v>
      </c>
      <c r="W66" s="492">
        <v>0</v>
      </c>
      <c r="X66" s="560">
        <v>0</v>
      </c>
      <c r="Y66" s="748">
        <f>IF(D66&lt;&gt;0,($C67*(1-$V$1))-$D66,0)</f>
        <v>0</v>
      </c>
      <c r="Z66" s="519" t="str">
        <f>IFERROR(D64/C66,"")</f>
        <v/>
      </c>
      <c r="AA66" s="674" t="str">
        <f>IFERROR($AB$1/(D66/100)*(C64/100),"")</f>
        <v/>
      </c>
      <c r="AB66" s="38"/>
      <c r="AC66"/>
    </row>
    <row r="67" spans="1:29" ht="12.75" customHeight="1">
      <c r="A67" s="465" t="s">
        <v>615</v>
      </c>
      <c r="B67" s="335"/>
      <c r="C67" s="337"/>
      <c r="D67" s="337"/>
      <c r="E67" s="335"/>
      <c r="F67" s="338"/>
      <c r="G67" s="537"/>
      <c r="H67" s="330"/>
      <c r="I67" s="321"/>
      <c r="J67" s="454"/>
      <c r="K67" s="325"/>
      <c r="L67" s="328"/>
      <c r="M67" s="325"/>
      <c r="N67" s="328"/>
      <c r="O67" s="448"/>
      <c r="P67" s="461">
        <v>66</v>
      </c>
      <c r="Q67" s="396">
        <v>0</v>
      </c>
      <c r="R67" s="424">
        <v>0</v>
      </c>
      <c r="S67" s="428">
        <v>0</v>
      </c>
      <c r="T67" s="354">
        <v>0</v>
      </c>
      <c r="U67" s="415">
        <v>0</v>
      </c>
      <c r="V67" s="490">
        <v>0</v>
      </c>
      <c r="W67" s="493">
        <v>0</v>
      </c>
      <c r="X67" s="559">
        <v>0</v>
      </c>
      <c r="Y67" s="749"/>
      <c r="Z67" s="518" t="str">
        <f>IFERROR(D65/C67,"")</f>
        <v/>
      </c>
      <c r="AA67" s="676" t="str">
        <f>IFERROR($AB$1/(D67/100)*(C65/100),"")</f>
        <v/>
      </c>
      <c r="AB67" s="38"/>
      <c r="AC67"/>
    </row>
    <row r="68" spans="1:29" ht="12.75" customHeight="1">
      <c r="A68" s="345" t="s">
        <v>616</v>
      </c>
      <c r="B68" s="343"/>
      <c r="C68" s="340"/>
      <c r="D68" s="340">
        <v>9.0999999999999998E-2</v>
      </c>
      <c r="E68" s="343">
        <v>2610094</v>
      </c>
      <c r="F68" s="341">
        <v>9.2999999999999999E-2</v>
      </c>
      <c r="G68" s="538">
        <v>8.1300000000000011E-2</v>
      </c>
      <c r="H68" s="342">
        <v>9.2999999999999999E-2</v>
      </c>
      <c r="I68" s="322">
        <v>9.2999999999999999E-2</v>
      </c>
      <c r="J68" s="460">
        <v>9.2999999999999999E-2</v>
      </c>
      <c r="K68" s="326">
        <v>8.5999999999999993E-2</v>
      </c>
      <c r="L68" s="359">
        <v>100</v>
      </c>
      <c r="M68" s="326">
        <v>107526</v>
      </c>
      <c r="N68" s="359">
        <v>1</v>
      </c>
      <c r="O68" s="450">
        <v>45303.498368055552</v>
      </c>
      <c r="P68" s="462">
        <v>67</v>
      </c>
      <c r="Q68" s="397">
        <v>0</v>
      </c>
      <c r="R68" s="425">
        <v>0</v>
      </c>
      <c r="S68" s="433">
        <v>0</v>
      </c>
      <c r="T68" s="353">
        <v>0</v>
      </c>
      <c r="U68" s="414">
        <v>0</v>
      </c>
      <c r="V68" s="485">
        <v>0</v>
      </c>
      <c r="W68" s="492">
        <v>0</v>
      </c>
      <c r="X68" s="560">
        <v>0</v>
      </c>
      <c r="Y68" s="750">
        <f>IF(D68&lt;&gt;0,($C69*(1-$V$1))-$D68,0)</f>
        <v>-9.0999999999999998E-2</v>
      </c>
      <c r="Z68" s="517" t="str">
        <f>IFERROR(D64/C68,"")</f>
        <v/>
      </c>
      <c r="AA68" s="675">
        <f>IFERROR($AB$1/(D68/100)*(C64/100),"")</f>
        <v>568708.74725274742</v>
      </c>
      <c r="AB68" s="38"/>
      <c r="AC68"/>
    </row>
    <row r="69" spans="1:29" ht="12.75" customHeight="1">
      <c r="A69" s="422" t="s">
        <v>617</v>
      </c>
      <c r="B69" s="383"/>
      <c r="C69" s="384"/>
      <c r="D69" s="384">
        <v>0.11</v>
      </c>
      <c r="E69" s="383">
        <v>180000</v>
      </c>
      <c r="F69" s="381"/>
      <c r="G69" s="539"/>
      <c r="H69" s="373"/>
      <c r="I69" s="374"/>
      <c r="J69" s="459"/>
      <c r="K69" s="375">
        <v>0.11</v>
      </c>
      <c r="L69" s="379"/>
      <c r="M69" s="375"/>
      <c r="N69" s="379"/>
      <c r="O69" s="451"/>
      <c r="P69" s="461">
        <v>68</v>
      </c>
      <c r="Q69" s="398">
        <v>0</v>
      </c>
      <c r="R69" s="427">
        <v>0</v>
      </c>
      <c r="S69" s="434">
        <v>0</v>
      </c>
      <c r="T69" s="380">
        <v>0</v>
      </c>
      <c r="U69" s="415">
        <v>0</v>
      </c>
      <c r="V69" s="416">
        <v>0</v>
      </c>
      <c r="W69" s="494">
        <v>0</v>
      </c>
      <c r="X69" s="561">
        <v>0</v>
      </c>
      <c r="Y69" s="751"/>
      <c r="Z69" s="581" t="str">
        <f>IFERROR(D65/C69,"")</f>
        <v/>
      </c>
      <c r="AA69" s="677">
        <f>IFERROR($AB$1/(D69/100)*(C65/100),"")</f>
        <v>475272.85290909099</v>
      </c>
      <c r="AB69" s="38"/>
      <c r="AC69"/>
    </row>
    <row r="70" spans="1:29" ht="12.75" customHeight="1">
      <c r="A70" s="421" t="s">
        <v>683</v>
      </c>
      <c r="B70" s="362">
        <v>100000</v>
      </c>
      <c r="C70" s="521">
        <v>1</v>
      </c>
      <c r="D70" s="377"/>
      <c r="E70" s="362"/>
      <c r="F70" s="437"/>
      <c r="G70" s="534"/>
      <c r="H70" s="331"/>
      <c r="I70" s="323"/>
      <c r="J70" s="457"/>
      <c r="K70" s="327"/>
      <c r="L70" s="372"/>
      <c r="M70" s="327"/>
      <c r="N70" s="372"/>
      <c r="O70" s="447"/>
      <c r="P70" s="462">
        <v>69</v>
      </c>
      <c r="Q70" s="399">
        <v>0</v>
      </c>
      <c r="R70" s="423">
        <v>0</v>
      </c>
      <c r="S70" s="431">
        <v>0</v>
      </c>
      <c r="T70" s="355">
        <v>0</v>
      </c>
      <c r="U70" s="791">
        <v>0</v>
      </c>
      <c r="V70" s="488">
        <v>0</v>
      </c>
      <c r="W70" s="492">
        <v>0</v>
      </c>
      <c r="X70" s="558">
        <v>0</v>
      </c>
      <c r="Y70" s="736">
        <f>IF(D70&lt;&gt;0,($C71*(1-$V$1))-$D70,0)</f>
        <v>0</v>
      </c>
      <c r="Z70" s="733">
        <f>$F71*($AE$1*$AD$1)</f>
        <v>847.61424657534258</v>
      </c>
      <c r="AA70" s="565"/>
      <c r="AB70" s="38"/>
      <c r="AC70"/>
    </row>
    <row r="71" spans="1:29" ht="12.75" customHeight="1">
      <c r="A71" s="419" t="s">
        <v>684</v>
      </c>
      <c r="B71" s="336">
        <v>100</v>
      </c>
      <c r="C71" s="337">
        <v>86000</v>
      </c>
      <c r="D71" s="337">
        <v>90000</v>
      </c>
      <c r="E71" s="336">
        <v>100</v>
      </c>
      <c r="F71" s="338">
        <v>88800</v>
      </c>
      <c r="G71" s="537"/>
      <c r="H71" s="330">
        <v>85000</v>
      </c>
      <c r="I71" s="321">
        <v>88800</v>
      </c>
      <c r="J71" s="454">
        <v>85000</v>
      </c>
      <c r="K71" s="325"/>
      <c r="L71" s="328">
        <v>5444300</v>
      </c>
      <c r="M71" s="325">
        <v>6400</v>
      </c>
      <c r="N71" s="328">
        <v>6</v>
      </c>
      <c r="O71" s="448">
        <v>45303.665011574078</v>
      </c>
      <c r="P71" s="461">
        <v>70</v>
      </c>
      <c r="Q71" s="396">
        <v>0</v>
      </c>
      <c r="R71" s="424">
        <v>0</v>
      </c>
      <c r="S71" s="428">
        <v>0</v>
      </c>
      <c r="T71" s="354">
        <v>0</v>
      </c>
      <c r="U71" s="792">
        <v>0</v>
      </c>
      <c r="V71" s="489">
        <v>0</v>
      </c>
      <c r="W71" s="493">
        <v>0</v>
      </c>
      <c r="X71" s="559">
        <v>0</v>
      </c>
      <c r="Y71" s="735">
        <f>IFERROR(IF($Y$1&lt;&gt;"",INT($Y$1/(D70/100)),100),100)</f>
        <v>100</v>
      </c>
      <c r="Z71" s="734"/>
      <c r="AA71" s="566"/>
      <c r="AB71" s="38"/>
      <c r="AC71"/>
    </row>
    <row r="72" spans="1:29" ht="12.75" customHeight="1">
      <c r="A72" s="345" t="s">
        <v>679</v>
      </c>
      <c r="B72" s="339"/>
      <c r="C72" s="340"/>
      <c r="D72" s="340"/>
      <c r="E72" s="339"/>
      <c r="F72" s="341"/>
      <c r="G72" s="538"/>
      <c r="H72" s="342"/>
      <c r="I72" s="322"/>
      <c r="J72" s="322"/>
      <c r="K72" s="394"/>
      <c r="L72" s="359"/>
      <c r="M72" s="326"/>
      <c r="N72" s="359"/>
      <c r="O72" s="450"/>
      <c r="P72" s="462">
        <v>71</v>
      </c>
      <c r="Q72" s="397">
        <v>0</v>
      </c>
      <c r="R72" s="425">
        <v>0</v>
      </c>
      <c r="S72" s="433">
        <v>0</v>
      </c>
      <c r="T72" s="353">
        <v>0</v>
      </c>
      <c r="U72" s="414">
        <v>0</v>
      </c>
      <c r="V72" s="491">
        <v>0</v>
      </c>
      <c r="W72" s="492">
        <v>0</v>
      </c>
      <c r="X72" s="560">
        <v>0</v>
      </c>
      <c r="Y72" s="748">
        <f>IF(D72&lt;&gt;0,($C73*(1-$V$1))-$D72,0)</f>
        <v>0</v>
      </c>
      <c r="Z72" s="519" t="str">
        <f>IFERROR(D70/C72,"")</f>
        <v/>
      </c>
      <c r="AA72" s="674" t="str">
        <f>IFERROR($AB$1/(D72/100)*(C70/100),"")</f>
        <v/>
      </c>
      <c r="AB72" s="38"/>
      <c r="AC72"/>
    </row>
    <row r="73" spans="1:29" ht="12.75" customHeight="1">
      <c r="A73" s="465" t="s">
        <v>680</v>
      </c>
      <c r="B73" s="335">
        <v>500000</v>
      </c>
      <c r="C73" s="337">
        <v>73.11</v>
      </c>
      <c r="D73" s="337">
        <v>80</v>
      </c>
      <c r="E73" s="335">
        <v>293800</v>
      </c>
      <c r="F73" s="338">
        <v>80</v>
      </c>
      <c r="G73" s="537"/>
      <c r="H73" s="330">
        <v>80</v>
      </c>
      <c r="I73" s="321">
        <v>80</v>
      </c>
      <c r="J73" s="321">
        <v>80</v>
      </c>
      <c r="K73" s="390"/>
      <c r="L73" s="328">
        <v>4960</v>
      </c>
      <c r="M73" s="325">
        <v>6200</v>
      </c>
      <c r="N73" s="328">
        <v>2</v>
      </c>
      <c r="O73" s="448">
        <v>45303.615810185183</v>
      </c>
      <c r="P73" s="461">
        <v>72</v>
      </c>
      <c r="Q73" s="396">
        <v>0</v>
      </c>
      <c r="R73" s="424">
        <v>0</v>
      </c>
      <c r="S73" s="428">
        <v>0</v>
      </c>
      <c r="T73" s="354">
        <v>0</v>
      </c>
      <c r="U73" s="415">
        <v>0</v>
      </c>
      <c r="V73" s="490">
        <v>0</v>
      </c>
      <c r="W73" s="493">
        <v>0</v>
      </c>
      <c r="X73" s="559">
        <v>0</v>
      </c>
      <c r="Y73" s="749"/>
      <c r="Z73" s="518">
        <f>IFERROR(D71/C73,"")</f>
        <v>1231.0217480508823</v>
      </c>
      <c r="AA73" s="676">
        <f>IFERROR($AB$1/(D73/100)*(C71/100),"")</f>
        <v>565385.50000000012</v>
      </c>
      <c r="AB73" s="38"/>
      <c r="AC73"/>
    </row>
    <row r="74" spans="1:29" ht="12.75" customHeight="1">
      <c r="A74" s="345" t="s">
        <v>681</v>
      </c>
      <c r="B74" s="343">
        <v>100</v>
      </c>
      <c r="C74" s="340">
        <v>7</v>
      </c>
      <c r="D74" s="340"/>
      <c r="E74" s="343"/>
      <c r="F74" s="341"/>
      <c r="G74" s="538"/>
      <c r="H74" s="342"/>
      <c r="I74" s="322"/>
      <c r="J74" s="322"/>
      <c r="K74" s="394"/>
      <c r="L74" s="359"/>
      <c r="M74" s="326"/>
      <c r="N74" s="359"/>
      <c r="O74" s="450"/>
      <c r="P74" s="462">
        <v>73</v>
      </c>
      <c r="Q74" s="397">
        <v>0</v>
      </c>
      <c r="R74" s="425">
        <v>0</v>
      </c>
      <c r="S74" s="433">
        <v>0</v>
      </c>
      <c r="T74" s="353">
        <v>0</v>
      </c>
      <c r="U74" s="414">
        <v>0</v>
      </c>
      <c r="V74" s="485">
        <v>0</v>
      </c>
      <c r="W74" s="492">
        <v>0</v>
      </c>
      <c r="X74" s="560">
        <v>0</v>
      </c>
      <c r="Y74" s="750">
        <f>IF(D74&lt;&gt;0,($C75*(1-$V$1))-$D74,0)</f>
        <v>0</v>
      </c>
      <c r="Z74" s="517">
        <f>IFERROR(D70/C74,"")</f>
        <v>0</v>
      </c>
      <c r="AA74" s="675" t="str">
        <f>IFERROR($AB$1/(D74/100)*(C70/100),"")</f>
        <v/>
      </c>
      <c r="AB74" s="38"/>
      <c r="AC74"/>
    </row>
    <row r="75" spans="1:29" ht="12.75" customHeight="1">
      <c r="A75" s="422" t="s">
        <v>682</v>
      </c>
      <c r="B75" s="383">
        <v>100</v>
      </c>
      <c r="C75" s="384">
        <v>70.099999999999994</v>
      </c>
      <c r="D75" s="384"/>
      <c r="E75" s="383"/>
      <c r="F75" s="381"/>
      <c r="G75" s="539"/>
      <c r="H75" s="373"/>
      <c r="I75" s="374"/>
      <c r="J75" s="374"/>
      <c r="K75" s="391"/>
      <c r="L75" s="379"/>
      <c r="M75" s="375"/>
      <c r="N75" s="379"/>
      <c r="O75" s="451"/>
      <c r="P75" s="461">
        <v>74</v>
      </c>
      <c r="Q75" s="398">
        <v>0</v>
      </c>
      <c r="R75" s="427">
        <v>0</v>
      </c>
      <c r="S75" s="434">
        <v>0</v>
      </c>
      <c r="T75" s="380">
        <v>0</v>
      </c>
      <c r="U75" s="415">
        <v>0</v>
      </c>
      <c r="V75" s="416">
        <v>0</v>
      </c>
      <c r="W75" s="494">
        <v>0</v>
      </c>
      <c r="X75" s="561">
        <v>0</v>
      </c>
      <c r="Y75" s="751"/>
      <c r="Z75" s="581">
        <f>IFERROR(D71/C75,"")</f>
        <v>1283.8801711840229</v>
      </c>
      <c r="AA75" s="677" t="str">
        <f>IFERROR($AB$1/(D75/100)*(C71/100),"")</f>
        <v/>
      </c>
      <c r="AB75" s="38"/>
      <c r="AC75"/>
    </row>
    <row r="76" spans="1:29" ht="12.75" customHeight="1">
      <c r="A76" s="421" t="s">
        <v>598</v>
      </c>
      <c r="B76" s="362">
        <v>61</v>
      </c>
      <c r="C76" s="521">
        <v>85500</v>
      </c>
      <c r="D76" s="377">
        <v>86100</v>
      </c>
      <c r="E76" s="362">
        <v>12</v>
      </c>
      <c r="F76" s="437">
        <v>86100</v>
      </c>
      <c r="G76" s="534">
        <v>-4.5400000000000003E-2</v>
      </c>
      <c r="H76" s="331">
        <v>94600</v>
      </c>
      <c r="I76" s="323">
        <v>94600</v>
      </c>
      <c r="J76" s="323">
        <v>84440</v>
      </c>
      <c r="K76" s="393">
        <v>90200</v>
      </c>
      <c r="L76" s="372">
        <v>60449738</v>
      </c>
      <c r="M76" s="327">
        <v>69410</v>
      </c>
      <c r="N76" s="401">
        <v>325</v>
      </c>
      <c r="O76" s="447">
        <v>45303.687569444446</v>
      </c>
      <c r="P76" s="462">
        <v>75</v>
      </c>
      <c r="Q76" s="399">
        <v>0</v>
      </c>
      <c r="R76" s="423">
        <v>0</v>
      </c>
      <c r="S76" s="431">
        <v>0</v>
      </c>
      <c r="T76" s="355">
        <v>0</v>
      </c>
      <c r="U76" s="791">
        <v>0</v>
      </c>
      <c r="V76" s="488">
        <v>0</v>
      </c>
      <c r="W76" s="492">
        <v>0</v>
      </c>
      <c r="X76" s="558">
        <v>0</v>
      </c>
      <c r="Y76" s="736">
        <f>IF(D76&lt;&gt;0,($C77*(1-$V$1))-$D76,0)</f>
        <v>1150</v>
      </c>
      <c r="Z76" s="733">
        <f>$F77*($AE$1*$AD$1)</f>
        <v>834.25095890410967</v>
      </c>
      <c r="AA76" s="565"/>
      <c r="AB76" s="38"/>
      <c r="AC76"/>
    </row>
    <row r="77" spans="1:29" ht="12.75" customHeight="1">
      <c r="A77" s="419" t="s">
        <v>599</v>
      </c>
      <c r="B77" s="336">
        <v>64</v>
      </c>
      <c r="C77" s="337">
        <v>87250</v>
      </c>
      <c r="D77" s="337">
        <v>87400</v>
      </c>
      <c r="E77" s="336">
        <v>4100</v>
      </c>
      <c r="F77" s="338">
        <v>87400</v>
      </c>
      <c r="G77" s="537">
        <v>-3.6200000000000003E-2</v>
      </c>
      <c r="H77" s="330">
        <v>90500</v>
      </c>
      <c r="I77" s="321">
        <v>91590</v>
      </c>
      <c r="J77" s="321">
        <v>86100</v>
      </c>
      <c r="K77" s="390">
        <v>90690</v>
      </c>
      <c r="L77" s="328">
        <v>1161543098</v>
      </c>
      <c r="M77" s="325">
        <v>1329063</v>
      </c>
      <c r="N77" s="328">
        <v>2121</v>
      </c>
      <c r="O77" s="448">
        <v>45303.708368055559</v>
      </c>
      <c r="P77" s="461">
        <v>76</v>
      </c>
      <c r="Q77" s="396">
        <v>0</v>
      </c>
      <c r="R77" s="424">
        <v>0</v>
      </c>
      <c r="S77" s="428">
        <v>0</v>
      </c>
      <c r="T77" s="354">
        <v>0</v>
      </c>
      <c r="U77" s="792">
        <v>0</v>
      </c>
      <c r="V77" s="489">
        <v>0</v>
      </c>
      <c r="W77" s="493">
        <v>0</v>
      </c>
      <c r="X77" s="559">
        <v>0</v>
      </c>
      <c r="Y77" s="735">
        <f>IFERROR(IF($Y$1&lt;&gt;"",INT($Y$1/(D76/100)),100),100)</f>
        <v>11</v>
      </c>
      <c r="Z77" s="734"/>
      <c r="AA77" s="566"/>
      <c r="AB77" s="38"/>
      <c r="AC77"/>
    </row>
    <row r="78" spans="1:29" ht="12.75" customHeight="1">
      <c r="A78" s="345" t="s">
        <v>600</v>
      </c>
      <c r="B78" s="339"/>
      <c r="C78" s="340"/>
      <c r="D78" s="340"/>
      <c r="E78" s="339"/>
      <c r="F78" s="341"/>
      <c r="G78" s="538"/>
      <c r="H78" s="342"/>
      <c r="I78" s="322"/>
      <c r="J78" s="322"/>
      <c r="K78" s="394">
        <v>72.757000000000005</v>
      </c>
      <c r="L78" s="359"/>
      <c r="M78" s="326"/>
      <c r="N78" s="359"/>
      <c r="O78" s="450"/>
      <c r="P78" s="462">
        <v>77</v>
      </c>
      <c r="Q78" s="397">
        <v>0</v>
      </c>
      <c r="R78" s="425">
        <v>0</v>
      </c>
      <c r="S78" s="433">
        <v>0</v>
      </c>
      <c r="T78" s="353">
        <v>0</v>
      </c>
      <c r="U78" s="414">
        <v>0</v>
      </c>
      <c r="V78" s="491">
        <v>0</v>
      </c>
      <c r="W78" s="492">
        <v>0</v>
      </c>
      <c r="X78" s="560">
        <v>0</v>
      </c>
      <c r="Y78" s="748">
        <f>IF(D78&lt;&gt;0,($C79*(1-$V$1))-$D78,0)</f>
        <v>0</v>
      </c>
      <c r="Z78" s="519" t="str">
        <f>IFERROR(D76/C78,"")</f>
        <v/>
      </c>
      <c r="AA78" s="674" t="str">
        <f>IFERROR($AB$1/(D78/100)*(C76/100),"")</f>
        <v/>
      </c>
      <c r="AB78" s="38"/>
      <c r="AC78"/>
    </row>
    <row r="79" spans="1:29" ht="12.75" customHeight="1">
      <c r="A79" s="465" t="s">
        <v>601</v>
      </c>
      <c r="B79" s="335"/>
      <c r="C79" s="337"/>
      <c r="D79" s="337"/>
      <c r="E79" s="335"/>
      <c r="F79" s="338"/>
      <c r="G79" s="537"/>
      <c r="H79" s="330"/>
      <c r="I79" s="321"/>
      <c r="J79" s="321"/>
      <c r="K79" s="390"/>
      <c r="L79" s="328"/>
      <c r="M79" s="325"/>
      <c r="N79" s="328"/>
      <c r="O79" s="448"/>
      <c r="P79" s="461">
        <v>78</v>
      </c>
      <c r="Q79" s="396">
        <v>0</v>
      </c>
      <c r="R79" s="424">
        <v>0</v>
      </c>
      <c r="S79" s="428">
        <v>0</v>
      </c>
      <c r="T79" s="354">
        <v>0</v>
      </c>
      <c r="U79" s="415">
        <v>0</v>
      </c>
      <c r="V79" s="490">
        <v>0</v>
      </c>
      <c r="W79" s="493">
        <v>0</v>
      </c>
      <c r="X79" s="559">
        <v>0</v>
      </c>
      <c r="Y79" s="749"/>
      <c r="Z79" s="518" t="str">
        <f>IFERROR(D77/C79,"")</f>
        <v/>
      </c>
      <c r="AA79" s="676" t="str">
        <f>IFERROR($AB$1/(D79/100)*(C77/100),"")</f>
        <v/>
      </c>
      <c r="AB79" s="38"/>
    </row>
    <row r="80" spans="1:29" ht="12.75" customHeight="1">
      <c r="A80" s="345" t="s">
        <v>602</v>
      </c>
      <c r="B80" s="343">
        <v>5090</v>
      </c>
      <c r="C80" s="340">
        <v>80.099999999999994</v>
      </c>
      <c r="D80" s="340">
        <v>81.45</v>
      </c>
      <c r="E80" s="343">
        <v>84</v>
      </c>
      <c r="F80" s="341">
        <v>81.45</v>
      </c>
      <c r="G80" s="538">
        <v>-2.9999999999999997E-4</v>
      </c>
      <c r="H80" s="342">
        <v>82.49</v>
      </c>
      <c r="I80" s="322">
        <v>82.5</v>
      </c>
      <c r="J80" s="322">
        <v>79.11</v>
      </c>
      <c r="K80" s="394">
        <v>81.48</v>
      </c>
      <c r="L80" s="359">
        <v>41768</v>
      </c>
      <c r="M80" s="326">
        <v>51875</v>
      </c>
      <c r="N80" s="359">
        <v>114</v>
      </c>
      <c r="O80" s="450">
        <v>45303.687743055554</v>
      </c>
      <c r="P80" s="462">
        <v>79</v>
      </c>
      <c r="Q80" s="397">
        <v>0</v>
      </c>
      <c r="R80" s="425">
        <v>0</v>
      </c>
      <c r="S80" s="433">
        <v>0</v>
      </c>
      <c r="T80" s="353">
        <v>0</v>
      </c>
      <c r="U80" s="414">
        <v>0</v>
      </c>
      <c r="V80" s="485">
        <v>0</v>
      </c>
      <c r="W80" s="492">
        <v>0</v>
      </c>
      <c r="X80" s="560">
        <v>0</v>
      </c>
      <c r="Y80" s="750">
        <f>IF(D80&lt;&gt;0,($C81*(1-$V$1))-$D80,0)</f>
        <v>6.0000000000002274E-2</v>
      </c>
      <c r="Z80" s="517">
        <f>IFERROR(D76/C80,"")</f>
        <v>1074.9063670411986</v>
      </c>
      <c r="AA80" s="675">
        <f>IFERROR($AB$1/(D80/100)*(C76/100),"")</f>
        <v>552091.71270718239</v>
      </c>
      <c r="AB80" s="38"/>
      <c r="AC80" s="11"/>
    </row>
    <row r="81" spans="1:29" ht="12.75" customHeight="1">
      <c r="A81" s="422" t="s">
        <v>603</v>
      </c>
      <c r="B81" s="383">
        <v>51</v>
      </c>
      <c r="C81" s="384">
        <v>81.510000000000005</v>
      </c>
      <c r="D81" s="384">
        <v>81.52</v>
      </c>
      <c r="E81" s="383">
        <v>5</v>
      </c>
      <c r="F81" s="381">
        <v>81.510000000000005</v>
      </c>
      <c r="G81" s="539">
        <v>-4.6999999999999993E-3</v>
      </c>
      <c r="H81" s="373">
        <v>81.88</v>
      </c>
      <c r="I81" s="374">
        <v>81.88</v>
      </c>
      <c r="J81" s="374">
        <v>79</v>
      </c>
      <c r="K81" s="391">
        <v>81.900000000000006</v>
      </c>
      <c r="L81" s="379">
        <v>584325</v>
      </c>
      <c r="M81" s="375">
        <v>728399</v>
      </c>
      <c r="N81" s="379">
        <v>1056</v>
      </c>
      <c r="O81" s="451">
        <v>45303.70857638889</v>
      </c>
      <c r="P81" s="461">
        <v>80</v>
      </c>
      <c r="Q81" s="398">
        <v>0</v>
      </c>
      <c r="R81" s="427">
        <v>0</v>
      </c>
      <c r="S81" s="434">
        <v>0</v>
      </c>
      <c r="T81" s="380">
        <v>0</v>
      </c>
      <c r="U81" s="415">
        <v>0</v>
      </c>
      <c r="V81" s="416">
        <v>0</v>
      </c>
      <c r="W81" s="494">
        <v>0</v>
      </c>
      <c r="X81" s="561">
        <v>0</v>
      </c>
      <c r="Y81" s="751"/>
      <c r="Z81" s="581">
        <f>IFERROR(D77/C81,"")</f>
        <v>1072.2610722610723</v>
      </c>
      <c r="AA81" s="677">
        <f>IFERROR($AB$1/(D81/100)*(C77/100),"")</f>
        <v>562908.05937193334</v>
      </c>
      <c r="AB81" s="38"/>
      <c r="AC81" s="11"/>
    </row>
    <row r="82" spans="1:29" ht="12.75" customHeight="1">
      <c r="A82" s="421" t="s">
        <v>606</v>
      </c>
      <c r="B82" s="362">
        <v>319</v>
      </c>
      <c r="C82" s="521">
        <v>31660</v>
      </c>
      <c r="D82" s="377">
        <v>32330</v>
      </c>
      <c r="E82" s="362">
        <v>485</v>
      </c>
      <c r="F82" s="437">
        <v>32330</v>
      </c>
      <c r="G82" s="534">
        <v>-4.6300000000000001E-2</v>
      </c>
      <c r="H82" s="331">
        <v>33350</v>
      </c>
      <c r="I82" s="323">
        <v>33350</v>
      </c>
      <c r="J82" s="323">
        <v>31750</v>
      </c>
      <c r="K82" s="393">
        <v>33900</v>
      </c>
      <c r="L82" s="372">
        <v>4329398</v>
      </c>
      <c r="M82" s="327">
        <v>13444</v>
      </c>
      <c r="N82" s="372">
        <v>34</v>
      </c>
      <c r="O82" s="447">
        <v>45303.671446759261</v>
      </c>
      <c r="P82" s="462">
        <v>81</v>
      </c>
      <c r="Q82" s="399">
        <v>0</v>
      </c>
      <c r="R82" s="423">
        <v>0</v>
      </c>
      <c r="S82" s="431">
        <v>0</v>
      </c>
      <c r="T82" s="355">
        <v>0</v>
      </c>
      <c r="U82" s="791">
        <v>0</v>
      </c>
      <c r="V82" s="488">
        <v>0</v>
      </c>
      <c r="W82" s="492">
        <v>0</v>
      </c>
      <c r="X82" s="558">
        <v>0</v>
      </c>
      <c r="Y82" s="736">
        <f>IF(D82&lt;&gt;0,($C83*(1-$V$1))-$D82,0)</f>
        <v>-165</v>
      </c>
      <c r="Z82" s="733">
        <f>$F83*($AE$1*$AD$1)</f>
        <v>307.06926027397265</v>
      </c>
      <c r="AA82" s="565"/>
      <c r="AB82" s="38"/>
      <c r="AC82" s="11"/>
    </row>
    <row r="83" spans="1:29" ht="12.75" customHeight="1">
      <c r="A83" s="419" t="s">
        <v>607</v>
      </c>
      <c r="B83" s="336">
        <v>95</v>
      </c>
      <c r="C83" s="337">
        <v>32165</v>
      </c>
      <c r="D83" s="337">
        <v>32245</v>
      </c>
      <c r="E83" s="336">
        <v>6000</v>
      </c>
      <c r="F83" s="338">
        <v>32170</v>
      </c>
      <c r="G83" s="537">
        <v>-5.9500000000000004E-2</v>
      </c>
      <c r="H83" s="330">
        <v>33500</v>
      </c>
      <c r="I83" s="321">
        <v>33500</v>
      </c>
      <c r="J83" s="321">
        <v>31650</v>
      </c>
      <c r="K83" s="390">
        <v>34200</v>
      </c>
      <c r="L83" s="328">
        <v>77337795</v>
      </c>
      <c r="M83" s="325">
        <v>239244</v>
      </c>
      <c r="N83" s="328">
        <v>372</v>
      </c>
      <c r="O83" s="448">
        <v>45303.705277777779</v>
      </c>
      <c r="P83" s="461">
        <v>82</v>
      </c>
      <c r="Q83" s="396">
        <v>0</v>
      </c>
      <c r="R83" s="424">
        <v>0</v>
      </c>
      <c r="S83" s="428">
        <v>0</v>
      </c>
      <c r="T83" s="354">
        <v>0</v>
      </c>
      <c r="U83" s="792">
        <v>0</v>
      </c>
      <c r="V83" s="489">
        <v>0</v>
      </c>
      <c r="W83" s="493">
        <v>0</v>
      </c>
      <c r="X83" s="559">
        <v>0</v>
      </c>
      <c r="Y83" s="735">
        <f>IFERROR(IF($Y$1&lt;&gt;"",INT($Y$1/(D82/100)),100),100)</f>
        <v>30</v>
      </c>
      <c r="Z83" s="734"/>
      <c r="AA83" s="566"/>
      <c r="AB83" s="38"/>
      <c r="AC83" s="11"/>
    </row>
    <row r="84" spans="1:29" ht="12.75" customHeight="1">
      <c r="A84" s="345" t="s">
        <v>608</v>
      </c>
      <c r="B84" s="339"/>
      <c r="C84" s="340"/>
      <c r="D84" s="340"/>
      <c r="E84" s="339"/>
      <c r="F84" s="341"/>
      <c r="G84" s="538"/>
      <c r="H84" s="342"/>
      <c r="I84" s="322"/>
      <c r="J84" s="322"/>
      <c r="K84" s="394">
        <v>30.7</v>
      </c>
      <c r="L84" s="359"/>
      <c r="M84" s="326"/>
      <c r="N84" s="359"/>
      <c r="O84" s="450"/>
      <c r="P84" s="462">
        <v>83</v>
      </c>
      <c r="Q84" s="397">
        <v>0</v>
      </c>
      <c r="R84" s="425">
        <v>0</v>
      </c>
      <c r="S84" s="433">
        <v>0</v>
      </c>
      <c r="T84" s="353">
        <v>0</v>
      </c>
      <c r="U84" s="414">
        <v>0</v>
      </c>
      <c r="V84" s="491">
        <v>0</v>
      </c>
      <c r="W84" s="492">
        <v>0</v>
      </c>
      <c r="X84" s="560">
        <v>0</v>
      </c>
      <c r="Y84" s="748">
        <f>IF(D84&lt;&gt;0,($C85*(1-$V$1))-$D84,0)</f>
        <v>0</v>
      </c>
      <c r="Z84" s="519" t="str">
        <f>IFERROR(D82/C84,"")</f>
        <v/>
      </c>
      <c r="AA84" s="674" t="str">
        <f>IFERROR($AB$1/(D84/100)*(C82/100),"")</f>
        <v/>
      </c>
      <c r="AB84" s="38"/>
      <c r="AC84" s="11"/>
    </row>
    <row r="85" spans="1:29" ht="12.75" customHeight="1">
      <c r="A85" s="465" t="s">
        <v>609</v>
      </c>
      <c r="B85" s="335"/>
      <c r="C85" s="337"/>
      <c r="D85" s="337">
        <v>29.2</v>
      </c>
      <c r="E85" s="335">
        <v>7500</v>
      </c>
      <c r="F85" s="338"/>
      <c r="G85" s="537"/>
      <c r="H85" s="330"/>
      <c r="I85" s="321"/>
      <c r="J85" s="321"/>
      <c r="K85" s="390">
        <v>31</v>
      </c>
      <c r="L85" s="328"/>
      <c r="M85" s="325"/>
      <c r="N85" s="328"/>
      <c r="O85" s="448"/>
      <c r="P85" s="461">
        <v>84</v>
      </c>
      <c r="Q85" s="396">
        <v>0</v>
      </c>
      <c r="R85" s="424">
        <v>0</v>
      </c>
      <c r="S85" s="428">
        <v>0</v>
      </c>
      <c r="T85" s="354">
        <v>0</v>
      </c>
      <c r="U85" s="415">
        <v>0</v>
      </c>
      <c r="V85" s="490">
        <v>0</v>
      </c>
      <c r="W85" s="493">
        <v>0</v>
      </c>
      <c r="X85" s="559">
        <v>0</v>
      </c>
      <c r="Y85" s="749"/>
      <c r="Z85" s="518" t="str">
        <f>IFERROR(D83/C85,"")</f>
        <v/>
      </c>
      <c r="AA85" s="676">
        <f>IFERROR($AB$1/(D85/100)*(C83/100),"")</f>
        <v>579344.52397260279</v>
      </c>
      <c r="AB85" s="38"/>
      <c r="AC85" s="11"/>
    </row>
    <row r="86" spans="1:29" ht="12.75" customHeight="1">
      <c r="A86" s="345" t="s">
        <v>610</v>
      </c>
      <c r="B86" s="343">
        <v>192</v>
      </c>
      <c r="C86" s="340">
        <v>29.21</v>
      </c>
      <c r="D86" s="340">
        <v>29.7</v>
      </c>
      <c r="E86" s="343">
        <v>400</v>
      </c>
      <c r="F86" s="341">
        <v>29.2</v>
      </c>
      <c r="G86" s="538">
        <v>-6.6699999999999995E-2</v>
      </c>
      <c r="H86" s="342">
        <v>29.9</v>
      </c>
      <c r="I86" s="322">
        <v>29.9</v>
      </c>
      <c r="J86" s="322">
        <v>29.2</v>
      </c>
      <c r="K86" s="394">
        <v>31.29</v>
      </c>
      <c r="L86" s="359">
        <v>9636</v>
      </c>
      <c r="M86" s="326">
        <v>32683</v>
      </c>
      <c r="N86" s="359">
        <v>21</v>
      </c>
      <c r="O86" s="450">
        <v>45303.63553240741</v>
      </c>
      <c r="P86" s="462">
        <v>85</v>
      </c>
      <c r="Q86" s="397">
        <v>0</v>
      </c>
      <c r="R86" s="425">
        <v>0</v>
      </c>
      <c r="S86" s="433">
        <v>0</v>
      </c>
      <c r="T86" s="353">
        <v>0</v>
      </c>
      <c r="U86" s="414">
        <v>0</v>
      </c>
      <c r="V86" s="485">
        <v>0</v>
      </c>
      <c r="W86" s="492">
        <v>0</v>
      </c>
      <c r="X86" s="560">
        <v>0</v>
      </c>
      <c r="Y86" s="685">
        <f>IF(D86&lt;&gt;0,($C87*(1-$V$1))-$D86,0)</f>
        <v>-0.34999999999999787</v>
      </c>
      <c r="Z86" s="517">
        <f>IFERROR(D82/C86,"")</f>
        <v>1106.8127353646012</v>
      </c>
      <c r="AA86" s="675">
        <f>IFERROR($AB$1/(D86/100)*(C82/100),"")</f>
        <v>560648.49831649847</v>
      </c>
      <c r="AB86" s="38"/>
      <c r="AC86" s="11"/>
    </row>
    <row r="87" spans="1:29" ht="12.75" customHeight="1">
      <c r="A87" s="422" t="s">
        <v>611</v>
      </c>
      <c r="B87" s="383">
        <v>2000</v>
      </c>
      <c r="C87" s="384">
        <v>29.35</v>
      </c>
      <c r="D87" s="384">
        <v>29.5</v>
      </c>
      <c r="E87" s="383">
        <v>5000</v>
      </c>
      <c r="F87" s="381">
        <v>29.85</v>
      </c>
      <c r="G87" s="539">
        <v>-1.8000000000000002E-2</v>
      </c>
      <c r="H87" s="373">
        <v>30</v>
      </c>
      <c r="I87" s="374">
        <v>30</v>
      </c>
      <c r="J87" s="374">
        <v>29</v>
      </c>
      <c r="K87" s="391">
        <v>30.4</v>
      </c>
      <c r="L87" s="379">
        <v>66134</v>
      </c>
      <c r="M87" s="375">
        <v>225061</v>
      </c>
      <c r="N87" s="379">
        <v>243</v>
      </c>
      <c r="O87" s="451">
        <v>45303.704872685186</v>
      </c>
      <c r="P87" s="461">
        <v>86</v>
      </c>
      <c r="Q87" s="398">
        <v>0</v>
      </c>
      <c r="R87" s="427">
        <v>0</v>
      </c>
      <c r="S87" s="434">
        <v>0</v>
      </c>
      <c r="T87" s="380">
        <v>0</v>
      </c>
      <c r="U87" s="415">
        <v>0</v>
      </c>
      <c r="V87" s="416">
        <v>0</v>
      </c>
      <c r="W87" s="494">
        <v>0</v>
      </c>
      <c r="X87" s="561">
        <v>0</v>
      </c>
      <c r="Y87" s="686">
        <f>$F87*($AE$1*$AD$1)</f>
        <v>0.28492438356164385</v>
      </c>
      <c r="Z87" s="581">
        <f>IFERROR(D83/C87,"")</f>
        <v>1098.6371379897785</v>
      </c>
      <c r="AA87" s="677">
        <f>IFERROR($AB$1/(D87/100)*(C83/100),"")</f>
        <v>573452.8847457628</v>
      </c>
      <c r="AB87" s="38"/>
    </row>
    <row r="88" spans="1:29" ht="12.75" customHeight="1">
      <c r="A88" s="421" t="s">
        <v>543</v>
      </c>
      <c r="B88" s="362">
        <v>1655</v>
      </c>
      <c r="C88" s="521">
        <v>46410</v>
      </c>
      <c r="D88" s="377">
        <v>47700</v>
      </c>
      <c r="E88" s="362">
        <v>1000</v>
      </c>
      <c r="F88" s="437">
        <v>46410</v>
      </c>
      <c r="G88" s="534">
        <v>-9.7999999999999997E-3</v>
      </c>
      <c r="H88" s="331">
        <v>47900</v>
      </c>
      <c r="I88" s="323">
        <v>47900</v>
      </c>
      <c r="J88" s="323">
        <v>46410</v>
      </c>
      <c r="K88" s="393">
        <v>46870</v>
      </c>
      <c r="L88" s="372">
        <v>51538707</v>
      </c>
      <c r="M88" s="327">
        <v>109832</v>
      </c>
      <c r="N88" s="372">
        <v>231</v>
      </c>
      <c r="O88" s="447">
        <v>45303.687604166669</v>
      </c>
      <c r="P88" s="462">
        <v>87</v>
      </c>
      <c r="Q88" s="399">
        <v>0</v>
      </c>
      <c r="R88" s="423">
        <v>0</v>
      </c>
      <c r="S88" s="431">
        <v>0</v>
      </c>
      <c r="T88" s="355">
        <v>0</v>
      </c>
      <c r="U88" s="791">
        <v>0</v>
      </c>
      <c r="V88" s="488">
        <v>0</v>
      </c>
      <c r="W88" s="317">
        <v>0</v>
      </c>
      <c r="X88" s="558">
        <v>0</v>
      </c>
      <c r="Y88" s="736">
        <f>IF(D88&lt;&gt;0,($C89*(1-$V$1))-$D88,0)</f>
        <v>-925</v>
      </c>
      <c r="Z88" s="733">
        <f>$F89*($AE$1*$AD$1)</f>
        <v>446.71561643835622</v>
      </c>
      <c r="AA88" s="565"/>
      <c r="AB88" s="38"/>
    </row>
    <row r="89" spans="1:29" ht="12.75" customHeight="1">
      <c r="A89" s="419" t="s">
        <v>544</v>
      </c>
      <c r="B89" s="336">
        <v>183</v>
      </c>
      <c r="C89" s="337">
        <v>46775</v>
      </c>
      <c r="D89" s="337">
        <v>46800</v>
      </c>
      <c r="E89" s="336">
        <v>23969</v>
      </c>
      <c r="F89" s="338">
        <v>46800</v>
      </c>
      <c r="G89" s="537">
        <v>-4.1999999999999997E-3</v>
      </c>
      <c r="H89" s="330">
        <v>48795</v>
      </c>
      <c r="I89" s="321">
        <v>48795</v>
      </c>
      <c r="J89" s="321">
        <v>46100</v>
      </c>
      <c r="K89" s="390">
        <v>47000</v>
      </c>
      <c r="L89" s="328">
        <v>409309647</v>
      </c>
      <c r="M89" s="325">
        <v>865383</v>
      </c>
      <c r="N89" s="328">
        <v>682</v>
      </c>
      <c r="O89" s="448">
        <v>45303.708657407406</v>
      </c>
      <c r="P89" s="461">
        <v>88</v>
      </c>
      <c r="Q89" s="396">
        <v>0</v>
      </c>
      <c r="R89" s="424">
        <v>0</v>
      </c>
      <c r="S89" s="428">
        <v>0</v>
      </c>
      <c r="T89" s="354">
        <v>0</v>
      </c>
      <c r="U89" s="792">
        <v>0</v>
      </c>
      <c r="V89" s="489">
        <v>0</v>
      </c>
      <c r="W89" s="493">
        <v>0</v>
      </c>
      <c r="X89" s="559">
        <v>0</v>
      </c>
      <c r="Y89" s="735">
        <f>IFERROR(IF($Y$1&lt;&gt;"",INT($Y$1/(D88/100)),100),100)</f>
        <v>20</v>
      </c>
      <c r="Z89" s="734"/>
      <c r="AA89" s="566"/>
      <c r="AB89" s="38"/>
    </row>
    <row r="90" spans="1:29" ht="12.75" customHeight="1">
      <c r="A90" s="345" t="s">
        <v>545</v>
      </c>
      <c r="B90" s="339"/>
      <c r="C90" s="340"/>
      <c r="D90" s="340"/>
      <c r="E90" s="339"/>
      <c r="F90" s="341"/>
      <c r="G90" s="538"/>
      <c r="H90" s="342"/>
      <c r="I90" s="322"/>
      <c r="J90" s="322"/>
      <c r="K90" s="394">
        <v>40.299999999999997</v>
      </c>
      <c r="L90" s="359"/>
      <c r="M90" s="326"/>
      <c r="N90" s="359"/>
      <c r="O90" s="450"/>
      <c r="P90" s="462">
        <v>89</v>
      </c>
      <c r="Q90" s="397">
        <v>0</v>
      </c>
      <c r="R90" s="425">
        <v>0</v>
      </c>
      <c r="S90" s="433">
        <v>0</v>
      </c>
      <c r="T90" s="353">
        <v>0</v>
      </c>
      <c r="U90" s="414">
        <v>0</v>
      </c>
      <c r="V90" s="491">
        <v>0</v>
      </c>
      <c r="W90" s="492">
        <v>0</v>
      </c>
      <c r="X90" s="560">
        <v>0</v>
      </c>
      <c r="Y90" s="748">
        <f>IF(D90&lt;&gt;0,($C91*(1-$V$1))-$D90,0)</f>
        <v>0</v>
      </c>
      <c r="Z90" s="519" t="str">
        <f>IFERROR(D88/C90,"")</f>
        <v/>
      </c>
      <c r="AA90" s="674" t="str">
        <f>IFERROR($AB$1/(D90/100)*(C88/100),"")</f>
        <v/>
      </c>
      <c r="AB90" s="38"/>
    </row>
    <row r="91" spans="1:29" ht="12.75" customHeight="1">
      <c r="A91" s="465" t="s">
        <v>546</v>
      </c>
      <c r="B91" s="335"/>
      <c r="C91" s="337"/>
      <c r="D91" s="337"/>
      <c r="E91" s="335"/>
      <c r="F91" s="338"/>
      <c r="G91" s="537"/>
      <c r="H91" s="330"/>
      <c r="I91" s="321"/>
      <c r="J91" s="321"/>
      <c r="K91" s="390">
        <v>36.005000000000003</v>
      </c>
      <c r="L91" s="328"/>
      <c r="M91" s="325"/>
      <c r="N91" s="328"/>
      <c r="O91" s="448"/>
      <c r="P91" s="461">
        <v>90</v>
      </c>
      <c r="Q91" s="396">
        <v>0</v>
      </c>
      <c r="R91" s="424">
        <v>0</v>
      </c>
      <c r="S91" s="428">
        <v>0</v>
      </c>
      <c r="T91" s="354">
        <v>0</v>
      </c>
      <c r="U91" s="415">
        <v>0</v>
      </c>
      <c r="V91" s="490">
        <v>0</v>
      </c>
      <c r="W91" s="493">
        <v>0</v>
      </c>
      <c r="X91" s="559">
        <v>0</v>
      </c>
      <c r="Y91" s="749"/>
      <c r="Z91" s="518" t="str">
        <f>IFERROR(D89/C91,"")</f>
        <v/>
      </c>
      <c r="AA91" s="676" t="str">
        <f>IFERROR($AB$1/(D91/100)*(C89/100),"")</f>
        <v/>
      </c>
      <c r="AB91" s="38"/>
    </row>
    <row r="92" spans="1:29" ht="12.75" customHeight="1">
      <c r="A92" s="345" t="s">
        <v>547</v>
      </c>
      <c r="B92" s="343">
        <v>550</v>
      </c>
      <c r="C92" s="340">
        <v>42.75</v>
      </c>
      <c r="D92" s="340">
        <v>44.5</v>
      </c>
      <c r="E92" s="343">
        <v>150</v>
      </c>
      <c r="F92" s="341">
        <v>42.9</v>
      </c>
      <c r="G92" s="538">
        <v>1.1000000000000001E-3</v>
      </c>
      <c r="H92" s="342">
        <v>43.1</v>
      </c>
      <c r="I92" s="322">
        <v>43.1</v>
      </c>
      <c r="J92" s="322">
        <v>42</v>
      </c>
      <c r="K92" s="394">
        <v>42.85</v>
      </c>
      <c r="L92" s="359">
        <v>2952</v>
      </c>
      <c r="M92" s="326">
        <v>6867</v>
      </c>
      <c r="N92" s="359">
        <v>31</v>
      </c>
      <c r="O92" s="450">
        <v>45303.681493055556</v>
      </c>
      <c r="P92" s="462">
        <v>91</v>
      </c>
      <c r="Q92" s="397">
        <v>0</v>
      </c>
      <c r="R92" s="425">
        <v>0</v>
      </c>
      <c r="S92" s="433">
        <v>0</v>
      </c>
      <c r="T92" s="353">
        <v>0</v>
      </c>
      <c r="U92" s="414">
        <v>0</v>
      </c>
      <c r="V92" s="485">
        <v>0</v>
      </c>
      <c r="W92" s="492">
        <v>0</v>
      </c>
      <c r="X92" s="560">
        <v>0</v>
      </c>
      <c r="Y92" s="750">
        <f>IF(D92&lt;&gt;0,($C93*(1-$V$1))-$D92,0)</f>
        <v>-1.5</v>
      </c>
      <c r="Z92" s="517">
        <f>IFERROR(D88/C92,"")</f>
        <v>1115.7894736842106</v>
      </c>
      <c r="AA92" s="675">
        <f>IFERROR($AB$1/(D92/100)*(C88/100),"")</f>
        <v>548514.05393258436</v>
      </c>
      <c r="AB92" s="38"/>
    </row>
    <row r="93" spans="1:29" ht="12.75" customHeight="1">
      <c r="A93" s="422" t="s">
        <v>548</v>
      </c>
      <c r="B93" s="383">
        <v>1823</v>
      </c>
      <c r="C93" s="384">
        <v>43</v>
      </c>
      <c r="D93" s="384">
        <v>43.999000000000002</v>
      </c>
      <c r="E93" s="383">
        <v>1009</v>
      </c>
      <c r="F93" s="381">
        <v>43</v>
      </c>
      <c r="G93" s="539">
        <v>5.7999999999999996E-3</v>
      </c>
      <c r="H93" s="373">
        <v>42.8</v>
      </c>
      <c r="I93" s="374">
        <v>44</v>
      </c>
      <c r="J93" s="374">
        <v>42.3</v>
      </c>
      <c r="K93" s="391">
        <v>42.75</v>
      </c>
      <c r="L93" s="379">
        <v>68907</v>
      </c>
      <c r="M93" s="375">
        <v>160394</v>
      </c>
      <c r="N93" s="379">
        <v>191</v>
      </c>
      <c r="O93" s="451">
        <v>45303.705266203702</v>
      </c>
      <c r="P93" s="461">
        <v>92</v>
      </c>
      <c r="Q93" s="398">
        <v>0</v>
      </c>
      <c r="R93" s="427">
        <v>0</v>
      </c>
      <c r="S93" s="434">
        <v>0</v>
      </c>
      <c r="T93" s="380">
        <v>0</v>
      </c>
      <c r="U93" s="415">
        <v>0</v>
      </c>
      <c r="V93" s="416">
        <v>0</v>
      </c>
      <c r="W93" s="494">
        <v>0</v>
      </c>
      <c r="X93" s="561">
        <v>0</v>
      </c>
      <c r="Y93" s="751"/>
      <c r="Z93" s="581">
        <f>IFERROR(D89/C93,"")</f>
        <v>1088.3720930232557</v>
      </c>
      <c r="AA93" s="677">
        <f>IFERROR($AB$1/(D93/100)*(C89/100),"")</f>
        <v>559122.78688152006</v>
      </c>
      <c r="AB93" s="38"/>
    </row>
    <row r="94" spans="1:29" ht="12.75" customHeight="1">
      <c r="A94" s="421" t="s">
        <v>577</v>
      </c>
      <c r="B94" s="362">
        <v>1</v>
      </c>
      <c r="C94" s="521">
        <v>40120</v>
      </c>
      <c r="D94" s="377">
        <v>40500</v>
      </c>
      <c r="E94" s="362">
        <v>5462</v>
      </c>
      <c r="F94" s="437">
        <v>40225</v>
      </c>
      <c r="G94" s="534">
        <v>3.0699999999999998E-2</v>
      </c>
      <c r="H94" s="331">
        <v>41600</v>
      </c>
      <c r="I94" s="323">
        <v>41600</v>
      </c>
      <c r="J94" s="323">
        <v>39505</v>
      </c>
      <c r="K94" s="393">
        <v>39025</v>
      </c>
      <c r="L94" s="372">
        <v>215634647</v>
      </c>
      <c r="M94" s="327">
        <v>532483</v>
      </c>
      <c r="N94" s="372">
        <v>705</v>
      </c>
      <c r="O94" s="447">
        <v>45303.68440972222</v>
      </c>
      <c r="P94" s="462">
        <v>93</v>
      </c>
      <c r="Q94" s="399">
        <v>0</v>
      </c>
      <c r="R94" s="423">
        <v>0</v>
      </c>
      <c r="S94" s="431">
        <v>0</v>
      </c>
      <c r="T94" s="355">
        <v>0</v>
      </c>
      <c r="U94" s="791">
        <v>0</v>
      </c>
      <c r="V94" s="488">
        <v>0</v>
      </c>
      <c r="W94" s="492">
        <v>0</v>
      </c>
      <c r="X94" s="558">
        <v>0</v>
      </c>
      <c r="Y94" s="736">
        <f>IF(D94&lt;&gt;0,($C95*(1-$V$1))-$D94,0)</f>
        <v>-20</v>
      </c>
      <c r="Z94" s="733">
        <f>$F95*($AE$1*$AD$1)</f>
        <v>386.58082191780824</v>
      </c>
      <c r="AA94" s="565"/>
      <c r="AB94" s="38"/>
    </row>
    <row r="95" spans="1:29" ht="12.75" customHeight="1">
      <c r="A95" s="419" t="s">
        <v>183</v>
      </c>
      <c r="B95" s="336">
        <v>200</v>
      </c>
      <c r="C95" s="337">
        <v>40480</v>
      </c>
      <c r="D95" s="337">
        <v>40500</v>
      </c>
      <c r="E95" s="336">
        <v>1625</v>
      </c>
      <c r="F95" s="338">
        <v>40500</v>
      </c>
      <c r="G95" s="537">
        <v>-1.66E-2</v>
      </c>
      <c r="H95" s="330">
        <v>41185</v>
      </c>
      <c r="I95" s="321">
        <v>41650</v>
      </c>
      <c r="J95" s="321">
        <v>40345</v>
      </c>
      <c r="K95" s="390">
        <v>41185</v>
      </c>
      <c r="L95" s="328">
        <v>2145134470</v>
      </c>
      <c r="M95" s="325">
        <v>5239218</v>
      </c>
      <c r="N95" s="328">
        <v>1387</v>
      </c>
      <c r="O95" s="448">
        <v>45303.708460648151</v>
      </c>
      <c r="P95" s="461">
        <v>94</v>
      </c>
      <c r="Q95" s="396">
        <v>0</v>
      </c>
      <c r="R95" s="424">
        <v>0</v>
      </c>
      <c r="S95" s="428">
        <v>0</v>
      </c>
      <c r="T95" s="354">
        <v>0</v>
      </c>
      <c r="U95" s="792">
        <v>0</v>
      </c>
      <c r="V95" s="489">
        <v>0</v>
      </c>
      <c r="W95" s="493">
        <v>0</v>
      </c>
      <c r="X95" s="559">
        <v>0</v>
      </c>
      <c r="Y95" s="735">
        <f>IFERROR(IF($Y$1&lt;&gt;"",INT($Y$1/(D94/100)),100),100)</f>
        <v>24</v>
      </c>
      <c r="Z95" s="734"/>
      <c r="AA95" s="566"/>
      <c r="AB95" s="38"/>
    </row>
    <row r="96" spans="1:29" ht="12.75" customHeight="1">
      <c r="A96" s="345" t="s">
        <v>578</v>
      </c>
      <c r="B96" s="339"/>
      <c r="C96" s="340"/>
      <c r="D96" s="340"/>
      <c r="E96" s="339"/>
      <c r="F96" s="341"/>
      <c r="G96" s="538"/>
      <c r="H96" s="342"/>
      <c r="I96" s="322"/>
      <c r="J96" s="322"/>
      <c r="K96" s="394">
        <v>30.875</v>
      </c>
      <c r="L96" s="359"/>
      <c r="M96" s="326"/>
      <c r="N96" s="359"/>
      <c r="O96" s="450"/>
      <c r="P96" s="462">
        <v>95</v>
      </c>
      <c r="Q96" s="397">
        <v>0</v>
      </c>
      <c r="R96" s="425">
        <v>0</v>
      </c>
      <c r="S96" s="433">
        <v>0</v>
      </c>
      <c r="T96" s="353">
        <v>0</v>
      </c>
      <c r="U96" s="414">
        <v>0</v>
      </c>
      <c r="V96" s="491">
        <v>0</v>
      </c>
      <c r="W96" s="492">
        <v>0</v>
      </c>
      <c r="X96" s="560">
        <v>0</v>
      </c>
      <c r="Y96" s="748">
        <f>IF(D96&lt;&gt;0,($C97*(1-$V$1))-$D96,0)</f>
        <v>0</v>
      </c>
      <c r="Z96" s="519" t="str">
        <f>IFERROR(D94/C96,"")</f>
        <v/>
      </c>
      <c r="AA96" s="674" t="str">
        <f>IFERROR($AB$1/(D96/100)*(C94/100),"")</f>
        <v/>
      </c>
      <c r="AB96" s="38"/>
    </row>
    <row r="97" spans="1:28" ht="12.75" customHeight="1">
      <c r="A97" s="465" t="s">
        <v>230</v>
      </c>
      <c r="B97" s="335"/>
      <c r="C97" s="337"/>
      <c r="D97" s="337"/>
      <c r="E97" s="335"/>
      <c r="F97" s="338"/>
      <c r="G97" s="537"/>
      <c r="H97" s="330"/>
      <c r="I97" s="321"/>
      <c r="J97" s="321"/>
      <c r="K97" s="390">
        <v>35.875</v>
      </c>
      <c r="L97" s="328"/>
      <c r="M97" s="325"/>
      <c r="N97" s="328"/>
      <c r="O97" s="448"/>
      <c r="P97" s="461">
        <v>96</v>
      </c>
      <c r="Q97" s="396">
        <v>0</v>
      </c>
      <c r="R97" s="424">
        <v>0</v>
      </c>
      <c r="S97" s="428">
        <v>0</v>
      </c>
      <c r="T97" s="354">
        <v>0</v>
      </c>
      <c r="U97" s="415">
        <v>0</v>
      </c>
      <c r="V97" s="490">
        <v>0</v>
      </c>
      <c r="W97" s="493">
        <v>0</v>
      </c>
      <c r="X97" s="559">
        <v>0</v>
      </c>
      <c r="Y97" s="749"/>
      <c r="Z97" s="518" t="str">
        <f>IFERROR(D95/C97,"")</f>
        <v/>
      </c>
      <c r="AA97" s="676" t="str">
        <f>IFERROR($AB$1/(D97/100)*(C95/100),"")</f>
        <v/>
      </c>
      <c r="AB97" s="38"/>
    </row>
    <row r="98" spans="1:28" ht="12.75" customHeight="1">
      <c r="A98" s="345" t="s">
        <v>579</v>
      </c>
      <c r="B98" s="343">
        <v>2079</v>
      </c>
      <c r="C98" s="340">
        <v>37</v>
      </c>
      <c r="D98" s="340">
        <v>37.200000000000003</v>
      </c>
      <c r="E98" s="343">
        <v>1250</v>
      </c>
      <c r="F98" s="341">
        <v>37.1</v>
      </c>
      <c r="G98" s="538">
        <v>-5.3E-3</v>
      </c>
      <c r="H98" s="342">
        <v>37.299999999999997</v>
      </c>
      <c r="I98" s="322">
        <v>37.299999999999997</v>
      </c>
      <c r="J98" s="322">
        <v>36.6</v>
      </c>
      <c r="K98" s="394">
        <v>37.299999999999997</v>
      </c>
      <c r="L98" s="359">
        <v>110179</v>
      </c>
      <c r="M98" s="326">
        <v>299026</v>
      </c>
      <c r="N98" s="359">
        <v>240</v>
      </c>
      <c r="O98" s="450">
        <v>45303.687592592592</v>
      </c>
      <c r="P98" s="462">
        <v>97</v>
      </c>
      <c r="Q98" s="397">
        <v>0</v>
      </c>
      <c r="R98" s="425">
        <v>0</v>
      </c>
      <c r="S98" s="433">
        <v>0</v>
      </c>
      <c r="T98" s="353">
        <v>0</v>
      </c>
      <c r="U98" s="414">
        <v>0</v>
      </c>
      <c r="V98" s="485">
        <v>0</v>
      </c>
      <c r="W98" s="492">
        <v>0</v>
      </c>
      <c r="X98" s="560">
        <v>0</v>
      </c>
      <c r="Y98" s="750">
        <f>IF(D98&lt;&gt;0,($C99*(1-$V$1))-$D98,0)</f>
        <v>-0.45000000000000284</v>
      </c>
      <c r="Z98" s="517">
        <f>IFERROR(D94/C98,"")</f>
        <v>1094.5945945945946</v>
      </c>
      <c r="AA98" s="675">
        <f>IFERROR($AB$1/(D98/100)*(C94/100),"")</f>
        <v>567223.46236559132</v>
      </c>
      <c r="AB98" s="38"/>
    </row>
    <row r="99" spans="1:28" ht="12.75" customHeight="1">
      <c r="A99" s="422" t="s">
        <v>231</v>
      </c>
      <c r="B99" s="383">
        <v>10000</v>
      </c>
      <c r="C99" s="384">
        <v>36.75</v>
      </c>
      <c r="D99" s="384">
        <v>37</v>
      </c>
      <c r="E99" s="383">
        <v>4507</v>
      </c>
      <c r="F99" s="381">
        <v>37</v>
      </c>
      <c r="G99" s="539">
        <v>-1.2999999999999999E-3</v>
      </c>
      <c r="H99" s="373">
        <v>37.5</v>
      </c>
      <c r="I99" s="374">
        <v>37.5</v>
      </c>
      <c r="J99" s="374">
        <v>36.5</v>
      </c>
      <c r="K99" s="391">
        <v>37.049999999999997</v>
      </c>
      <c r="L99" s="379">
        <v>197086</v>
      </c>
      <c r="M99" s="375">
        <v>531989</v>
      </c>
      <c r="N99" s="379">
        <v>309</v>
      </c>
      <c r="O99" s="451">
        <v>45303.708472222221</v>
      </c>
      <c r="P99" s="461">
        <v>98</v>
      </c>
      <c r="Q99" s="398">
        <v>0</v>
      </c>
      <c r="R99" s="427">
        <v>0</v>
      </c>
      <c r="S99" s="434">
        <v>0</v>
      </c>
      <c r="T99" s="380">
        <v>0</v>
      </c>
      <c r="U99" s="415">
        <v>0</v>
      </c>
      <c r="V99" s="416">
        <v>0</v>
      </c>
      <c r="W99" s="494">
        <v>0</v>
      </c>
      <c r="X99" s="561">
        <v>0</v>
      </c>
      <c r="Y99" s="751"/>
      <c r="Z99" s="581">
        <f>IFERROR(D95/C99,"")</f>
        <v>1102.0408163265306</v>
      </c>
      <c r="AA99" s="677">
        <f>IFERROR($AB$1/(D99/100)*(C95/100),"")</f>
        <v>575406.78918918921</v>
      </c>
      <c r="AB99" s="38"/>
    </row>
    <row r="100" spans="1:28" ht="12.75" customHeight="1">
      <c r="A100" s="421" t="s">
        <v>571</v>
      </c>
      <c r="B100" s="362">
        <v>200</v>
      </c>
      <c r="C100" s="521">
        <v>41555</v>
      </c>
      <c r="D100" s="377">
        <v>42500</v>
      </c>
      <c r="E100" s="362">
        <v>2500</v>
      </c>
      <c r="F100" s="437">
        <v>41800</v>
      </c>
      <c r="G100" s="534">
        <v>-1.46E-2</v>
      </c>
      <c r="H100" s="331">
        <v>42510</v>
      </c>
      <c r="I100" s="323">
        <v>43190</v>
      </c>
      <c r="J100" s="323">
        <v>41500</v>
      </c>
      <c r="K100" s="393">
        <v>42420</v>
      </c>
      <c r="L100" s="372">
        <v>137642963</v>
      </c>
      <c r="M100" s="327">
        <v>328997</v>
      </c>
      <c r="N100" s="372">
        <v>288</v>
      </c>
      <c r="O100" s="447">
        <v>45303.687638888892</v>
      </c>
      <c r="P100" s="462">
        <v>99</v>
      </c>
      <c r="Q100" s="399">
        <v>0</v>
      </c>
      <c r="R100" s="423">
        <v>0</v>
      </c>
      <c r="S100" s="431">
        <v>0</v>
      </c>
      <c r="T100" s="355">
        <v>0</v>
      </c>
      <c r="U100" s="791">
        <v>0</v>
      </c>
      <c r="V100" s="488">
        <v>0</v>
      </c>
      <c r="W100" s="492">
        <v>0</v>
      </c>
      <c r="X100" s="558">
        <v>0</v>
      </c>
      <c r="Y100" s="736">
        <f>IF(D100&lt;&gt;0,($C101*(1-$V$1))-$D100,0)</f>
        <v>-1065</v>
      </c>
      <c r="Z100" s="733">
        <f>$F101*($AE$1*$AD$1)</f>
        <v>401.75769863013704</v>
      </c>
      <c r="AA100" s="565"/>
      <c r="AB100" s="38"/>
    </row>
    <row r="101" spans="1:28" ht="12.75" customHeight="1">
      <c r="A101" s="419" t="s">
        <v>186</v>
      </c>
      <c r="B101" s="336">
        <v>12</v>
      </c>
      <c r="C101" s="337">
        <v>41435</v>
      </c>
      <c r="D101" s="337">
        <v>42095</v>
      </c>
      <c r="E101" s="336">
        <v>2841</v>
      </c>
      <c r="F101" s="338">
        <v>42090</v>
      </c>
      <c r="G101" s="537">
        <v>-9.5999999999999992E-3</v>
      </c>
      <c r="H101" s="330">
        <v>43250</v>
      </c>
      <c r="I101" s="321">
        <v>43800</v>
      </c>
      <c r="J101" s="321">
        <v>41400</v>
      </c>
      <c r="K101" s="390">
        <v>42500</v>
      </c>
      <c r="L101" s="328">
        <v>341848375</v>
      </c>
      <c r="M101" s="325">
        <v>811823</v>
      </c>
      <c r="N101" s="328">
        <v>683</v>
      </c>
      <c r="O101" s="448">
        <v>45303.705949074072</v>
      </c>
      <c r="P101" s="461">
        <v>100</v>
      </c>
      <c r="Q101" s="396">
        <v>0</v>
      </c>
      <c r="R101" s="424">
        <v>0</v>
      </c>
      <c r="S101" s="428">
        <v>0</v>
      </c>
      <c r="T101" s="354">
        <v>0</v>
      </c>
      <c r="U101" s="792">
        <v>0</v>
      </c>
      <c r="V101" s="489">
        <v>0</v>
      </c>
      <c r="W101" s="493">
        <v>0</v>
      </c>
      <c r="X101" s="559">
        <v>0</v>
      </c>
      <c r="Y101" s="735">
        <f>IFERROR(IF($Y$1&lt;&gt;"",INT($Y$1/(D100/100)),100),100)</f>
        <v>23</v>
      </c>
      <c r="Z101" s="734"/>
      <c r="AA101" s="566"/>
      <c r="AB101" s="38"/>
    </row>
    <row r="102" spans="1:28" ht="12.75" customHeight="1">
      <c r="A102" s="345" t="s">
        <v>572</v>
      </c>
      <c r="B102" s="339">
        <v>100000</v>
      </c>
      <c r="C102" s="340">
        <v>36.25</v>
      </c>
      <c r="D102" s="340"/>
      <c r="E102" s="339"/>
      <c r="F102" s="341"/>
      <c r="G102" s="538"/>
      <c r="H102" s="342"/>
      <c r="I102" s="322"/>
      <c r="J102" s="322"/>
      <c r="K102" s="394">
        <v>22</v>
      </c>
      <c r="L102" s="359"/>
      <c r="M102" s="326"/>
      <c r="N102" s="359"/>
      <c r="O102" s="450"/>
      <c r="P102" s="462">
        <v>101</v>
      </c>
      <c r="Q102" s="397">
        <v>0</v>
      </c>
      <c r="R102" s="425">
        <v>0</v>
      </c>
      <c r="S102" s="433">
        <v>0</v>
      </c>
      <c r="T102" s="353">
        <v>0</v>
      </c>
      <c r="U102" s="414">
        <v>0</v>
      </c>
      <c r="V102" s="491">
        <v>0</v>
      </c>
      <c r="W102" s="492">
        <v>0</v>
      </c>
      <c r="X102" s="560">
        <v>0</v>
      </c>
      <c r="Y102" s="748">
        <f>IF(D102&lt;&gt;0,($C103*(1-$V$1))-$D102,0)</f>
        <v>0</v>
      </c>
      <c r="Z102" s="519">
        <f>IFERROR(D100/C102,"")</f>
        <v>1172.4137931034484</v>
      </c>
      <c r="AA102" s="674" t="str">
        <f>IFERROR($AB$1/(D102/100)*(C100/100),"")</f>
        <v/>
      </c>
      <c r="AB102" s="38"/>
    </row>
    <row r="103" spans="1:28" ht="12.75" customHeight="1">
      <c r="A103" s="465" t="s">
        <v>238</v>
      </c>
      <c r="B103" s="335">
        <v>10000</v>
      </c>
      <c r="C103" s="337">
        <v>36.31</v>
      </c>
      <c r="D103" s="337"/>
      <c r="E103" s="335"/>
      <c r="F103" s="338"/>
      <c r="G103" s="537"/>
      <c r="H103" s="330"/>
      <c r="I103" s="321"/>
      <c r="J103" s="321"/>
      <c r="K103" s="390">
        <v>38</v>
      </c>
      <c r="L103" s="328"/>
      <c r="M103" s="325"/>
      <c r="N103" s="328"/>
      <c r="O103" s="448"/>
      <c r="P103" s="461">
        <v>102</v>
      </c>
      <c r="Q103" s="396">
        <v>0</v>
      </c>
      <c r="R103" s="424">
        <v>0</v>
      </c>
      <c r="S103" s="428">
        <v>0</v>
      </c>
      <c r="T103" s="354">
        <v>0</v>
      </c>
      <c r="U103" s="415">
        <v>0</v>
      </c>
      <c r="V103" s="490">
        <v>0</v>
      </c>
      <c r="W103" s="493">
        <v>0</v>
      </c>
      <c r="X103" s="559">
        <v>0</v>
      </c>
      <c r="Y103" s="749"/>
      <c r="Z103" s="518">
        <f>IFERROR(D101/C103,"")</f>
        <v>1159.3225006885154</v>
      </c>
      <c r="AA103" s="676" t="str">
        <f>IFERROR($AB$1/(D103/100)*(C101/100),"")</f>
        <v/>
      </c>
      <c r="AB103" s="38"/>
    </row>
    <row r="104" spans="1:28" ht="12.75" customHeight="1">
      <c r="A104" s="345" t="s">
        <v>573</v>
      </c>
      <c r="B104" s="343">
        <v>12</v>
      </c>
      <c r="C104" s="340">
        <v>38.25</v>
      </c>
      <c r="D104" s="340">
        <v>38.46</v>
      </c>
      <c r="E104" s="343">
        <v>86</v>
      </c>
      <c r="F104" s="341">
        <v>38.46</v>
      </c>
      <c r="G104" s="538">
        <v>2.1499999999999998E-2</v>
      </c>
      <c r="H104" s="342">
        <v>37.823999999999998</v>
      </c>
      <c r="I104" s="322">
        <v>38.590000000000003</v>
      </c>
      <c r="J104" s="322">
        <v>37.103999999999999</v>
      </c>
      <c r="K104" s="394">
        <v>37.65</v>
      </c>
      <c r="L104" s="359">
        <v>38212</v>
      </c>
      <c r="M104" s="326">
        <v>100608</v>
      </c>
      <c r="N104" s="359">
        <v>151</v>
      </c>
      <c r="O104" s="450">
        <v>45303.682037037041</v>
      </c>
      <c r="P104" s="462">
        <v>103</v>
      </c>
      <c r="Q104" s="397">
        <v>0</v>
      </c>
      <c r="R104" s="425">
        <v>0</v>
      </c>
      <c r="S104" s="433">
        <v>0</v>
      </c>
      <c r="T104" s="353">
        <v>0</v>
      </c>
      <c r="U104" s="414">
        <v>0</v>
      </c>
      <c r="V104" s="485">
        <v>0</v>
      </c>
      <c r="W104" s="492">
        <v>0</v>
      </c>
      <c r="X104" s="560">
        <v>0</v>
      </c>
      <c r="Y104" s="750">
        <f>IF(D104&lt;&gt;0,($C105*(1-$V$1))-$D104,0)</f>
        <v>-0.46000000000000085</v>
      </c>
      <c r="Z104" s="517">
        <f>IFERROR(D100/C104,"")</f>
        <v>1111.1111111111111</v>
      </c>
      <c r="AA104" s="675">
        <f>IFERROR($AB$1/(D104/100)*(C100/100),"")</f>
        <v>568264.08476339059</v>
      </c>
      <c r="AB104" s="38"/>
    </row>
    <row r="105" spans="1:28" ht="12.75" customHeight="1">
      <c r="A105" s="422" t="s">
        <v>239</v>
      </c>
      <c r="B105" s="383">
        <v>17</v>
      </c>
      <c r="C105" s="384">
        <v>38</v>
      </c>
      <c r="D105" s="384">
        <v>38.1</v>
      </c>
      <c r="E105" s="383">
        <v>27497</v>
      </c>
      <c r="F105" s="381">
        <v>38.1</v>
      </c>
      <c r="G105" s="539">
        <v>7.6E-3</v>
      </c>
      <c r="H105" s="373">
        <v>37.601999999999997</v>
      </c>
      <c r="I105" s="374">
        <v>38.488</v>
      </c>
      <c r="J105" s="374">
        <v>37.1</v>
      </c>
      <c r="K105" s="391">
        <v>37.81</v>
      </c>
      <c r="L105" s="379">
        <v>82969</v>
      </c>
      <c r="M105" s="375">
        <v>218044</v>
      </c>
      <c r="N105" s="379">
        <v>178</v>
      </c>
      <c r="O105" s="451">
        <v>45303.708344907405</v>
      </c>
      <c r="P105" s="461">
        <v>104</v>
      </c>
      <c r="Q105" s="398">
        <v>0</v>
      </c>
      <c r="R105" s="427">
        <v>0</v>
      </c>
      <c r="S105" s="434">
        <v>0</v>
      </c>
      <c r="T105" s="380">
        <v>0</v>
      </c>
      <c r="U105" s="415">
        <v>0</v>
      </c>
      <c r="V105" s="416">
        <v>0</v>
      </c>
      <c r="W105" s="494">
        <v>0</v>
      </c>
      <c r="X105" s="561">
        <v>0</v>
      </c>
      <c r="Y105" s="751"/>
      <c r="Z105" s="581">
        <f>IFERROR(D101/C105,"")</f>
        <v>1107.7631578947369</v>
      </c>
      <c r="AA105" s="677">
        <f>IFERROR($AB$1/(D105/100)*(C101/100),"")</f>
        <v>571977.00524934393</v>
      </c>
      <c r="AB105" s="38"/>
    </row>
    <row r="106" spans="1:28" ht="12.75" customHeight="1">
      <c r="A106" s="421" t="s">
        <v>574</v>
      </c>
      <c r="B106" s="362">
        <v>3834</v>
      </c>
      <c r="C106" s="521">
        <v>37000</v>
      </c>
      <c r="D106" s="377">
        <v>37515</v>
      </c>
      <c r="E106" s="362">
        <v>138</v>
      </c>
      <c r="F106" s="437">
        <v>37005</v>
      </c>
      <c r="G106" s="534">
        <v>-1.8600000000000002E-2</v>
      </c>
      <c r="H106" s="331">
        <v>37800</v>
      </c>
      <c r="I106" s="323">
        <v>38235</v>
      </c>
      <c r="J106" s="323">
        <v>37005</v>
      </c>
      <c r="K106" s="393">
        <v>37710</v>
      </c>
      <c r="L106" s="372">
        <v>276489579</v>
      </c>
      <c r="M106" s="327">
        <v>738327</v>
      </c>
      <c r="N106" s="372">
        <v>421</v>
      </c>
      <c r="O106" s="447">
        <v>45303.683796296296</v>
      </c>
      <c r="P106" s="462">
        <v>105</v>
      </c>
      <c r="Q106" s="399">
        <v>0</v>
      </c>
      <c r="R106" s="423">
        <v>0</v>
      </c>
      <c r="S106" s="431">
        <v>0</v>
      </c>
      <c r="T106" s="355">
        <v>0</v>
      </c>
      <c r="U106" s="791">
        <v>0</v>
      </c>
      <c r="V106" s="488">
        <v>0</v>
      </c>
      <c r="W106" s="492">
        <v>0</v>
      </c>
      <c r="X106" s="558">
        <v>0</v>
      </c>
      <c r="Y106" s="736">
        <f>IF(D106&lt;&gt;0,($C107*(1-$V$1))-$D106,0)</f>
        <v>-20</v>
      </c>
      <c r="Z106" s="733">
        <f>$F107*($AE$1*$AD$1)</f>
        <v>357.89747945205482</v>
      </c>
      <c r="AA106" s="565"/>
      <c r="AB106" s="38"/>
    </row>
    <row r="107" spans="1:28" ht="12.75" customHeight="1">
      <c r="A107" s="419" t="s">
        <v>184</v>
      </c>
      <c r="B107" s="336">
        <v>9900</v>
      </c>
      <c r="C107" s="337">
        <v>37495</v>
      </c>
      <c r="D107" s="337">
        <v>37500</v>
      </c>
      <c r="E107" s="336">
        <v>4240</v>
      </c>
      <c r="F107" s="338">
        <v>37495</v>
      </c>
      <c r="G107" s="537">
        <v>-2.2000000000000001E-3</v>
      </c>
      <c r="H107" s="330">
        <v>37580</v>
      </c>
      <c r="I107" s="321">
        <v>38500</v>
      </c>
      <c r="J107" s="321">
        <v>37105</v>
      </c>
      <c r="K107" s="390">
        <v>37580</v>
      </c>
      <c r="L107" s="328">
        <v>2857559857</v>
      </c>
      <c r="M107" s="325">
        <v>7607224</v>
      </c>
      <c r="N107" s="328">
        <v>872</v>
      </c>
      <c r="O107" s="448">
        <v>45303.708599537036</v>
      </c>
      <c r="P107" s="461">
        <v>106</v>
      </c>
      <c r="Q107" s="396">
        <v>0</v>
      </c>
      <c r="R107" s="424">
        <v>0</v>
      </c>
      <c r="S107" s="428">
        <v>0</v>
      </c>
      <c r="T107" s="354">
        <v>0</v>
      </c>
      <c r="U107" s="792">
        <v>0</v>
      </c>
      <c r="V107" s="489">
        <v>0</v>
      </c>
      <c r="W107" s="493">
        <v>0</v>
      </c>
      <c r="X107" s="559">
        <v>0</v>
      </c>
      <c r="Y107" s="735">
        <f>IFERROR(IF($Y$1&lt;&gt;"",INT($Y$1/(D106/100)),100),100)</f>
        <v>26</v>
      </c>
      <c r="Z107" s="734"/>
      <c r="AA107" s="566"/>
      <c r="AB107" s="38"/>
    </row>
    <row r="108" spans="1:28" ht="12.75" customHeight="1">
      <c r="A108" s="345" t="s">
        <v>575</v>
      </c>
      <c r="B108" s="339"/>
      <c r="C108" s="340"/>
      <c r="D108" s="340"/>
      <c r="E108" s="339"/>
      <c r="F108" s="341"/>
      <c r="G108" s="538"/>
      <c r="H108" s="342"/>
      <c r="I108" s="322"/>
      <c r="J108" s="322"/>
      <c r="K108" s="394">
        <v>26.437999999999999</v>
      </c>
      <c r="L108" s="359"/>
      <c r="M108" s="326"/>
      <c r="N108" s="359"/>
      <c r="O108" s="450"/>
      <c r="P108" s="462">
        <v>107</v>
      </c>
      <c r="Q108" s="397">
        <v>0</v>
      </c>
      <c r="R108" s="425">
        <v>0</v>
      </c>
      <c r="S108" s="433">
        <v>0</v>
      </c>
      <c r="T108" s="353">
        <v>0</v>
      </c>
      <c r="U108" s="414">
        <v>0</v>
      </c>
      <c r="V108" s="491">
        <v>0</v>
      </c>
      <c r="W108" s="492">
        <v>0</v>
      </c>
      <c r="X108" s="560">
        <v>0</v>
      </c>
      <c r="Y108" s="748">
        <f>IF(D108&lt;&gt;0,($C109*(1-$V$1))-$D108,0)</f>
        <v>0</v>
      </c>
      <c r="Z108" s="519" t="str">
        <f>IFERROR(D106/C108,"")</f>
        <v/>
      </c>
      <c r="AA108" s="674" t="str">
        <f>IFERROR($AB$1/(D108/100)*(C106/100),"")</f>
        <v/>
      </c>
      <c r="AB108" s="38"/>
    </row>
    <row r="109" spans="1:28" ht="12.75" customHeight="1">
      <c r="A109" s="465" t="s">
        <v>240</v>
      </c>
      <c r="B109" s="335"/>
      <c r="C109" s="337"/>
      <c r="D109" s="337"/>
      <c r="E109" s="335"/>
      <c r="F109" s="338"/>
      <c r="G109" s="537"/>
      <c r="H109" s="330"/>
      <c r="I109" s="321"/>
      <c r="J109" s="321"/>
      <c r="K109" s="390">
        <v>32.188000000000002</v>
      </c>
      <c r="L109" s="328"/>
      <c r="M109" s="325"/>
      <c r="N109" s="328"/>
      <c r="O109" s="448"/>
      <c r="P109" s="461">
        <v>108</v>
      </c>
      <c r="Q109" s="396">
        <v>0</v>
      </c>
      <c r="R109" s="424">
        <v>0</v>
      </c>
      <c r="S109" s="428">
        <v>0</v>
      </c>
      <c r="T109" s="354">
        <v>0</v>
      </c>
      <c r="U109" s="415">
        <v>0</v>
      </c>
      <c r="V109" s="490">
        <v>0</v>
      </c>
      <c r="W109" s="493">
        <v>0</v>
      </c>
      <c r="X109" s="559">
        <v>0</v>
      </c>
      <c r="Y109" s="749"/>
      <c r="Z109" s="518" t="str">
        <f>IFERROR(D107/C109,"")</f>
        <v/>
      </c>
      <c r="AA109" s="676" t="str">
        <f>IFERROR($AB$1/(D109/100)*(C107/100),"")</f>
        <v/>
      </c>
      <c r="AB109" s="38"/>
    </row>
    <row r="110" spans="1:28" ht="12.75" customHeight="1">
      <c r="A110" s="345" t="s">
        <v>576</v>
      </c>
      <c r="B110" s="343">
        <v>1191</v>
      </c>
      <c r="C110" s="340">
        <v>34</v>
      </c>
      <c r="D110" s="340">
        <v>34.4</v>
      </c>
      <c r="E110" s="343">
        <v>45218</v>
      </c>
      <c r="F110" s="341">
        <v>34.4</v>
      </c>
      <c r="G110" s="538">
        <v>5.7999999999999996E-3</v>
      </c>
      <c r="H110" s="342">
        <v>34</v>
      </c>
      <c r="I110" s="322">
        <v>34.448999999999998</v>
      </c>
      <c r="J110" s="322">
        <v>33.57</v>
      </c>
      <c r="K110" s="394">
        <v>34.198999999999998</v>
      </c>
      <c r="L110" s="359">
        <v>81632</v>
      </c>
      <c r="M110" s="326">
        <v>238896</v>
      </c>
      <c r="N110" s="359">
        <v>144</v>
      </c>
      <c r="O110" s="450">
        <v>45303.675694444442</v>
      </c>
      <c r="P110" s="462">
        <v>109</v>
      </c>
      <c r="Q110" s="397">
        <v>0</v>
      </c>
      <c r="R110" s="425">
        <v>0</v>
      </c>
      <c r="S110" s="433">
        <v>0</v>
      </c>
      <c r="T110" s="353">
        <v>0</v>
      </c>
      <c r="U110" s="414">
        <v>0</v>
      </c>
      <c r="V110" s="485">
        <v>0</v>
      </c>
      <c r="W110" s="492">
        <v>0</v>
      </c>
      <c r="X110" s="560">
        <v>0</v>
      </c>
      <c r="Y110" s="750">
        <f>IF(D110&lt;&gt;0,($C111*(1-$V$1))-$D110,0)</f>
        <v>-0.39900000000000091</v>
      </c>
      <c r="Z110" s="517">
        <f>IFERROR(D106/C110,"")</f>
        <v>1103.3823529411766</v>
      </c>
      <c r="AA110" s="675">
        <f>IFERROR($AB$1/(D110/100)*(C106/100),"")</f>
        <v>565691.27906976757</v>
      </c>
      <c r="AB110" s="38"/>
    </row>
    <row r="111" spans="1:28" ht="12.75" customHeight="1">
      <c r="A111" s="422" t="s">
        <v>241</v>
      </c>
      <c r="B111" s="383">
        <v>1000</v>
      </c>
      <c r="C111" s="384">
        <v>34.000999999999998</v>
      </c>
      <c r="D111" s="384">
        <v>34.29</v>
      </c>
      <c r="E111" s="383">
        <v>52</v>
      </c>
      <c r="F111" s="381">
        <v>34.29</v>
      </c>
      <c r="G111" s="539">
        <v>8.199999999999999E-3</v>
      </c>
      <c r="H111" s="373">
        <v>34.5</v>
      </c>
      <c r="I111" s="374">
        <v>34.5</v>
      </c>
      <c r="J111" s="374">
        <v>33.1</v>
      </c>
      <c r="K111" s="391">
        <v>34.01</v>
      </c>
      <c r="L111" s="379">
        <v>209374</v>
      </c>
      <c r="M111" s="375">
        <v>612276</v>
      </c>
      <c r="N111" s="379">
        <v>236</v>
      </c>
      <c r="O111" s="452">
        <v>45303.70853009259</v>
      </c>
      <c r="P111" s="461">
        <v>110</v>
      </c>
      <c r="Q111" s="398">
        <v>0</v>
      </c>
      <c r="R111" s="427">
        <v>0</v>
      </c>
      <c r="S111" s="434">
        <v>0</v>
      </c>
      <c r="T111" s="380">
        <v>0</v>
      </c>
      <c r="U111" s="415">
        <v>0</v>
      </c>
      <c r="V111" s="416">
        <v>0</v>
      </c>
      <c r="W111" s="494">
        <v>0</v>
      </c>
      <c r="X111" s="561">
        <v>0</v>
      </c>
      <c r="Y111" s="751"/>
      <c r="Z111" s="581">
        <f>IFERROR(D107/C111,"")</f>
        <v>1102.9087379782948</v>
      </c>
      <c r="AA111" s="677">
        <f>IFERROR($AB$1/(D111/100)*(C107/100),"")</f>
        <v>575098.28813065041</v>
      </c>
      <c r="AB111" s="38"/>
    </row>
    <row r="112" spans="1:28" ht="12.75" customHeight="1">
      <c r="A112" s="421" t="s">
        <v>580</v>
      </c>
      <c r="B112" s="362">
        <v>100</v>
      </c>
      <c r="C112" s="521">
        <v>35610</v>
      </c>
      <c r="D112" s="377">
        <v>37900</v>
      </c>
      <c r="E112" s="362">
        <v>2847</v>
      </c>
      <c r="F112" s="437">
        <v>36400</v>
      </c>
      <c r="G112" s="534">
        <v>-6.4199999999999993E-2</v>
      </c>
      <c r="H112" s="331">
        <v>39000</v>
      </c>
      <c r="I112" s="323">
        <v>39000</v>
      </c>
      <c r="J112" s="323">
        <v>36400</v>
      </c>
      <c r="K112" s="393">
        <v>38900</v>
      </c>
      <c r="L112" s="372">
        <v>198085636</v>
      </c>
      <c r="M112" s="327">
        <v>525520</v>
      </c>
      <c r="N112" s="401">
        <v>161</v>
      </c>
      <c r="O112" s="453">
        <v>45303.681620370371</v>
      </c>
      <c r="P112" s="462">
        <v>111</v>
      </c>
      <c r="Q112" s="399">
        <v>0</v>
      </c>
      <c r="R112" s="423">
        <v>0</v>
      </c>
      <c r="S112" s="431">
        <v>0</v>
      </c>
      <c r="T112" s="355">
        <v>0</v>
      </c>
      <c r="U112" s="791">
        <v>0</v>
      </c>
      <c r="V112" s="488">
        <v>0</v>
      </c>
      <c r="W112" s="492">
        <v>0</v>
      </c>
      <c r="X112" s="558">
        <v>0</v>
      </c>
      <c r="Y112" s="736">
        <f>IF(D112&lt;&gt;0,($C113*(1-$V$1))-$D112,0)</f>
        <v>-490</v>
      </c>
      <c r="Z112" s="733">
        <f>$F113*($AE$1*$AD$1)</f>
        <v>360.80876712328768</v>
      </c>
      <c r="AA112" s="565"/>
      <c r="AB112" s="38"/>
    </row>
    <row r="113" spans="1:28" ht="12.75" customHeight="1">
      <c r="A113" s="419" t="s">
        <v>185</v>
      </c>
      <c r="B113" s="336">
        <v>30</v>
      </c>
      <c r="C113" s="337">
        <v>37410</v>
      </c>
      <c r="D113" s="337">
        <v>37800</v>
      </c>
      <c r="E113" s="336">
        <v>999</v>
      </c>
      <c r="F113" s="338">
        <v>37800</v>
      </c>
      <c r="G113" s="537">
        <v>-1.29E-2</v>
      </c>
      <c r="H113" s="330">
        <v>38300</v>
      </c>
      <c r="I113" s="321">
        <v>39200</v>
      </c>
      <c r="J113" s="321">
        <v>36010</v>
      </c>
      <c r="K113" s="390">
        <v>38295</v>
      </c>
      <c r="L113" s="328">
        <v>375369386</v>
      </c>
      <c r="M113" s="325">
        <v>996354</v>
      </c>
      <c r="N113" s="328">
        <v>388</v>
      </c>
      <c r="O113" s="448">
        <v>45303.708344907405</v>
      </c>
      <c r="P113" s="461">
        <v>112</v>
      </c>
      <c r="Q113" s="396">
        <v>0</v>
      </c>
      <c r="R113" s="424">
        <v>0</v>
      </c>
      <c r="S113" s="428">
        <v>0</v>
      </c>
      <c r="T113" s="354">
        <v>0</v>
      </c>
      <c r="U113" s="792">
        <v>0</v>
      </c>
      <c r="V113" s="489">
        <v>0</v>
      </c>
      <c r="W113" s="493">
        <v>0</v>
      </c>
      <c r="X113" s="559">
        <v>0</v>
      </c>
      <c r="Y113" s="735">
        <f>IFERROR(IF($Y$1&lt;&gt;"",INT($Y$1/(D112/100)),100),100)</f>
        <v>26</v>
      </c>
      <c r="Z113" s="734"/>
      <c r="AA113" s="566"/>
      <c r="AB113" s="38"/>
    </row>
    <row r="114" spans="1:28" ht="12.75" customHeight="1">
      <c r="A114" s="345" t="s">
        <v>581</v>
      </c>
      <c r="B114" s="339"/>
      <c r="C114" s="340"/>
      <c r="D114" s="340"/>
      <c r="E114" s="339"/>
      <c r="F114" s="341"/>
      <c r="G114" s="538"/>
      <c r="H114" s="342"/>
      <c r="I114" s="322"/>
      <c r="J114" s="322"/>
      <c r="K114" s="394">
        <v>23.22</v>
      </c>
      <c r="L114" s="359"/>
      <c r="M114" s="326"/>
      <c r="N114" s="359"/>
      <c r="O114" s="450"/>
      <c r="P114" s="462">
        <v>113</v>
      </c>
      <c r="Q114" s="397">
        <v>0</v>
      </c>
      <c r="R114" s="425">
        <v>0</v>
      </c>
      <c r="S114" s="433">
        <v>0</v>
      </c>
      <c r="T114" s="353">
        <v>0</v>
      </c>
      <c r="U114" s="414">
        <v>0</v>
      </c>
      <c r="V114" s="491">
        <v>0</v>
      </c>
      <c r="W114" s="492">
        <v>0</v>
      </c>
      <c r="X114" s="560">
        <v>0</v>
      </c>
      <c r="Y114" s="748">
        <f>IF(D114&lt;&gt;0,($C115*(1-$V$1))-$D114,0)</f>
        <v>0</v>
      </c>
      <c r="Z114" s="519" t="str">
        <f>IFERROR(D112/C114,"")</f>
        <v/>
      </c>
      <c r="AA114" s="674" t="str">
        <f>IFERROR($AB$1/(D114/100)*(C112/100),"")</f>
        <v/>
      </c>
      <c r="AB114" s="38"/>
    </row>
    <row r="115" spans="1:28" ht="12.75" customHeight="1">
      <c r="A115" s="465" t="s">
        <v>242</v>
      </c>
      <c r="B115" s="335"/>
      <c r="C115" s="337"/>
      <c r="D115" s="337"/>
      <c r="E115" s="335"/>
      <c r="F115" s="338"/>
      <c r="G115" s="537"/>
      <c r="H115" s="330"/>
      <c r="I115" s="321"/>
      <c r="J115" s="321"/>
      <c r="K115" s="390">
        <v>26</v>
      </c>
      <c r="L115" s="328"/>
      <c r="M115" s="325"/>
      <c r="N115" s="328"/>
      <c r="O115" s="448"/>
      <c r="P115" s="461">
        <v>114</v>
      </c>
      <c r="Q115" s="396">
        <v>0</v>
      </c>
      <c r="R115" s="424">
        <v>0</v>
      </c>
      <c r="S115" s="428">
        <v>0</v>
      </c>
      <c r="T115" s="354">
        <v>0</v>
      </c>
      <c r="U115" s="415">
        <v>0</v>
      </c>
      <c r="V115" s="490">
        <v>0</v>
      </c>
      <c r="W115" s="493">
        <v>0</v>
      </c>
      <c r="X115" s="559">
        <v>0</v>
      </c>
      <c r="Y115" s="749"/>
      <c r="Z115" s="518" t="str">
        <f>IFERROR(D113/C115,"")</f>
        <v/>
      </c>
      <c r="AA115" s="676" t="str">
        <f>IFERROR($AB$1/(D115/100)*(C113/100),"")</f>
        <v/>
      </c>
      <c r="AB115" s="38"/>
    </row>
    <row r="116" spans="1:28" ht="12.75" customHeight="1">
      <c r="A116" s="345" t="s">
        <v>582</v>
      </c>
      <c r="B116" s="343">
        <v>5000</v>
      </c>
      <c r="C116" s="340">
        <v>34.021000000000001</v>
      </c>
      <c r="D116" s="340">
        <v>35</v>
      </c>
      <c r="E116" s="343">
        <v>2000</v>
      </c>
      <c r="F116" s="341">
        <v>34.9</v>
      </c>
      <c r="G116" s="538">
        <v>2.0400000000000001E-2</v>
      </c>
      <c r="H116" s="342">
        <v>33.939</v>
      </c>
      <c r="I116" s="322">
        <v>35.89</v>
      </c>
      <c r="J116" s="322">
        <v>33.939</v>
      </c>
      <c r="K116" s="394">
        <v>34.201999999999998</v>
      </c>
      <c r="L116" s="359">
        <v>17743</v>
      </c>
      <c r="M116" s="326">
        <v>50860</v>
      </c>
      <c r="N116" s="359">
        <v>41</v>
      </c>
      <c r="O116" s="450">
        <v>45303.676099537035</v>
      </c>
      <c r="P116" s="462">
        <v>115</v>
      </c>
      <c r="Q116" s="397">
        <v>0</v>
      </c>
      <c r="R116" s="425">
        <v>0</v>
      </c>
      <c r="S116" s="433">
        <v>0</v>
      </c>
      <c r="T116" s="353">
        <v>0</v>
      </c>
      <c r="U116" s="414">
        <v>0</v>
      </c>
      <c r="V116" s="485">
        <v>0</v>
      </c>
      <c r="W116" s="492">
        <v>0</v>
      </c>
      <c r="X116" s="560">
        <v>0</v>
      </c>
      <c r="Y116" s="750">
        <f>IF(D116&lt;&gt;0,($C117*(1-$V$1))-$D116,0)</f>
        <v>-0.60000000000000142</v>
      </c>
      <c r="Z116" s="517">
        <f>IFERROR(D112/C116,"")</f>
        <v>1114.0178125275565</v>
      </c>
      <c r="AA116" s="675">
        <f>IFERROR($AB$1/(D116/100)*(C112/100),"")</f>
        <v>535106.38285714295</v>
      </c>
      <c r="AB116" s="38"/>
    </row>
    <row r="117" spans="1:28" ht="12.75" customHeight="1">
      <c r="A117" s="422" t="s">
        <v>243</v>
      </c>
      <c r="B117" s="383">
        <v>2000</v>
      </c>
      <c r="C117" s="384">
        <v>34.4</v>
      </c>
      <c r="D117" s="384">
        <v>34.700000000000003</v>
      </c>
      <c r="E117" s="383">
        <v>600</v>
      </c>
      <c r="F117" s="381">
        <v>34.5</v>
      </c>
      <c r="G117" s="539">
        <v>-2.81E-2</v>
      </c>
      <c r="H117" s="373">
        <v>35</v>
      </c>
      <c r="I117" s="374">
        <v>35.700000000000003</v>
      </c>
      <c r="J117" s="374">
        <v>33.012</v>
      </c>
      <c r="K117" s="391">
        <v>35.499000000000002</v>
      </c>
      <c r="L117" s="379">
        <v>28435</v>
      </c>
      <c r="M117" s="375">
        <v>82694</v>
      </c>
      <c r="N117" s="379">
        <v>71</v>
      </c>
      <c r="O117" s="451">
        <v>45303.702997685185</v>
      </c>
      <c r="P117" s="461">
        <v>116</v>
      </c>
      <c r="Q117" s="398">
        <v>0</v>
      </c>
      <c r="R117" s="427">
        <v>0</v>
      </c>
      <c r="S117" s="434">
        <v>0</v>
      </c>
      <c r="T117" s="380">
        <v>0</v>
      </c>
      <c r="U117" s="415">
        <v>0</v>
      </c>
      <c r="V117" s="416">
        <v>0</v>
      </c>
      <c r="W117" s="494">
        <v>0</v>
      </c>
      <c r="X117" s="561">
        <v>0</v>
      </c>
      <c r="Y117" s="751"/>
      <c r="Z117" s="581">
        <f>IFERROR(D113/C117,"")</f>
        <v>1098.8372093023256</v>
      </c>
      <c r="AA117" s="677">
        <f>IFERROR($AB$1/(D117/100)*(C113/100),"")</f>
        <v>567014.85302593664</v>
      </c>
      <c r="AB117" s="38"/>
    </row>
    <row r="118" spans="1:28" ht="12.75" customHeight="1">
      <c r="A118" s="421" t="s">
        <v>583</v>
      </c>
      <c r="B118" s="362">
        <v>2764</v>
      </c>
      <c r="C118" s="521">
        <v>45215</v>
      </c>
      <c r="D118" s="377">
        <v>45440</v>
      </c>
      <c r="E118" s="362">
        <v>33</v>
      </c>
      <c r="F118" s="437">
        <v>45450</v>
      </c>
      <c r="G118" s="534">
        <v>-4.3E-3</v>
      </c>
      <c r="H118" s="331">
        <v>45425</v>
      </c>
      <c r="I118" s="323">
        <v>46200</v>
      </c>
      <c r="J118" s="323">
        <v>44800</v>
      </c>
      <c r="K118" s="393">
        <v>45650</v>
      </c>
      <c r="L118" s="372">
        <v>5718204</v>
      </c>
      <c r="M118" s="327">
        <v>12647</v>
      </c>
      <c r="N118" s="372">
        <v>66</v>
      </c>
      <c r="O118" s="447">
        <v>45303.684490740743</v>
      </c>
      <c r="P118" s="462">
        <v>117</v>
      </c>
      <c r="Q118" s="399">
        <v>0</v>
      </c>
      <c r="R118" s="423">
        <v>0</v>
      </c>
      <c r="S118" s="431">
        <v>0</v>
      </c>
      <c r="T118" s="355">
        <v>0</v>
      </c>
      <c r="U118" s="791">
        <v>0</v>
      </c>
      <c r="V118" s="488">
        <v>0</v>
      </c>
      <c r="W118" s="492">
        <v>0</v>
      </c>
      <c r="X118" s="558">
        <v>0</v>
      </c>
      <c r="Y118" s="736">
        <f>IF(D118&lt;&gt;0,($C119*(1-$V$1))-$D118,0)</f>
        <v>-540</v>
      </c>
      <c r="Z118" s="733">
        <f>$F119*($AE$1*$AD$1)</f>
        <v>429.53424657534248</v>
      </c>
      <c r="AA118" s="565"/>
      <c r="AB118" s="38"/>
    </row>
    <row r="119" spans="1:28" ht="12.75" customHeight="1">
      <c r="A119" s="419" t="s">
        <v>187</v>
      </c>
      <c r="B119" s="336">
        <v>250</v>
      </c>
      <c r="C119" s="337">
        <v>44900</v>
      </c>
      <c r="D119" s="337">
        <v>45000</v>
      </c>
      <c r="E119" s="336">
        <v>30173</v>
      </c>
      <c r="F119" s="338">
        <v>45000</v>
      </c>
      <c r="G119" s="537">
        <v>-2.2799999999999997E-2</v>
      </c>
      <c r="H119" s="330">
        <v>46500</v>
      </c>
      <c r="I119" s="321">
        <v>47100</v>
      </c>
      <c r="J119" s="321">
        <v>44775</v>
      </c>
      <c r="K119" s="390">
        <v>46050</v>
      </c>
      <c r="L119" s="328">
        <v>160922677</v>
      </c>
      <c r="M119" s="325">
        <v>349957</v>
      </c>
      <c r="N119" s="328">
        <v>168</v>
      </c>
      <c r="O119" s="448">
        <v>45303.70853009259</v>
      </c>
      <c r="P119" s="461">
        <v>118</v>
      </c>
      <c r="Q119" s="396">
        <v>0</v>
      </c>
      <c r="R119" s="424">
        <v>0</v>
      </c>
      <c r="S119" s="428">
        <v>0</v>
      </c>
      <c r="T119" s="354">
        <v>0</v>
      </c>
      <c r="U119" s="792">
        <v>0</v>
      </c>
      <c r="V119" s="489">
        <v>0</v>
      </c>
      <c r="W119" s="493">
        <v>0</v>
      </c>
      <c r="X119" s="559">
        <v>0</v>
      </c>
      <c r="Y119" s="735">
        <f>IFERROR(IF($Y$1&lt;&gt;"",INT($Y$1/(D118/100)),100),100)</f>
        <v>22</v>
      </c>
      <c r="Z119" s="734"/>
      <c r="AA119" s="566"/>
      <c r="AB119" s="38"/>
    </row>
    <row r="120" spans="1:28" ht="12.75" customHeight="1">
      <c r="A120" s="345" t="s">
        <v>584</v>
      </c>
      <c r="B120" s="339"/>
      <c r="C120" s="340"/>
      <c r="D120" s="340"/>
      <c r="E120" s="339"/>
      <c r="F120" s="341"/>
      <c r="G120" s="538"/>
      <c r="H120" s="342"/>
      <c r="I120" s="322"/>
      <c r="J120" s="322"/>
      <c r="K120" s="394">
        <v>23.3</v>
      </c>
      <c r="L120" s="359"/>
      <c r="M120" s="326"/>
      <c r="N120" s="359"/>
      <c r="O120" s="450"/>
      <c r="P120" s="462">
        <v>119</v>
      </c>
      <c r="Q120" s="397">
        <v>0</v>
      </c>
      <c r="R120" s="425">
        <v>0</v>
      </c>
      <c r="S120" s="433">
        <v>0</v>
      </c>
      <c r="T120" s="353">
        <v>0</v>
      </c>
      <c r="U120" s="414">
        <v>0</v>
      </c>
      <c r="V120" s="491">
        <v>0</v>
      </c>
      <c r="W120" s="492">
        <v>0</v>
      </c>
      <c r="X120" s="560">
        <v>0</v>
      </c>
      <c r="Y120" s="748">
        <f>IF(D120&lt;&gt;0,($C121*(1-$V$1))-$D120,0)</f>
        <v>0</v>
      </c>
      <c r="Z120" s="519" t="str">
        <f t="shared" ref="Z120:Z121" si="19">IFERROR(D118/C120,"")</f>
        <v/>
      </c>
      <c r="AA120" s="674" t="str">
        <f>IFERROR($AB$1/(D120/100)*(C118/100),"")</f>
        <v/>
      </c>
      <c r="AB120" s="38"/>
    </row>
    <row r="121" spans="1:28" ht="12.75" customHeight="1">
      <c r="A121" s="465" t="s">
        <v>232</v>
      </c>
      <c r="B121" s="335"/>
      <c r="C121" s="337"/>
      <c r="D121" s="337"/>
      <c r="E121" s="335"/>
      <c r="F121" s="338"/>
      <c r="G121" s="537"/>
      <c r="H121" s="330"/>
      <c r="I121" s="321"/>
      <c r="J121" s="321"/>
      <c r="K121" s="390">
        <v>40</v>
      </c>
      <c r="L121" s="328"/>
      <c r="M121" s="325"/>
      <c r="N121" s="328"/>
      <c r="O121" s="448"/>
      <c r="P121" s="461">
        <v>120</v>
      </c>
      <c r="Q121" s="396">
        <v>0</v>
      </c>
      <c r="R121" s="424">
        <v>0</v>
      </c>
      <c r="S121" s="428">
        <v>0</v>
      </c>
      <c r="T121" s="354">
        <v>0</v>
      </c>
      <c r="U121" s="415">
        <v>0</v>
      </c>
      <c r="V121" s="490">
        <v>0</v>
      </c>
      <c r="W121" s="493">
        <v>0</v>
      </c>
      <c r="X121" s="559">
        <v>0</v>
      </c>
      <c r="Y121" s="749"/>
      <c r="Z121" s="518" t="str">
        <f t="shared" si="19"/>
        <v/>
      </c>
      <c r="AA121" s="676" t="str">
        <f>IFERROR($AB$1/(D121/100)*(C119/100),"")</f>
        <v/>
      </c>
      <c r="AB121" s="38"/>
    </row>
    <row r="122" spans="1:28" ht="12.75" customHeight="1">
      <c r="A122" s="345" t="s">
        <v>585</v>
      </c>
      <c r="B122" s="343">
        <v>1501</v>
      </c>
      <c r="C122" s="340">
        <v>40.700000000000003</v>
      </c>
      <c r="D122" s="340">
        <v>42</v>
      </c>
      <c r="E122" s="343">
        <v>1850</v>
      </c>
      <c r="F122" s="341">
        <v>40.512999999999998</v>
      </c>
      <c r="G122" s="538">
        <v>-2.1400000000000002E-2</v>
      </c>
      <c r="H122" s="342">
        <v>41.3</v>
      </c>
      <c r="I122" s="322">
        <v>41.9</v>
      </c>
      <c r="J122" s="322">
        <v>40.250999999999998</v>
      </c>
      <c r="K122" s="394">
        <v>41.4</v>
      </c>
      <c r="L122" s="359">
        <v>1186</v>
      </c>
      <c r="M122" s="326">
        <v>2900</v>
      </c>
      <c r="N122" s="359">
        <v>9</v>
      </c>
      <c r="O122" s="450">
        <v>45303.589444444442</v>
      </c>
      <c r="P122" s="462">
        <v>121</v>
      </c>
      <c r="Q122" s="397">
        <v>0</v>
      </c>
      <c r="R122" s="425">
        <v>0</v>
      </c>
      <c r="S122" s="433">
        <v>0</v>
      </c>
      <c r="T122" s="353">
        <v>0</v>
      </c>
      <c r="U122" s="414">
        <v>0</v>
      </c>
      <c r="V122" s="485">
        <v>0</v>
      </c>
      <c r="W122" s="492">
        <v>0</v>
      </c>
      <c r="X122" s="560">
        <v>0</v>
      </c>
      <c r="Y122" s="750">
        <f>IF(D122&lt;&gt;0,($C123*(1-$V$1))-$D122,0)</f>
        <v>-1</v>
      </c>
      <c r="Z122" s="517">
        <f t="shared" ref="Z122:Z123" si="20">IFERROR(D118/C122,"")</f>
        <v>1116.4619164619164</v>
      </c>
      <c r="AA122" s="675">
        <f>IFERROR($AB$1/(D122/100)*(C118/100),"")</f>
        <v>566199.45476190478</v>
      </c>
      <c r="AB122" s="38"/>
    </row>
    <row r="123" spans="1:28" ht="12.75" customHeight="1">
      <c r="A123" s="422" t="s">
        <v>233</v>
      </c>
      <c r="B123" s="383">
        <v>1</v>
      </c>
      <c r="C123" s="384">
        <v>41</v>
      </c>
      <c r="D123" s="384">
        <v>41.6</v>
      </c>
      <c r="E123" s="383">
        <v>100</v>
      </c>
      <c r="F123" s="381">
        <v>41.1</v>
      </c>
      <c r="G123" s="539">
        <v>2.3999999999999998E-3</v>
      </c>
      <c r="H123" s="373">
        <v>41</v>
      </c>
      <c r="I123" s="374">
        <v>41.9</v>
      </c>
      <c r="J123" s="374">
        <v>40</v>
      </c>
      <c r="K123" s="391">
        <v>41</v>
      </c>
      <c r="L123" s="379">
        <v>6857</v>
      </c>
      <c r="M123" s="375">
        <v>16928</v>
      </c>
      <c r="N123" s="379">
        <v>27</v>
      </c>
      <c r="O123" s="451">
        <v>45303.703310185185</v>
      </c>
      <c r="P123" s="461">
        <v>122</v>
      </c>
      <c r="Q123" s="398">
        <v>0</v>
      </c>
      <c r="R123" s="427">
        <v>0</v>
      </c>
      <c r="S123" s="434">
        <v>0</v>
      </c>
      <c r="T123" s="380">
        <v>0</v>
      </c>
      <c r="U123" s="415">
        <v>0</v>
      </c>
      <c r="V123" s="416">
        <v>0</v>
      </c>
      <c r="W123" s="494">
        <v>0</v>
      </c>
      <c r="X123" s="561">
        <v>0</v>
      </c>
      <c r="Y123" s="751"/>
      <c r="Z123" s="581">
        <f t="shared" si="20"/>
        <v>1097.560975609756</v>
      </c>
      <c r="AA123" s="677">
        <f>IFERROR($AB$1/(D123/100)*(C119/100),"")</f>
        <v>567661.20192307699</v>
      </c>
      <c r="AB123" s="38"/>
    </row>
    <row r="124" spans="1:28" ht="12.75" customHeight="1">
      <c r="A124" s="421" t="s">
        <v>586</v>
      </c>
      <c r="B124" s="362">
        <v>299</v>
      </c>
      <c r="C124" s="521">
        <v>38005</v>
      </c>
      <c r="D124" s="377">
        <v>38700</v>
      </c>
      <c r="E124" s="362">
        <v>50</v>
      </c>
      <c r="F124" s="437">
        <v>38600</v>
      </c>
      <c r="G124" s="534">
        <v>-2.1499999999999998E-2</v>
      </c>
      <c r="H124" s="331">
        <v>39550</v>
      </c>
      <c r="I124" s="323">
        <v>40480</v>
      </c>
      <c r="J124" s="323">
        <v>38005</v>
      </c>
      <c r="K124" s="393">
        <v>39450</v>
      </c>
      <c r="L124" s="372">
        <v>261412670</v>
      </c>
      <c r="M124" s="327">
        <v>672363</v>
      </c>
      <c r="N124" s="372">
        <v>1062</v>
      </c>
      <c r="O124" s="447">
        <v>45303.687835648147</v>
      </c>
      <c r="P124" s="462">
        <v>123</v>
      </c>
      <c r="Q124" s="399">
        <v>0</v>
      </c>
      <c r="R124" s="423">
        <v>0</v>
      </c>
      <c r="S124" s="431">
        <v>0</v>
      </c>
      <c r="T124" s="355">
        <v>0</v>
      </c>
      <c r="U124" s="791">
        <v>0</v>
      </c>
      <c r="V124" s="488">
        <v>0</v>
      </c>
      <c r="W124" s="492">
        <v>0</v>
      </c>
      <c r="X124" s="558">
        <v>0</v>
      </c>
      <c r="Y124" s="736">
        <f>IF(D124&lt;&gt;0,($C125*(1-$V$1))-$D124,0)</f>
        <v>0</v>
      </c>
      <c r="Z124" s="733">
        <f>$F125*($AE$1*$AD$1)</f>
        <v>371.30849315068497</v>
      </c>
      <c r="AA124" s="565"/>
      <c r="AB124" s="38"/>
    </row>
    <row r="125" spans="1:28" ht="12.75" customHeight="1">
      <c r="A125" s="419" t="s">
        <v>164</v>
      </c>
      <c r="B125" s="336">
        <v>18147</v>
      </c>
      <c r="C125" s="337">
        <v>38700</v>
      </c>
      <c r="D125" s="337">
        <v>38985</v>
      </c>
      <c r="E125" s="336">
        <v>5000</v>
      </c>
      <c r="F125" s="338">
        <v>38900</v>
      </c>
      <c r="G125" s="537">
        <v>-1.4999999999999999E-2</v>
      </c>
      <c r="H125" s="330">
        <v>39830</v>
      </c>
      <c r="I125" s="321">
        <v>40645</v>
      </c>
      <c r="J125" s="321">
        <v>38500</v>
      </c>
      <c r="K125" s="390">
        <v>39495</v>
      </c>
      <c r="L125" s="328">
        <v>3313540490</v>
      </c>
      <c r="M125" s="325">
        <v>8453851</v>
      </c>
      <c r="N125" s="328">
        <v>1985</v>
      </c>
      <c r="O125" s="448">
        <v>45303.708541666667</v>
      </c>
      <c r="P125" s="461">
        <v>124</v>
      </c>
      <c r="Q125" s="396">
        <v>0</v>
      </c>
      <c r="R125" s="424">
        <v>0</v>
      </c>
      <c r="S125" s="428">
        <v>0</v>
      </c>
      <c r="T125" s="354">
        <v>0</v>
      </c>
      <c r="U125" s="792">
        <v>0</v>
      </c>
      <c r="V125" s="489">
        <v>0</v>
      </c>
      <c r="W125" s="493">
        <v>0</v>
      </c>
      <c r="X125" s="559">
        <v>0</v>
      </c>
      <c r="Y125" s="735">
        <f>IFERROR(IF($Y$1&lt;&gt;"",INT($Y$1/(D124/100)),100),100)</f>
        <v>25</v>
      </c>
      <c r="Z125" s="734"/>
      <c r="AA125" s="566"/>
      <c r="AB125" s="38"/>
    </row>
    <row r="126" spans="1:28" ht="12.75" customHeight="1">
      <c r="A126" s="345" t="s">
        <v>587</v>
      </c>
      <c r="B126" s="339"/>
      <c r="C126" s="340"/>
      <c r="D126" s="340">
        <v>35.299999999999997</v>
      </c>
      <c r="E126" s="339">
        <v>2138</v>
      </c>
      <c r="F126" s="341">
        <v>35.299999999999997</v>
      </c>
      <c r="G126" s="538">
        <v>3.8599999999999995E-2</v>
      </c>
      <c r="H126" s="342">
        <v>35.299999999999997</v>
      </c>
      <c r="I126" s="322">
        <v>35.299999999999997</v>
      </c>
      <c r="J126" s="322">
        <v>35.299999999999997</v>
      </c>
      <c r="K126" s="394">
        <v>33.988</v>
      </c>
      <c r="L126" s="359">
        <v>120</v>
      </c>
      <c r="M126" s="326">
        <v>340</v>
      </c>
      <c r="N126" s="359">
        <v>1</v>
      </c>
      <c r="O126" s="450">
        <v>45303.656550925924</v>
      </c>
      <c r="P126" s="462">
        <v>125</v>
      </c>
      <c r="Q126" s="397">
        <v>0</v>
      </c>
      <c r="R126" s="425">
        <v>0</v>
      </c>
      <c r="S126" s="433">
        <v>0</v>
      </c>
      <c r="T126" s="353">
        <v>0</v>
      </c>
      <c r="U126" s="414">
        <v>0</v>
      </c>
      <c r="V126" s="491">
        <v>0</v>
      </c>
      <c r="W126" s="492">
        <v>0</v>
      </c>
      <c r="X126" s="560">
        <v>0</v>
      </c>
      <c r="Y126" s="748">
        <f>IF(D126&lt;&gt;0,($C127*(1-$V$1))-$D126,0)</f>
        <v>-1.2999999999999972</v>
      </c>
      <c r="Z126" s="519" t="str">
        <f t="shared" ref="Z126:Z127" si="21">IFERROR(D124/C126,"")</f>
        <v/>
      </c>
      <c r="AA126" s="674">
        <f>IFERROR($AB$1/(D126/100)*(C124/100),"")</f>
        <v>566242.20113314467</v>
      </c>
      <c r="AB126" s="38"/>
    </row>
    <row r="127" spans="1:28" ht="12.75" customHeight="1">
      <c r="A127" s="465" t="s">
        <v>220</v>
      </c>
      <c r="B127" s="335">
        <v>5000</v>
      </c>
      <c r="C127" s="337">
        <v>34</v>
      </c>
      <c r="D127" s="337">
        <v>37.4</v>
      </c>
      <c r="E127" s="335">
        <v>5567</v>
      </c>
      <c r="F127" s="338"/>
      <c r="G127" s="537"/>
      <c r="H127" s="330"/>
      <c r="I127" s="321"/>
      <c r="J127" s="321"/>
      <c r="K127" s="390">
        <v>34.938000000000002</v>
      </c>
      <c r="L127" s="328"/>
      <c r="M127" s="325"/>
      <c r="N127" s="328"/>
      <c r="O127" s="448"/>
      <c r="P127" s="461">
        <v>126</v>
      </c>
      <c r="Q127" s="396">
        <v>0</v>
      </c>
      <c r="R127" s="424">
        <v>0</v>
      </c>
      <c r="S127" s="428">
        <v>0</v>
      </c>
      <c r="T127" s="354">
        <v>0</v>
      </c>
      <c r="U127" s="415">
        <v>0</v>
      </c>
      <c r="V127" s="490">
        <v>0</v>
      </c>
      <c r="W127" s="493">
        <v>0</v>
      </c>
      <c r="X127" s="559">
        <v>0</v>
      </c>
      <c r="Y127" s="749"/>
      <c r="Z127" s="518">
        <f t="shared" si="21"/>
        <v>1146.6176470588234</v>
      </c>
      <c r="AA127" s="676">
        <f>IFERROR($AB$1/(D127/100)*(C125/100),"")</f>
        <v>544221.33689839579</v>
      </c>
      <c r="AB127" s="38"/>
    </row>
    <row r="128" spans="1:28" ht="12.75" customHeight="1">
      <c r="A128" s="345" t="s">
        <v>588</v>
      </c>
      <c r="B128" s="343">
        <v>7691</v>
      </c>
      <c r="C128" s="340">
        <v>35.299999999999997</v>
      </c>
      <c r="D128" s="340">
        <v>35.700000000000003</v>
      </c>
      <c r="E128" s="343">
        <v>2592</v>
      </c>
      <c r="F128" s="341">
        <v>35.299999999999997</v>
      </c>
      <c r="G128" s="538">
        <v>2.8000000000000004E-3</v>
      </c>
      <c r="H128" s="342">
        <v>35.226999999999997</v>
      </c>
      <c r="I128" s="322">
        <v>36</v>
      </c>
      <c r="J128" s="322">
        <v>35.226999999999997</v>
      </c>
      <c r="K128" s="394">
        <v>35.200000000000003</v>
      </c>
      <c r="L128" s="359">
        <v>70092</v>
      </c>
      <c r="M128" s="326">
        <v>196679</v>
      </c>
      <c r="N128" s="359">
        <v>131</v>
      </c>
      <c r="O128" s="450">
        <v>45303.681967592594</v>
      </c>
      <c r="P128" s="462">
        <v>127</v>
      </c>
      <c r="Q128" s="397">
        <v>0</v>
      </c>
      <c r="R128" s="425">
        <v>0</v>
      </c>
      <c r="S128" s="433">
        <v>0</v>
      </c>
      <c r="T128" s="353">
        <v>0</v>
      </c>
      <c r="U128" s="414">
        <v>0</v>
      </c>
      <c r="V128" s="485">
        <v>0</v>
      </c>
      <c r="W128" s="492">
        <v>0</v>
      </c>
      <c r="X128" s="560">
        <v>0</v>
      </c>
      <c r="Y128" s="750">
        <f>IF(D128&lt;&gt;0,($C129*(1-$V$1))-$D128,0)</f>
        <v>-0.35000000000000142</v>
      </c>
      <c r="Z128" s="517">
        <f t="shared" ref="Z128:Z129" si="22">IFERROR(D124/C128,"")</f>
        <v>1096.3172804532578</v>
      </c>
      <c r="AA128" s="675">
        <f>IFERROR($AB$1/(D128/100)*(C124/100),"")</f>
        <v>559897.75070028007</v>
      </c>
      <c r="AB128" s="38"/>
    </row>
    <row r="129" spans="1:28" ht="12.75" customHeight="1">
      <c r="A129" s="422" t="s">
        <v>221</v>
      </c>
      <c r="B129" s="383">
        <v>8185</v>
      </c>
      <c r="C129" s="384">
        <v>35.35</v>
      </c>
      <c r="D129" s="384">
        <v>35.380000000000003</v>
      </c>
      <c r="E129" s="383">
        <v>7018</v>
      </c>
      <c r="F129" s="381">
        <v>35.380000000000003</v>
      </c>
      <c r="G129" s="539">
        <v>-1.6899999999999998E-2</v>
      </c>
      <c r="H129" s="373">
        <v>36</v>
      </c>
      <c r="I129" s="374">
        <v>36</v>
      </c>
      <c r="J129" s="374">
        <v>35.15</v>
      </c>
      <c r="K129" s="391">
        <v>35.99</v>
      </c>
      <c r="L129" s="379">
        <v>215370</v>
      </c>
      <c r="M129" s="375">
        <v>604590</v>
      </c>
      <c r="N129" s="379">
        <v>304</v>
      </c>
      <c r="O129" s="451">
        <v>45303.705231481479</v>
      </c>
      <c r="P129" s="461">
        <v>128</v>
      </c>
      <c r="Q129" s="398">
        <v>0</v>
      </c>
      <c r="R129" s="427">
        <v>0</v>
      </c>
      <c r="S129" s="434">
        <v>0</v>
      </c>
      <c r="T129" s="380">
        <v>0</v>
      </c>
      <c r="U129" s="415">
        <v>0</v>
      </c>
      <c r="V129" s="416">
        <v>0</v>
      </c>
      <c r="W129" s="494">
        <v>0</v>
      </c>
      <c r="X129" s="561">
        <v>0</v>
      </c>
      <c r="Y129" s="751"/>
      <c r="Z129" s="581">
        <f t="shared" si="22"/>
        <v>1102.8288543140027</v>
      </c>
      <c r="AA129" s="677">
        <f>IFERROR($AB$1/(D129/100)*(C125/100),"")</f>
        <v>575293.32956472598</v>
      </c>
      <c r="AB129" s="38"/>
    </row>
    <row r="130" spans="1:28" ht="12.75" customHeight="1">
      <c r="A130" s="421" t="s">
        <v>592</v>
      </c>
      <c r="B130" s="362">
        <v>5</v>
      </c>
      <c r="C130" s="521">
        <v>45650</v>
      </c>
      <c r="D130" s="377">
        <v>46000</v>
      </c>
      <c r="E130" s="362">
        <v>2089</v>
      </c>
      <c r="F130" s="437">
        <v>46000</v>
      </c>
      <c r="G130" s="534">
        <v>-1.29E-2</v>
      </c>
      <c r="H130" s="331">
        <v>47000</v>
      </c>
      <c r="I130" s="323">
        <v>47500</v>
      </c>
      <c r="J130" s="323">
        <v>44545</v>
      </c>
      <c r="K130" s="393">
        <v>46605</v>
      </c>
      <c r="L130" s="372">
        <v>26353719</v>
      </c>
      <c r="M130" s="327">
        <v>57350</v>
      </c>
      <c r="N130" s="372">
        <v>137</v>
      </c>
      <c r="O130" s="447">
        <v>45303.684374999997</v>
      </c>
      <c r="P130" s="462">
        <v>129</v>
      </c>
      <c r="Q130" s="399">
        <v>0</v>
      </c>
      <c r="R130" s="423">
        <v>0</v>
      </c>
      <c r="S130" s="431">
        <v>0</v>
      </c>
      <c r="T130" s="355">
        <v>0</v>
      </c>
      <c r="U130" s="791">
        <v>0</v>
      </c>
      <c r="V130" s="488">
        <v>0</v>
      </c>
      <c r="W130" s="492">
        <v>0</v>
      </c>
      <c r="X130" s="558">
        <v>0</v>
      </c>
      <c r="Y130" s="736">
        <f>IF(D130&lt;&gt;0,($C131*(1-$V$1))-$D130,0)</f>
        <v>-250</v>
      </c>
      <c r="Z130" s="733">
        <f>$F131*($AE$1*$AD$1)</f>
        <v>437.40904109589042</v>
      </c>
      <c r="AA130" s="565"/>
      <c r="AB130" s="38"/>
    </row>
    <row r="131" spans="1:28" ht="12.75" customHeight="1">
      <c r="A131" s="419" t="s">
        <v>190</v>
      </c>
      <c r="B131" s="336">
        <v>1603</v>
      </c>
      <c r="C131" s="337">
        <v>45750</v>
      </c>
      <c r="D131" s="337">
        <v>45825</v>
      </c>
      <c r="E131" s="336">
        <v>2195</v>
      </c>
      <c r="F131" s="338">
        <v>45825</v>
      </c>
      <c r="G131" s="537">
        <v>-2.2700000000000001E-2</v>
      </c>
      <c r="H131" s="330">
        <v>46430</v>
      </c>
      <c r="I131" s="321">
        <v>47650</v>
      </c>
      <c r="J131" s="321">
        <v>45020</v>
      </c>
      <c r="K131" s="390">
        <v>46890</v>
      </c>
      <c r="L131" s="328">
        <v>656162706</v>
      </c>
      <c r="M131" s="325">
        <v>1415477</v>
      </c>
      <c r="N131" s="328">
        <v>505</v>
      </c>
      <c r="O131" s="448">
        <v>45303.708634259259</v>
      </c>
      <c r="P131" s="461">
        <v>130</v>
      </c>
      <c r="Q131" s="396">
        <v>0</v>
      </c>
      <c r="R131" s="424">
        <v>0</v>
      </c>
      <c r="S131" s="428">
        <v>0</v>
      </c>
      <c r="T131" s="354">
        <v>0</v>
      </c>
      <c r="U131" s="792">
        <v>0</v>
      </c>
      <c r="V131" s="489">
        <v>0</v>
      </c>
      <c r="W131" s="493">
        <v>0</v>
      </c>
      <c r="X131" s="559">
        <v>0</v>
      </c>
      <c r="Y131" s="735">
        <f>IFERROR(IF($Y$1&lt;&gt;"",INT($Y$1/(D130/100)),100),100)</f>
        <v>21</v>
      </c>
      <c r="Z131" s="734"/>
      <c r="AA131" s="566"/>
      <c r="AB131" s="38"/>
    </row>
    <row r="132" spans="1:28" ht="12.75" customHeight="1">
      <c r="A132" s="345" t="s">
        <v>593</v>
      </c>
      <c r="B132" s="339"/>
      <c r="C132" s="340"/>
      <c r="D132" s="340">
        <v>40.5</v>
      </c>
      <c r="E132" s="339">
        <v>72</v>
      </c>
      <c r="F132" s="341">
        <v>40.5</v>
      </c>
      <c r="G132" s="538">
        <v>2.2000000000000002E-2</v>
      </c>
      <c r="H132" s="342">
        <v>40.5</v>
      </c>
      <c r="I132" s="322">
        <v>40.5</v>
      </c>
      <c r="J132" s="322">
        <v>40.5</v>
      </c>
      <c r="K132" s="394">
        <v>39.625</v>
      </c>
      <c r="L132" s="359">
        <v>98</v>
      </c>
      <c r="M132" s="326">
        <v>243</v>
      </c>
      <c r="N132" s="359">
        <v>1</v>
      </c>
      <c r="O132" s="450">
        <v>45303.683182870373</v>
      </c>
      <c r="P132" s="462">
        <v>131</v>
      </c>
      <c r="Q132" s="397">
        <v>0</v>
      </c>
      <c r="R132" s="425">
        <v>0</v>
      </c>
      <c r="S132" s="433">
        <v>0</v>
      </c>
      <c r="T132" s="353">
        <v>0</v>
      </c>
      <c r="U132" s="414">
        <v>0</v>
      </c>
      <c r="V132" s="491">
        <v>0</v>
      </c>
      <c r="W132" s="492">
        <v>0</v>
      </c>
      <c r="X132" s="560">
        <v>0</v>
      </c>
      <c r="Y132" s="748">
        <f>IF(D132&lt;&gt;0,($C133*(1-$V$1))-$D132,0)</f>
        <v>-40.5</v>
      </c>
      <c r="Z132" s="519" t="str">
        <f t="shared" ref="Z132:Z133" si="23">IFERROR(D130/C132,"")</f>
        <v/>
      </c>
      <c r="AA132" s="674">
        <f>IFERROR($AB$1/(D132/100)*(C130/100),"")</f>
        <v>592818.79012345686</v>
      </c>
      <c r="AB132" s="38"/>
    </row>
    <row r="133" spans="1:28" ht="12.75" customHeight="1">
      <c r="A133" s="465" t="s">
        <v>234</v>
      </c>
      <c r="B133" s="335"/>
      <c r="C133" s="337"/>
      <c r="D133" s="337"/>
      <c r="E133" s="335"/>
      <c r="F133" s="338"/>
      <c r="G133" s="537"/>
      <c r="H133" s="330"/>
      <c r="I133" s="321"/>
      <c r="J133" s="321"/>
      <c r="K133" s="390">
        <v>40.375</v>
      </c>
      <c r="L133" s="328"/>
      <c r="M133" s="325"/>
      <c r="N133" s="328"/>
      <c r="O133" s="448"/>
      <c r="P133" s="461">
        <v>132</v>
      </c>
      <c r="Q133" s="396">
        <v>0</v>
      </c>
      <c r="R133" s="424">
        <v>0</v>
      </c>
      <c r="S133" s="428">
        <v>0</v>
      </c>
      <c r="T133" s="354">
        <v>0</v>
      </c>
      <c r="U133" s="415">
        <v>0</v>
      </c>
      <c r="V133" s="490">
        <v>0</v>
      </c>
      <c r="W133" s="493">
        <v>0</v>
      </c>
      <c r="X133" s="559">
        <v>0</v>
      </c>
      <c r="Y133" s="749"/>
      <c r="Z133" s="518" t="str">
        <f t="shared" si="23"/>
        <v/>
      </c>
      <c r="AA133" s="676" t="str">
        <f>IFERROR($AB$1/(D133/100)*(C131/100),"")</f>
        <v/>
      </c>
      <c r="AB133" s="38"/>
    </row>
    <row r="134" spans="1:28" ht="12.75" customHeight="1">
      <c r="A134" s="345" t="s">
        <v>594</v>
      </c>
      <c r="B134" s="343">
        <v>46</v>
      </c>
      <c r="C134" s="340">
        <v>42.3</v>
      </c>
      <c r="D134" s="340">
        <v>42.32</v>
      </c>
      <c r="E134" s="343">
        <v>5228</v>
      </c>
      <c r="F134" s="341">
        <v>42.32</v>
      </c>
      <c r="G134" s="538">
        <v>2.46E-2</v>
      </c>
      <c r="H134" s="342">
        <v>41.3</v>
      </c>
      <c r="I134" s="322">
        <v>42.32</v>
      </c>
      <c r="J134" s="322">
        <v>41.213000000000001</v>
      </c>
      <c r="K134" s="394">
        <v>41.301000000000002</v>
      </c>
      <c r="L134" s="359">
        <v>23047</v>
      </c>
      <c r="M134" s="326">
        <v>55320</v>
      </c>
      <c r="N134" s="359">
        <v>148</v>
      </c>
      <c r="O134" s="450">
        <v>45303.680601851855</v>
      </c>
      <c r="P134" s="462">
        <v>133</v>
      </c>
      <c r="Q134" s="397">
        <v>0</v>
      </c>
      <c r="R134" s="425">
        <v>0</v>
      </c>
      <c r="S134" s="433">
        <v>0</v>
      </c>
      <c r="T134" s="353">
        <v>0</v>
      </c>
      <c r="U134" s="414">
        <v>0</v>
      </c>
      <c r="V134" s="485">
        <v>0</v>
      </c>
      <c r="W134" s="492">
        <v>0</v>
      </c>
      <c r="X134" s="560">
        <v>0</v>
      </c>
      <c r="Y134" s="750">
        <f>IF(D134&lt;&gt;0,($C135*(1-$V$1))-$D134,0)</f>
        <v>-0.82000000000000028</v>
      </c>
      <c r="Z134" s="517">
        <f t="shared" ref="Z134:Z135" si="24">IFERROR(D130/C134,"")</f>
        <v>1087.470449172577</v>
      </c>
      <c r="AA134" s="675">
        <f>IFERROR($AB$1/(D134/100)*(C130/100),"")</f>
        <v>567324.22022684314</v>
      </c>
      <c r="AB134" s="38"/>
    </row>
    <row r="135" spans="1:28" ht="12.75" customHeight="1">
      <c r="A135" s="422" t="s">
        <v>235</v>
      </c>
      <c r="B135" s="383">
        <v>1435</v>
      </c>
      <c r="C135" s="384">
        <v>41.5</v>
      </c>
      <c r="D135" s="384">
        <v>41.9</v>
      </c>
      <c r="E135" s="383">
        <v>10000</v>
      </c>
      <c r="F135" s="381">
        <v>41.6</v>
      </c>
      <c r="G135" s="539">
        <v>-4.6999999999999993E-3</v>
      </c>
      <c r="H135" s="373">
        <v>41.798999999999999</v>
      </c>
      <c r="I135" s="374">
        <v>42.3</v>
      </c>
      <c r="J135" s="374">
        <v>40.103999999999999</v>
      </c>
      <c r="K135" s="391">
        <v>41.8</v>
      </c>
      <c r="L135" s="379">
        <v>102670</v>
      </c>
      <c r="M135" s="375">
        <v>245861</v>
      </c>
      <c r="N135" s="379">
        <v>122</v>
      </c>
      <c r="O135" s="451">
        <v>45303.702615740738</v>
      </c>
      <c r="P135" s="461">
        <v>134</v>
      </c>
      <c r="Q135" s="398">
        <v>0</v>
      </c>
      <c r="R135" s="427">
        <v>0</v>
      </c>
      <c r="S135" s="434">
        <v>0</v>
      </c>
      <c r="T135" s="380">
        <v>0</v>
      </c>
      <c r="U135" s="415">
        <v>0</v>
      </c>
      <c r="V135" s="416">
        <v>0</v>
      </c>
      <c r="W135" s="494">
        <v>0</v>
      </c>
      <c r="X135" s="561">
        <v>0</v>
      </c>
      <c r="Y135" s="751"/>
      <c r="Z135" s="581">
        <f t="shared" si="24"/>
        <v>1104.2168674698796</v>
      </c>
      <c r="AA135" s="677">
        <f>IFERROR($AB$1/(D135/100)*(C131/100),"")</f>
        <v>574266.22911694518</v>
      </c>
      <c r="AB135" s="38"/>
    </row>
    <row r="136" spans="1:28" ht="12.75" customHeight="1">
      <c r="A136" s="421" t="s">
        <v>589</v>
      </c>
      <c r="B136" s="362">
        <v>100</v>
      </c>
      <c r="C136" s="521">
        <v>38800</v>
      </c>
      <c r="D136" s="377">
        <v>39750</v>
      </c>
      <c r="E136" s="362">
        <v>4952</v>
      </c>
      <c r="F136" s="378">
        <v>39000</v>
      </c>
      <c r="G136" s="534">
        <v>-1.1200000000000002E-2</v>
      </c>
      <c r="H136" s="331">
        <v>39700</v>
      </c>
      <c r="I136" s="323">
        <v>40370</v>
      </c>
      <c r="J136" s="323">
        <v>38805</v>
      </c>
      <c r="K136" s="393">
        <v>39445</v>
      </c>
      <c r="L136" s="372">
        <v>91588777</v>
      </c>
      <c r="M136" s="327">
        <v>232357</v>
      </c>
      <c r="N136" s="372">
        <v>226</v>
      </c>
      <c r="O136" s="447">
        <v>45303.687835648147</v>
      </c>
      <c r="P136" s="462">
        <v>135</v>
      </c>
      <c r="Q136" s="399">
        <v>0</v>
      </c>
      <c r="R136" s="423">
        <v>0</v>
      </c>
      <c r="S136" s="431">
        <v>0</v>
      </c>
      <c r="T136" s="355">
        <v>0</v>
      </c>
      <c r="U136" s="791">
        <v>0</v>
      </c>
      <c r="V136" s="417">
        <v>0</v>
      </c>
      <c r="W136" s="315">
        <v>0</v>
      </c>
      <c r="X136" s="562">
        <v>0</v>
      </c>
      <c r="Y136" s="736">
        <f>IF(D136&lt;&gt;0,($C137*(1-$V$1))-$D136,0)</f>
        <v>-830</v>
      </c>
      <c r="Z136" s="733">
        <f>$F137*($AE$1*$AD$1)</f>
        <v>372.26301369863017</v>
      </c>
      <c r="AA136" s="565"/>
      <c r="AB136" s="38"/>
    </row>
    <row r="137" spans="1:28" ht="12.75" customHeight="1">
      <c r="A137" s="419" t="s">
        <v>188</v>
      </c>
      <c r="B137" s="336">
        <v>25870</v>
      </c>
      <c r="C137" s="337">
        <v>38920</v>
      </c>
      <c r="D137" s="337">
        <v>39000</v>
      </c>
      <c r="E137" s="336">
        <v>399844</v>
      </c>
      <c r="F137" s="338">
        <v>39000</v>
      </c>
      <c r="G137" s="537">
        <v>-1.7600000000000001E-2</v>
      </c>
      <c r="H137" s="330">
        <v>39690</v>
      </c>
      <c r="I137" s="321">
        <v>41300</v>
      </c>
      <c r="J137" s="321">
        <v>38910</v>
      </c>
      <c r="K137" s="390">
        <v>39700</v>
      </c>
      <c r="L137" s="328">
        <v>574607668</v>
      </c>
      <c r="M137" s="325">
        <v>1463589</v>
      </c>
      <c r="N137" s="328">
        <v>503</v>
      </c>
      <c r="O137" s="448">
        <v>45303.708564814813</v>
      </c>
      <c r="P137" s="461">
        <v>136</v>
      </c>
      <c r="Q137" s="396">
        <v>0</v>
      </c>
      <c r="R137" s="424">
        <v>0</v>
      </c>
      <c r="S137" s="428">
        <v>0</v>
      </c>
      <c r="T137" s="354">
        <v>0</v>
      </c>
      <c r="U137" s="792">
        <v>0</v>
      </c>
      <c r="V137" s="416">
        <v>0</v>
      </c>
      <c r="W137" s="316">
        <v>0</v>
      </c>
      <c r="X137" s="552">
        <v>0</v>
      </c>
      <c r="Y137" s="735">
        <f>IFERROR(IF($Y$1&lt;&gt;"",INT($Y$1/(D136/100)),100),100)</f>
        <v>25</v>
      </c>
      <c r="Z137" s="734"/>
      <c r="AA137" s="566"/>
      <c r="AB137" s="38"/>
    </row>
    <row r="138" spans="1:28" ht="12.75" customHeight="1">
      <c r="A138" s="345" t="s">
        <v>590</v>
      </c>
      <c r="B138" s="339"/>
      <c r="C138" s="340"/>
      <c r="D138" s="340">
        <v>35</v>
      </c>
      <c r="E138" s="339">
        <v>890</v>
      </c>
      <c r="F138" s="341"/>
      <c r="G138" s="538"/>
      <c r="H138" s="342"/>
      <c r="I138" s="322"/>
      <c r="J138" s="322"/>
      <c r="K138" s="394">
        <v>27.25</v>
      </c>
      <c r="L138" s="359"/>
      <c r="M138" s="326"/>
      <c r="N138" s="359"/>
      <c r="O138" s="450"/>
      <c r="P138" s="462">
        <v>137</v>
      </c>
      <c r="Q138" s="397">
        <v>0</v>
      </c>
      <c r="R138" s="425">
        <v>0</v>
      </c>
      <c r="S138" s="433">
        <v>0</v>
      </c>
      <c r="T138" s="353">
        <v>0</v>
      </c>
      <c r="U138" s="414">
        <v>0</v>
      </c>
      <c r="V138" s="417">
        <v>0</v>
      </c>
      <c r="W138" s="344">
        <v>0</v>
      </c>
      <c r="X138" s="553">
        <v>0</v>
      </c>
      <c r="Y138" s="748">
        <f>IF(D138&lt;&gt;0,($C139*(1-$V$1))-$D138,0)</f>
        <v>-2</v>
      </c>
      <c r="Z138" s="519" t="str">
        <f t="shared" ref="Z138:Z139" si="25">IFERROR(D136/C138,"")</f>
        <v/>
      </c>
      <c r="AA138" s="674">
        <f>IFERROR($AB$1/(D138/100)*(C136/100),"")</f>
        <v>583042.05714285723</v>
      </c>
      <c r="AB138" s="38"/>
    </row>
    <row r="139" spans="1:28" ht="12.75" customHeight="1">
      <c r="A139" s="465" t="s">
        <v>236</v>
      </c>
      <c r="B139" s="335">
        <v>50000</v>
      </c>
      <c r="C139" s="337">
        <v>33</v>
      </c>
      <c r="D139" s="337">
        <v>45</v>
      </c>
      <c r="E139" s="335">
        <v>50000</v>
      </c>
      <c r="F139" s="338"/>
      <c r="G139" s="537"/>
      <c r="H139" s="330"/>
      <c r="I139" s="321"/>
      <c r="J139" s="321"/>
      <c r="K139" s="390">
        <v>27.25</v>
      </c>
      <c r="L139" s="328"/>
      <c r="M139" s="325"/>
      <c r="N139" s="328"/>
      <c r="O139" s="448"/>
      <c r="P139" s="461">
        <v>138</v>
      </c>
      <c r="Q139" s="396">
        <v>0</v>
      </c>
      <c r="R139" s="424">
        <v>0</v>
      </c>
      <c r="S139" s="428">
        <v>0</v>
      </c>
      <c r="T139" s="354">
        <v>0</v>
      </c>
      <c r="U139" s="415">
        <v>0</v>
      </c>
      <c r="V139" s="416">
        <v>0</v>
      </c>
      <c r="W139" s="316">
        <v>0</v>
      </c>
      <c r="X139" s="552">
        <v>0</v>
      </c>
      <c r="Y139" s="749"/>
      <c r="Z139" s="518">
        <f t="shared" si="25"/>
        <v>1181.8181818181818</v>
      </c>
      <c r="AA139" s="676">
        <f>IFERROR($AB$1/(D139/100)*(C137/100),"")</f>
        <v>454879.66222222225</v>
      </c>
      <c r="AB139" s="38"/>
    </row>
    <row r="140" spans="1:28" ht="12.75" customHeight="1">
      <c r="A140" s="345" t="s">
        <v>591</v>
      </c>
      <c r="B140" s="343">
        <v>5</v>
      </c>
      <c r="C140" s="340">
        <v>35.71</v>
      </c>
      <c r="D140" s="340">
        <v>36.479999999999997</v>
      </c>
      <c r="E140" s="343">
        <v>188</v>
      </c>
      <c r="F140" s="341">
        <v>35.712000000000003</v>
      </c>
      <c r="G140" s="538">
        <v>-2.1499999999999998E-2</v>
      </c>
      <c r="H140" s="342">
        <v>35.000999999999998</v>
      </c>
      <c r="I140" s="322">
        <v>36.479999999999997</v>
      </c>
      <c r="J140" s="322">
        <v>35.000999999999998</v>
      </c>
      <c r="K140" s="394">
        <v>36.5</v>
      </c>
      <c r="L140" s="359">
        <v>13635</v>
      </c>
      <c r="M140" s="326">
        <v>38141</v>
      </c>
      <c r="N140" s="359">
        <v>28</v>
      </c>
      <c r="O140" s="450">
        <v>45303.68136574074</v>
      </c>
      <c r="P140" s="462">
        <v>139</v>
      </c>
      <c r="Q140" s="397">
        <v>0</v>
      </c>
      <c r="R140" s="425">
        <v>0</v>
      </c>
      <c r="S140" s="433">
        <v>0</v>
      </c>
      <c r="T140" s="353">
        <v>0</v>
      </c>
      <c r="U140" s="414">
        <v>0</v>
      </c>
      <c r="V140" s="417">
        <v>0</v>
      </c>
      <c r="W140" s="344">
        <v>0</v>
      </c>
      <c r="X140" s="553">
        <v>0</v>
      </c>
      <c r="Y140" s="750">
        <f>IF(D140&lt;&gt;0,($C141*(1-$V$1))-$D140,0)</f>
        <v>-0.75999999999999801</v>
      </c>
      <c r="Z140" s="517">
        <f t="shared" ref="Z140:Z141" si="26">IFERROR(D136/C140,"")</f>
        <v>1113.1335760291236</v>
      </c>
      <c r="AA140" s="675">
        <f>IFERROR($AB$1/(D140/100)*(C136/100),"")</f>
        <v>559387.93859649135</v>
      </c>
      <c r="AB140" s="38"/>
    </row>
    <row r="141" spans="1:28" ht="12.75" customHeight="1">
      <c r="A141" s="422" t="s">
        <v>237</v>
      </c>
      <c r="B141" s="383">
        <v>200</v>
      </c>
      <c r="C141" s="384">
        <v>35.72</v>
      </c>
      <c r="D141" s="384">
        <v>36.89</v>
      </c>
      <c r="E141" s="383">
        <v>931</v>
      </c>
      <c r="F141" s="381">
        <v>35.71</v>
      </c>
      <c r="G141" s="539">
        <v>8.6999999999999994E-3</v>
      </c>
      <c r="H141" s="373">
        <v>35.4</v>
      </c>
      <c r="I141" s="374">
        <v>37</v>
      </c>
      <c r="J141" s="374">
        <v>35</v>
      </c>
      <c r="K141" s="391">
        <v>35.4</v>
      </c>
      <c r="L141" s="379">
        <v>26569</v>
      </c>
      <c r="M141" s="375">
        <v>74419</v>
      </c>
      <c r="N141" s="379">
        <v>74</v>
      </c>
      <c r="O141" s="451">
        <v>45303.705578703702</v>
      </c>
      <c r="P141" s="461">
        <v>140</v>
      </c>
      <c r="Q141" s="398">
        <v>0</v>
      </c>
      <c r="R141" s="427">
        <v>0</v>
      </c>
      <c r="S141" s="434">
        <v>0</v>
      </c>
      <c r="T141" s="380">
        <v>0</v>
      </c>
      <c r="U141" s="415">
        <v>0</v>
      </c>
      <c r="V141" s="416">
        <v>0</v>
      </c>
      <c r="W141" s="382">
        <v>0</v>
      </c>
      <c r="X141" s="555">
        <v>0</v>
      </c>
      <c r="Y141" s="751"/>
      <c r="Z141" s="581">
        <f t="shared" si="26"/>
        <v>1091.8253079507278</v>
      </c>
      <c r="AA141" s="677">
        <f>IFERROR($AB$1/(D141/100)*(C137/100),"")</f>
        <v>554881.66982922202</v>
      </c>
      <c r="AB141" s="38"/>
    </row>
    <row r="142" spans="1:28" ht="12.75" customHeight="1">
      <c r="A142" s="421" t="s">
        <v>595</v>
      </c>
      <c r="B142" s="362">
        <v>250</v>
      </c>
      <c r="C142" s="521">
        <v>38435</v>
      </c>
      <c r="D142" s="377">
        <v>40400</v>
      </c>
      <c r="E142" s="362">
        <v>3950</v>
      </c>
      <c r="F142" s="378">
        <v>39100</v>
      </c>
      <c r="G142" s="534">
        <v>-2.6099999999999998E-2</v>
      </c>
      <c r="H142" s="331">
        <v>39450</v>
      </c>
      <c r="I142" s="323">
        <v>40500</v>
      </c>
      <c r="J142" s="323">
        <v>39000</v>
      </c>
      <c r="K142" s="393">
        <v>40150</v>
      </c>
      <c r="L142" s="372">
        <v>4955424</v>
      </c>
      <c r="M142" s="327">
        <v>12516</v>
      </c>
      <c r="N142" s="372">
        <v>39</v>
      </c>
      <c r="O142" s="447">
        <v>45303.684328703705</v>
      </c>
      <c r="P142" s="462">
        <v>141</v>
      </c>
      <c r="Q142" s="399">
        <v>0</v>
      </c>
      <c r="R142" s="423">
        <v>0</v>
      </c>
      <c r="S142" s="431">
        <v>0</v>
      </c>
      <c r="T142" s="355">
        <v>0</v>
      </c>
      <c r="U142" s="791">
        <v>0</v>
      </c>
      <c r="V142" s="417">
        <v>0</v>
      </c>
      <c r="W142" s="315">
        <v>0</v>
      </c>
      <c r="X142" s="562">
        <v>0</v>
      </c>
      <c r="Y142" s="736">
        <f>IF(D142&lt;&gt;0,($C143*(1-$V$1))-$D142,0)</f>
        <v>-1290</v>
      </c>
      <c r="Z142" s="733">
        <f>$F143*($AE$1*$AD$1)</f>
        <v>381.71276712328768</v>
      </c>
      <c r="AA142" s="565"/>
      <c r="AB142" s="38"/>
    </row>
    <row r="143" spans="1:28" ht="12.75" customHeight="1">
      <c r="A143" s="419" t="s">
        <v>189</v>
      </c>
      <c r="B143" s="336">
        <v>2000</v>
      </c>
      <c r="C143" s="337">
        <v>39110</v>
      </c>
      <c r="D143" s="337">
        <v>39990</v>
      </c>
      <c r="E143" s="336">
        <v>2831</v>
      </c>
      <c r="F143" s="338">
        <v>39990</v>
      </c>
      <c r="G143" s="537">
        <v>4.6999999999999993E-3</v>
      </c>
      <c r="H143" s="330">
        <v>39500</v>
      </c>
      <c r="I143" s="321">
        <v>40575</v>
      </c>
      <c r="J143" s="321">
        <v>39070</v>
      </c>
      <c r="K143" s="390">
        <v>39800</v>
      </c>
      <c r="L143" s="328">
        <v>45831872</v>
      </c>
      <c r="M143" s="325">
        <v>115288</v>
      </c>
      <c r="N143" s="328">
        <v>190</v>
      </c>
      <c r="O143" s="448">
        <v>45303.708599537036</v>
      </c>
      <c r="P143" s="461">
        <v>142</v>
      </c>
      <c r="Q143" s="396">
        <v>0</v>
      </c>
      <c r="R143" s="424">
        <v>0</v>
      </c>
      <c r="S143" s="428">
        <v>0</v>
      </c>
      <c r="T143" s="354">
        <v>0</v>
      </c>
      <c r="U143" s="792">
        <v>0</v>
      </c>
      <c r="V143" s="416">
        <v>0</v>
      </c>
      <c r="W143" s="316">
        <v>0</v>
      </c>
      <c r="X143" s="552">
        <v>0</v>
      </c>
      <c r="Y143" s="735">
        <f>IFERROR(IF($Y$1&lt;&gt;"",INT($Y$1/(D142/100)),100),100)</f>
        <v>24</v>
      </c>
      <c r="Z143" s="734"/>
      <c r="AA143" s="566"/>
      <c r="AB143" s="38"/>
    </row>
    <row r="144" spans="1:28" ht="12.75" customHeight="1">
      <c r="A144" s="345" t="s">
        <v>596</v>
      </c>
      <c r="B144" s="339"/>
      <c r="C144" s="340"/>
      <c r="D144" s="340"/>
      <c r="E144" s="339"/>
      <c r="F144" s="341"/>
      <c r="G144" s="538"/>
      <c r="H144" s="342"/>
      <c r="I144" s="322"/>
      <c r="J144" s="322"/>
      <c r="K144" s="394">
        <v>21.007999999999999</v>
      </c>
      <c r="L144" s="359"/>
      <c r="M144" s="326"/>
      <c r="N144" s="359"/>
      <c r="O144" s="450"/>
      <c r="P144" s="462">
        <v>143</v>
      </c>
      <c r="Q144" s="397">
        <v>0</v>
      </c>
      <c r="R144" s="425">
        <v>0</v>
      </c>
      <c r="S144" s="433">
        <v>0</v>
      </c>
      <c r="T144" s="353">
        <v>0</v>
      </c>
      <c r="U144" s="414">
        <v>0</v>
      </c>
      <c r="V144" s="417">
        <v>0</v>
      </c>
      <c r="W144" s="344">
        <v>0</v>
      </c>
      <c r="X144" s="553">
        <v>0</v>
      </c>
      <c r="Y144" s="748">
        <f>IF(D144&lt;&gt;0,($C145*(1-$V$1))-$D144,0)</f>
        <v>0</v>
      </c>
      <c r="Z144" s="519" t="str">
        <f t="shared" ref="Z144:Z145" si="27">IFERROR(D142/C144,"")</f>
        <v/>
      </c>
      <c r="AA144" s="674" t="str">
        <f>IFERROR($AB$1/(D144/100)*(C142/100),"")</f>
        <v/>
      </c>
      <c r="AB144" s="38"/>
    </row>
    <row r="145" spans="1:28" ht="12.75" customHeight="1">
      <c r="A145" s="465" t="s">
        <v>276</v>
      </c>
      <c r="B145" s="335"/>
      <c r="C145" s="337"/>
      <c r="D145" s="337"/>
      <c r="E145" s="335"/>
      <c r="F145" s="338"/>
      <c r="G145" s="537"/>
      <c r="H145" s="330"/>
      <c r="I145" s="321"/>
      <c r="J145" s="321"/>
      <c r="K145" s="390">
        <v>25.276</v>
      </c>
      <c r="L145" s="328"/>
      <c r="M145" s="325"/>
      <c r="N145" s="328"/>
      <c r="O145" s="448"/>
      <c r="P145" s="461">
        <v>144</v>
      </c>
      <c r="Q145" s="396">
        <v>0</v>
      </c>
      <c r="R145" s="424">
        <v>0</v>
      </c>
      <c r="S145" s="428">
        <v>0</v>
      </c>
      <c r="T145" s="354">
        <v>0</v>
      </c>
      <c r="U145" s="415">
        <v>0</v>
      </c>
      <c r="V145" s="416">
        <v>0</v>
      </c>
      <c r="W145" s="316">
        <v>0</v>
      </c>
      <c r="X145" s="552">
        <v>0</v>
      </c>
      <c r="Y145" s="749"/>
      <c r="Z145" s="518" t="str">
        <f t="shared" si="27"/>
        <v/>
      </c>
      <c r="AA145" s="676" t="str">
        <f>IFERROR($AB$1/(D145/100)*(C143/100),"")</f>
        <v/>
      </c>
      <c r="AB145" s="38"/>
    </row>
    <row r="146" spans="1:28" ht="12.75" customHeight="1">
      <c r="A146" s="345" t="s">
        <v>597</v>
      </c>
      <c r="B146" s="343">
        <v>1000</v>
      </c>
      <c r="C146" s="340">
        <v>35.799999999999997</v>
      </c>
      <c r="D146" s="340">
        <v>36</v>
      </c>
      <c r="E146" s="343">
        <v>34729</v>
      </c>
      <c r="F146" s="341">
        <v>36</v>
      </c>
      <c r="G146" s="538">
        <v>-1.3600000000000001E-2</v>
      </c>
      <c r="H146" s="342">
        <v>36</v>
      </c>
      <c r="I146" s="322">
        <v>36</v>
      </c>
      <c r="J146" s="322">
        <v>35.700000000000003</v>
      </c>
      <c r="K146" s="394">
        <v>36.5</v>
      </c>
      <c r="L146" s="359">
        <v>6147</v>
      </c>
      <c r="M146" s="326">
        <v>17094</v>
      </c>
      <c r="N146" s="359">
        <v>28</v>
      </c>
      <c r="O146" s="450">
        <v>45303.683333333334</v>
      </c>
      <c r="P146" s="462">
        <v>145</v>
      </c>
      <c r="Q146" s="397">
        <v>0</v>
      </c>
      <c r="R146" s="425">
        <v>0</v>
      </c>
      <c r="S146" s="433">
        <v>0</v>
      </c>
      <c r="T146" s="353">
        <v>0</v>
      </c>
      <c r="U146" s="414">
        <v>0</v>
      </c>
      <c r="V146" s="417">
        <v>0</v>
      </c>
      <c r="W146" s="344">
        <v>0</v>
      </c>
      <c r="X146" s="553">
        <v>0</v>
      </c>
      <c r="Y146" s="750">
        <f>IF(D146&lt;&gt;0,($C147*(1-$V$1))-$D146,0)</f>
        <v>0</v>
      </c>
      <c r="Z146" s="517">
        <f t="shared" ref="Z146:Z147" si="28">IFERROR(D142/C146,"")</f>
        <v>1128.4916201117319</v>
      </c>
      <c r="AA146" s="675">
        <f>IFERROR($AB$1/(D146/100)*(C142/100),"")</f>
        <v>561513.99722222227</v>
      </c>
      <c r="AB146" s="38"/>
    </row>
    <row r="147" spans="1:28" ht="12.75" customHeight="1">
      <c r="A147" s="422" t="s">
        <v>277</v>
      </c>
      <c r="B147" s="383">
        <v>2</v>
      </c>
      <c r="C147" s="384">
        <v>36</v>
      </c>
      <c r="D147" s="384">
        <v>36.299999999999997</v>
      </c>
      <c r="E147" s="383">
        <v>179</v>
      </c>
      <c r="F147" s="381">
        <v>36.299999999999997</v>
      </c>
      <c r="G147" s="539"/>
      <c r="H147" s="373">
        <v>36.299999999999997</v>
      </c>
      <c r="I147" s="374">
        <v>36.5</v>
      </c>
      <c r="J147" s="374">
        <v>35.301000000000002</v>
      </c>
      <c r="K147" s="391">
        <v>36.299999999999997</v>
      </c>
      <c r="L147" s="379">
        <v>9795</v>
      </c>
      <c r="M147" s="375">
        <v>26996</v>
      </c>
      <c r="N147" s="379">
        <v>34</v>
      </c>
      <c r="O147" s="451">
        <v>45303.696932870371</v>
      </c>
      <c r="P147" s="461">
        <v>146</v>
      </c>
      <c r="Q147" s="398">
        <v>0</v>
      </c>
      <c r="R147" s="427">
        <v>0</v>
      </c>
      <c r="S147" s="434">
        <v>0</v>
      </c>
      <c r="T147" s="380">
        <v>0</v>
      </c>
      <c r="U147" s="415">
        <v>0</v>
      </c>
      <c r="V147" s="416">
        <v>0</v>
      </c>
      <c r="W147" s="382">
        <v>0</v>
      </c>
      <c r="X147" s="555">
        <v>0</v>
      </c>
      <c r="Y147" s="751"/>
      <c r="Z147" s="581">
        <f t="shared" si="28"/>
        <v>1110.8333333333333</v>
      </c>
      <c r="AA147" s="677">
        <f>IFERROR($AB$1/(D147/100)*(C143/100),"")</f>
        <v>566653.26170798903</v>
      </c>
      <c r="AB147" s="38"/>
    </row>
  </sheetData>
  <sortState xmlns:xlrd2="http://schemas.microsoft.com/office/spreadsheetml/2017/richdata2" ref="A15">
    <sortCondition descending="1" ref="A14:A15"/>
  </sortState>
  <mergeCells count="43">
    <mergeCell ref="Y54:Y55"/>
    <mergeCell ref="Y56:Y57"/>
    <mergeCell ref="Y60:Y61"/>
    <mergeCell ref="Y62:Y63"/>
    <mergeCell ref="Y66:Y67"/>
    <mergeCell ref="Y114:Y115"/>
    <mergeCell ref="Y126:Y127"/>
    <mergeCell ref="Y104:Y105"/>
    <mergeCell ref="Y108:Y109"/>
    <mergeCell ref="Y68:Y69"/>
    <mergeCell ref="Y74:Y75"/>
    <mergeCell ref="Y78:Y79"/>
    <mergeCell ref="Y80:Y81"/>
    <mergeCell ref="Y84:Y85"/>
    <mergeCell ref="Y110:Y111"/>
    <mergeCell ref="AA2:AA3"/>
    <mergeCell ref="AA6:AA7"/>
    <mergeCell ref="AA10:AA11"/>
    <mergeCell ref="AA8:AA9"/>
    <mergeCell ref="AA4:AA5"/>
    <mergeCell ref="AA12:AA13"/>
    <mergeCell ref="Y116:Y117"/>
    <mergeCell ref="Y120:Y121"/>
    <mergeCell ref="Y122:Y123"/>
    <mergeCell ref="Y90:Y91"/>
    <mergeCell ref="Y92:Y93"/>
    <mergeCell ref="Y72:Y73"/>
    <mergeCell ref="AA44:AA45"/>
    <mergeCell ref="AA42:AA43"/>
    <mergeCell ref="AA14:AA15"/>
    <mergeCell ref="AA16:AA17"/>
    <mergeCell ref="Y48:Y49"/>
    <mergeCell ref="Y50:Y51"/>
    <mergeCell ref="Y96:Y97"/>
    <mergeCell ref="Y98:Y99"/>
    <mergeCell ref="Y102:Y103"/>
    <mergeCell ref="Y144:Y145"/>
    <mergeCell ref="Y146:Y147"/>
    <mergeCell ref="Y128:Y129"/>
    <mergeCell ref="Y132:Y133"/>
    <mergeCell ref="Y134:Y135"/>
    <mergeCell ref="Y140:Y141"/>
    <mergeCell ref="Y138:Y139"/>
  </mergeCells>
  <phoneticPr fontId="16" type="noConversion"/>
  <conditionalFormatting sqref="A30:A41">
    <cfRule type="expression" dxfId="879" priority="7865">
      <formula>V30&gt;0</formula>
    </cfRule>
    <cfRule type="expression" dxfId="878" priority="7866">
      <formula>V30&lt;0</formula>
    </cfRule>
  </conditionalFormatting>
  <conditionalFormatting sqref="A42">
    <cfRule type="expression" dxfId="877" priority="2711">
      <formula>V42&lt;&gt;0</formula>
    </cfRule>
  </conditionalFormatting>
  <conditionalFormatting sqref="A43">
    <cfRule type="expression" dxfId="876" priority="2710">
      <formula>V43&lt;&gt;0</formula>
    </cfRule>
  </conditionalFormatting>
  <conditionalFormatting sqref="A44">
    <cfRule type="expression" dxfId="875" priority="2709">
      <formula>V44&lt;&gt;0</formula>
    </cfRule>
  </conditionalFormatting>
  <conditionalFormatting sqref="A45">
    <cfRule type="expression" dxfId="874" priority="2708">
      <formula>V45&lt;&gt;0</formula>
    </cfRule>
  </conditionalFormatting>
  <conditionalFormatting sqref="A46:A47">
    <cfRule type="expression" dxfId="873" priority="2498">
      <formula>V46&lt;&gt;0</formula>
    </cfRule>
  </conditionalFormatting>
  <conditionalFormatting sqref="A48:A49">
    <cfRule type="expression" dxfId="872" priority="7654">
      <formula>V48&lt;&gt;0</formula>
    </cfRule>
  </conditionalFormatting>
  <conditionalFormatting sqref="A50:A51">
    <cfRule type="expression" dxfId="871" priority="7653">
      <formula>V50&lt;&gt;0</formula>
    </cfRule>
  </conditionalFormatting>
  <conditionalFormatting sqref="B42:B47 B50:B53 B56:B59 B62:B65 B68:B71 B74:B77 B80:B83 B86:B89 B92:B95 B98:B101 B104:B107 B110:B113 B116:B119 B122:B125 B128:B131 B134:B137">
    <cfRule type="cellIs" dxfId="870" priority="8342" operator="greaterThan">
      <formula>E42</formula>
    </cfRule>
  </conditionalFormatting>
  <conditionalFormatting sqref="B140:B141">
    <cfRule type="cellIs" dxfId="869" priority="6914" operator="greaterThan">
      <formula>E140</formula>
    </cfRule>
  </conditionalFormatting>
  <conditionalFormatting sqref="E42:E47 E50:E53 E56:E59 E62:E65 E68:E71 E74:E77 E80:E83 E86:E89 E92:E95 E98:E101 E104:E107 E110:E113 E116:E119 E122:E125 E128:E131 E134:E137">
    <cfRule type="cellIs" dxfId="868" priority="8341" operator="greaterThan">
      <formula>B42</formula>
    </cfRule>
  </conditionalFormatting>
  <conditionalFormatting sqref="E140:E141">
    <cfRule type="cellIs" dxfId="867" priority="6913" operator="greaterThan">
      <formula>B140</formula>
    </cfRule>
  </conditionalFormatting>
  <conditionalFormatting sqref="G52:G141 G2:G45">
    <cfRule type="cellIs" dxfId="866" priority="6915" operator="lessThan">
      <formula>0</formula>
    </cfRule>
  </conditionalFormatting>
  <conditionalFormatting sqref="Q2:T141">
    <cfRule type="cellIs" dxfId="865" priority="6424" operator="equal">
      <formula>0</formula>
    </cfRule>
  </conditionalFormatting>
  <conditionalFormatting sqref="V2:V141">
    <cfRule type="cellIs" dxfId="864" priority="6917" operator="lessThan">
      <formula>0</formula>
    </cfRule>
    <cfRule type="cellIs" dxfId="863" priority="6918" operator="equal">
      <formula>0</formula>
    </cfRule>
  </conditionalFormatting>
  <conditionalFormatting sqref="W2:X141">
    <cfRule type="cellIs" dxfId="862" priority="6423" operator="equal">
      <formula>0</formula>
    </cfRule>
  </conditionalFormatting>
  <conditionalFormatting sqref="Y48 Y50 Y54 Y60 Y66 Y72 Y78 Y84 Y90 Y96 Y102 Y108 Y114 Y120 Y126 Y132 Y138 Y56 Y62 Y68 Y74 Y80 Y92 Y98 Y104 Y110 Y116 Y122 Y128 Y134 Y140">
    <cfRule type="cellIs" dxfId="861" priority="2520" operator="lessThanOrEqual">
      <formula>0</formula>
    </cfRule>
  </conditionalFormatting>
  <conditionalFormatting sqref="Y30:Z41">
    <cfRule type="cellIs" dxfId="860" priority="7167" operator="equal">
      <formula>0</formula>
    </cfRule>
  </conditionalFormatting>
  <conditionalFormatting sqref="W53">
    <cfRule type="cellIs" dxfId="859" priority="2480" operator="lessThan">
      <formula>0</formula>
    </cfRule>
  </conditionalFormatting>
  <conditionalFormatting sqref="W52">
    <cfRule type="cellIs" dxfId="858" priority="2479" operator="lessThan">
      <formula>0</formula>
    </cfRule>
  </conditionalFormatting>
  <conditionalFormatting sqref="W55">
    <cfRule type="cellIs" dxfId="857" priority="2478" operator="lessThan">
      <formula>0</formula>
    </cfRule>
  </conditionalFormatting>
  <conditionalFormatting sqref="W54">
    <cfRule type="cellIs" dxfId="856" priority="2477" operator="lessThan">
      <formula>0</formula>
    </cfRule>
  </conditionalFormatting>
  <conditionalFormatting sqref="W57">
    <cfRule type="cellIs" dxfId="855" priority="2476" operator="lessThan">
      <formula>0</formula>
    </cfRule>
  </conditionalFormatting>
  <conditionalFormatting sqref="W56">
    <cfRule type="cellIs" dxfId="854" priority="2475" operator="lessThan">
      <formula>0</formula>
    </cfRule>
  </conditionalFormatting>
  <conditionalFormatting sqref="W47">
    <cfRule type="cellIs" dxfId="853" priority="2474" operator="lessThan">
      <formula>0</formula>
    </cfRule>
  </conditionalFormatting>
  <conditionalFormatting sqref="W46">
    <cfRule type="cellIs" dxfId="852" priority="2473" operator="lessThan">
      <formula>0</formula>
    </cfRule>
  </conditionalFormatting>
  <conditionalFormatting sqref="W49">
    <cfRule type="cellIs" dxfId="851" priority="2472" operator="lessThan">
      <formula>0</formula>
    </cfRule>
  </conditionalFormatting>
  <conditionalFormatting sqref="W48">
    <cfRule type="cellIs" dxfId="850" priority="2471" operator="lessThan">
      <formula>0</formula>
    </cfRule>
  </conditionalFormatting>
  <conditionalFormatting sqref="W51">
    <cfRule type="cellIs" dxfId="849" priority="2470" operator="lessThan">
      <formula>0</formula>
    </cfRule>
  </conditionalFormatting>
  <conditionalFormatting sqref="W50">
    <cfRule type="cellIs" dxfId="848" priority="2469" operator="lessThan">
      <formula>0</formula>
    </cfRule>
  </conditionalFormatting>
  <conditionalFormatting sqref="W59">
    <cfRule type="cellIs" dxfId="847" priority="2468" operator="lessThan">
      <formula>0</formula>
    </cfRule>
  </conditionalFormatting>
  <conditionalFormatting sqref="W58">
    <cfRule type="cellIs" dxfId="846" priority="2467" operator="lessThan">
      <formula>0</formula>
    </cfRule>
  </conditionalFormatting>
  <conditionalFormatting sqref="W61">
    <cfRule type="cellIs" dxfId="845" priority="2466" operator="lessThan">
      <formula>0</formula>
    </cfRule>
  </conditionalFormatting>
  <conditionalFormatting sqref="W60">
    <cfRule type="cellIs" dxfId="844" priority="2465" operator="lessThan">
      <formula>0</formula>
    </cfRule>
  </conditionalFormatting>
  <conditionalFormatting sqref="W63">
    <cfRule type="cellIs" dxfId="843" priority="2464" operator="lessThan">
      <formula>0</formula>
    </cfRule>
  </conditionalFormatting>
  <conditionalFormatting sqref="W62">
    <cfRule type="cellIs" dxfId="842" priority="2463" operator="lessThan">
      <formula>0</formula>
    </cfRule>
  </conditionalFormatting>
  <conditionalFormatting sqref="W65">
    <cfRule type="cellIs" dxfId="841" priority="2462" operator="lessThan">
      <formula>0</formula>
    </cfRule>
  </conditionalFormatting>
  <conditionalFormatting sqref="W64">
    <cfRule type="cellIs" dxfId="840" priority="2461" operator="lessThan">
      <formula>0</formula>
    </cfRule>
  </conditionalFormatting>
  <conditionalFormatting sqref="W67">
    <cfRule type="cellIs" dxfId="839" priority="2460" operator="lessThan">
      <formula>0</formula>
    </cfRule>
  </conditionalFormatting>
  <conditionalFormatting sqref="W66">
    <cfRule type="cellIs" dxfId="838" priority="2459" operator="lessThan">
      <formula>0</formula>
    </cfRule>
  </conditionalFormatting>
  <conditionalFormatting sqref="W69">
    <cfRule type="cellIs" dxfId="837" priority="2458" operator="lessThan">
      <formula>0</formula>
    </cfRule>
  </conditionalFormatting>
  <conditionalFormatting sqref="W68">
    <cfRule type="cellIs" dxfId="836" priority="2457" operator="lessThan">
      <formula>0</formula>
    </cfRule>
  </conditionalFormatting>
  <conditionalFormatting sqref="W71">
    <cfRule type="cellIs" dxfId="835" priority="2456" operator="lessThan">
      <formula>0</formula>
    </cfRule>
  </conditionalFormatting>
  <conditionalFormatting sqref="W70">
    <cfRule type="cellIs" dxfId="834" priority="2455" operator="lessThan">
      <formula>0</formula>
    </cfRule>
  </conditionalFormatting>
  <conditionalFormatting sqref="W73">
    <cfRule type="cellIs" dxfId="833" priority="2454" operator="lessThan">
      <formula>0</formula>
    </cfRule>
  </conditionalFormatting>
  <conditionalFormatting sqref="W72">
    <cfRule type="cellIs" dxfId="832" priority="2453" operator="lessThan">
      <formula>0</formula>
    </cfRule>
  </conditionalFormatting>
  <conditionalFormatting sqref="W75">
    <cfRule type="cellIs" dxfId="831" priority="2452" operator="lessThan">
      <formula>0</formula>
    </cfRule>
  </conditionalFormatting>
  <conditionalFormatting sqref="W74">
    <cfRule type="cellIs" dxfId="830" priority="2451" operator="lessThan">
      <formula>0</formula>
    </cfRule>
  </conditionalFormatting>
  <conditionalFormatting sqref="W77">
    <cfRule type="cellIs" dxfId="829" priority="2450" operator="lessThan">
      <formula>0</formula>
    </cfRule>
  </conditionalFormatting>
  <conditionalFormatting sqref="W76">
    <cfRule type="cellIs" dxfId="828" priority="2449" operator="lessThan">
      <formula>0</formula>
    </cfRule>
  </conditionalFormatting>
  <conditionalFormatting sqref="W79">
    <cfRule type="cellIs" dxfId="827" priority="2448" operator="lessThan">
      <formula>0</formula>
    </cfRule>
  </conditionalFormatting>
  <conditionalFormatting sqref="W78">
    <cfRule type="cellIs" dxfId="826" priority="2447" operator="lessThan">
      <formula>0</formula>
    </cfRule>
  </conditionalFormatting>
  <conditionalFormatting sqref="W81">
    <cfRule type="cellIs" dxfId="825" priority="2446" operator="lessThan">
      <formula>0</formula>
    </cfRule>
  </conditionalFormatting>
  <conditionalFormatting sqref="W80">
    <cfRule type="cellIs" dxfId="824" priority="2445" operator="lessThan">
      <formula>0</formula>
    </cfRule>
  </conditionalFormatting>
  <conditionalFormatting sqref="W83">
    <cfRule type="cellIs" dxfId="823" priority="2444" operator="lessThan">
      <formula>0</formula>
    </cfRule>
  </conditionalFormatting>
  <conditionalFormatting sqref="W82">
    <cfRule type="cellIs" dxfId="822" priority="2443" operator="lessThan">
      <formula>0</formula>
    </cfRule>
  </conditionalFormatting>
  <conditionalFormatting sqref="W85">
    <cfRule type="cellIs" dxfId="821" priority="2442" operator="lessThan">
      <formula>0</formula>
    </cfRule>
  </conditionalFormatting>
  <conditionalFormatting sqref="W84">
    <cfRule type="cellIs" dxfId="820" priority="2441" operator="lessThan">
      <formula>0</formula>
    </cfRule>
  </conditionalFormatting>
  <conditionalFormatting sqref="W87">
    <cfRule type="cellIs" dxfId="819" priority="2440" operator="lessThan">
      <formula>0</formula>
    </cfRule>
  </conditionalFormatting>
  <conditionalFormatting sqref="W86">
    <cfRule type="cellIs" dxfId="818" priority="2439" operator="lessThan">
      <formula>0</formula>
    </cfRule>
  </conditionalFormatting>
  <conditionalFormatting sqref="W89">
    <cfRule type="cellIs" dxfId="817" priority="2438" operator="lessThan">
      <formula>0</formula>
    </cfRule>
  </conditionalFormatting>
  <conditionalFormatting sqref="W88">
    <cfRule type="cellIs" dxfId="816" priority="2437" operator="lessThan">
      <formula>0</formula>
    </cfRule>
  </conditionalFormatting>
  <conditionalFormatting sqref="W91">
    <cfRule type="cellIs" dxfId="815" priority="2436" operator="lessThan">
      <formula>0</formula>
    </cfRule>
  </conditionalFormatting>
  <conditionalFormatting sqref="W90">
    <cfRule type="cellIs" dxfId="814" priority="2435" operator="lessThan">
      <formula>0</formula>
    </cfRule>
  </conditionalFormatting>
  <conditionalFormatting sqref="W93">
    <cfRule type="cellIs" dxfId="813" priority="2434" operator="lessThan">
      <formula>0</formula>
    </cfRule>
  </conditionalFormatting>
  <conditionalFormatting sqref="W92">
    <cfRule type="cellIs" dxfId="812" priority="2433" operator="lessThan">
      <formula>0</formula>
    </cfRule>
  </conditionalFormatting>
  <conditionalFormatting sqref="W95">
    <cfRule type="cellIs" dxfId="811" priority="2432" operator="lessThan">
      <formula>0</formula>
    </cfRule>
  </conditionalFormatting>
  <conditionalFormatting sqref="W94">
    <cfRule type="cellIs" dxfId="810" priority="2431" operator="lessThan">
      <formula>0</formula>
    </cfRule>
  </conditionalFormatting>
  <conditionalFormatting sqref="W97">
    <cfRule type="cellIs" dxfId="809" priority="2430" operator="lessThan">
      <formula>0</formula>
    </cfRule>
  </conditionalFormatting>
  <conditionalFormatting sqref="W96">
    <cfRule type="cellIs" dxfId="808" priority="2429" operator="lessThan">
      <formula>0</formula>
    </cfRule>
  </conditionalFormatting>
  <conditionalFormatting sqref="W99">
    <cfRule type="cellIs" dxfId="807" priority="2428" operator="lessThan">
      <formula>0</formula>
    </cfRule>
  </conditionalFormatting>
  <conditionalFormatting sqref="W98">
    <cfRule type="cellIs" dxfId="806" priority="2427" operator="lessThan">
      <formula>0</formula>
    </cfRule>
  </conditionalFormatting>
  <conditionalFormatting sqref="W101">
    <cfRule type="cellIs" dxfId="805" priority="2426" operator="lessThan">
      <formula>0</formula>
    </cfRule>
  </conditionalFormatting>
  <conditionalFormatting sqref="W100">
    <cfRule type="cellIs" dxfId="804" priority="2425" operator="lessThan">
      <formula>0</formula>
    </cfRule>
  </conditionalFormatting>
  <conditionalFormatting sqref="W103">
    <cfRule type="cellIs" dxfId="803" priority="2424" operator="lessThan">
      <formula>0</formula>
    </cfRule>
  </conditionalFormatting>
  <conditionalFormatting sqref="W102">
    <cfRule type="cellIs" dxfId="802" priority="2423" operator="lessThan">
      <formula>0</formula>
    </cfRule>
  </conditionalFormatting>
  <conditionalFormatting sqref="W105">
    <cfRule type="cellIs" dxfId="801" priority="2422" operator="lessThan">
      <formula>0</formula>
    </cfRule>
  </conditionalFormatting>
  <conditionalFormatting sqref="W104">
    <cfRule type="cellIs" dxfId="800" priority="2421" operator="lessThan">
      <formula>0</formula>
    </cfRule>
  </conditionalFormatting>
  <conditionalFormatting sqref="W107">
    <cfRule type="cellIs" dxfId="799" priority="2420" operator="lessThan">
      <formula>0</formula>
    </cfRule>
  </conditionalFormatting>
  <conditionalFormatting sqref="W106">
    <cfRule type="cellIs" dxfId="798" priority="2419" operator="lessThan">
      <formula>0</formula>
    </cfRule>
  </conditionalFormatting>
  <conditionalFormatting sqref="W109">
    <cfRule type="cellIs" dxfId="797" priority="2418" operator="lessThan">
      <formula>0</formula>
    </cfRule>
  </conditionalFormatting>
  <conditionalFormatting sqref="W108">
    <cfRule type="cellIs" dxfId="796" priority="2417" operator="lessThan">
      <formula>0</formula>
    </cfRule>
  </conditionalFormatting>
  <conditionalFormatting sqref="W111">
    <cfRule type="cellIs" dxfId="795" priority="2416" operator="lessThan">
      <formula>0</formula>
    </cfRule>
  </conditionalFormatting>
  <conditionalFormatting sqref="W110">
    <cfRule type="cellIs" dxfId="794" priority="2415" operator="lessThan">
      <formula>0</formula>
    </cfRule>
  </conditionalFormatting>
  <conditionalFormatting sqref="W113">
    <cfRule type="cellIs" dxfId="793" priority="2414" operator="lessThan">
      <formula>0</formula>
    </cfRule>
  </conditionalFormatting>
  <conditionalFormatting sqref="W112">
    <cfRule type="cellIs" dxfId="792" priority="2413" operator="lessThan">
      <formula>0</formula>
    </cfRule>
  </conditionalFormatting>
  <conditionalFormatting sqref="W115">
    <cfRule type="cellIs" dxfId="791" priority="2412" operator="lessThan">
      <formula>0</formula>
    </cfRule>
  </conditionalFormatting>
  <conditionalFormatting sqref="W114">
    <cfRule type="cellIs" dxfId="790" priority="2411" operator="lessThan">
      <formula>0</formula>
    </cfRule>
  </conditionalFormatting>
  <conditionalFormatting sqref="W117">
    <cfRule type="cellIs" dxfId="789" priority="2410" operator="lessThan">
      <formula>0</formula>
    </cfRule>
  </conditionalFormatting>
  <conditionalFormatting sqref="W116">
    <cfRule type="cellIs" dxfId="788" priority="2409" operator="lessThan">
      <formula>0</formula>
    </cfRule>
  </conditionalFormatting>
  <conditionalFormatting sqref="W119">
    <cfRule type="cellIs" dxfId="787" priority="2408" operator="lessThan">
      <formula>0</formula>
    </cfRule>
  </conditionalFormatting>
  <conditionalFormatting sqref="W118">
    <cfRule type="cellIs" dxfId="786" priority="2407" operator="lessThan">
      <formula>0</formula>
    </cfRule>
  </conditionalFormatting>
  <conditionalFormatting sqref="W121">
    <cfRule type="cellIs" dxfId="785" priority="2406" operator="lessThan">
      <formula>0</formula>
    </cfRule>
  </conditionalFormatting>
  <conditionalFormatting sqref="W120">
    <cfRule type="cellIs" dxfId="784" priority="2405" operator="lessThan">
      <formula>0</formula>
    </cfRule>
  </conditionalFormatting>
  <conditionalFormatting sqref="W123">
    <cfRule type="cellIs" dxfId="783" priority="2404" operator="lessThan">
      <formula>0</formula>
    </cfRule>
  </conditionalFormatting>
  <conditionalFormatting sqref="W122">
    <cfRule type="cellIs" dxfId="782" priority="2403" operator="lessThan">
      <formula>0</formula>
    </cfRule>
  </conditionalFormatting>
  <conditionalFormatting sqref="W125">
    <cfRule type="cellIs" dxfId="781" priority="2402" operator="lessThan">
      <formula>0</formula>
    </cfRule>
  </conditionalFormatting>
  <conditionalFormatting sqref="W124">
    <cfRule type="cellIs" dxfId="780" priority="2401" operator="lessThan">
      <formula>0</formula>
    </cfRule>
  </conditionalFormatting>
  <conditionalFormatting sqref="W127">
    <cfRule type="cellIs" dxfId="779" priority="2400" operator="lessThan">
      <formula>0</formula>
    </cfRule>
  </conditionalFormatting>
  <conditionalFormatting sqref="W126">
    <cfRule type="cellIs" dxfId="778" priority="2399" operator="lessThan">
      <formula>0</formula>
    </cfRule>
  </conditionalFormatting>
  <conditionalFormatting sqref="W129">
    <cfRule type="cellIs" dxfId="777" priority="2398" operator="lessThan">
      <formula>0</formula>
    </cfRule>
  </conditionalFormatting>
  <conditionalFormatting sqref="W128">
    <cfRule type="cellIs" dxfId="776" priority="2397" operator="lessThan">
      <formula>0</formula>
    </cfRule>
  </conditionalFormatting>
  <conditionalFormatting sqref="W131">
    <cfRule type="cellIs" dxfId="775" priority="2396" operator="lessThan">
      <formula>0</formula>
    </cfRule>
  </conditionalFormatting>
  <conditionalFormatting sqref="W130">
    <cfRule type="cellIs" dxfId="774" priority="2395" operator="lessThan">
      <formula>0</formula>
    </cfRule>
  </conditionalFormatting>
  <conditionalFormatting sqref="W133">
    <cfRule type="cellIs" dxfId="773" priority="2394" operator="lessThan">
      <formula>0</formula>
    </cfRule>
  </conditionalFormatting>
  <conditionalFormatting sqref="W132">
    <cfRule type="cellIs" dxfId="772" priority="2393" operator="lessThan">
      <formula>0</formula>
    </cfRule>
  </conditionalFormatting>
  <conditionalFormatting sqref="W135">
    <cfRule type="cellIs" dxfId="771" priority="2392" operator="lessThan">
      <formula>0</formula>
    </cfRule>
  </conditionalFormatting>
  <conditionalFormatting sqref="W134">
    <cfRule type="cellIs" dxfId="770" priority="2391" operator="lessThan">
      <formula>0</formula>
    </cfRule>
  </conditionalFormatting>
  <conditionalFormatting sqref="W19">
    <cfRule type="cellIs" dxfId="769" priority="2378" operator="lessThan">
      <formula>0</formula>
    </cfRule>
  </conditionalFormatting>
  <conditionalFormatting sqref="W18">
    <cfRule type="cellIs" dxfId="768" priority="2377" operator="lessThan">
      <formula>0</formula>
    </cfRule>
  </conditionalFormatting>
  <conditionalFormatting sqref="W21">
    <cfRule type="cellIs" dxfId="767" priority="2376" operator="lessThan">
      <formula>0</formula>
    </cfRule>
  </conditionalFormatting>
  <conditionalFormatting sqref="W20">
    <cfRule type="cellIs" dxfId="766" priority="2375" operator="lessThan">
      <formula>0</formula>
    </cfRule>
  </conditionalFormatting>
  <conditionalFormatting sqref="W11 W15">
    <cfRule type="cellIs" dxfId="765" priority="2374" operator="lessThan">
      <formula>0</formula>
    </cfRule>
  </conditionalFormatting>
  <conditionalFormatting sqref="W10 W14">
    <cfRule type="cellIs" dxfId="764" priority="2373" operator="lessThan">
      <formula>0</formula>
    </cfRule>
  </conditionalFormatting>
  <conditionalFormatting sqref="W13 W17">
    <cfRule type="cellIs" dxfId="763" priority="2372" operator="lessThan">
      <formula>0</formula>
    </cfRule>
  </conditionalFormatting>
  <conditionalFormatting sqref="W12 W16">
    <cfRule type="cellIs" dxfId="762" priority="2371" operator="lessThan">
      <formula>0</formula>
    </cfRule>
  </conditionalFormatting>
  <conditionalFormatting sqref="Z2 Z6 Z10 Z14">
    <cfRule type="cellIs" dxfId="761" priority="2141" operator="equal">
      <formula>0</formula>
    </cfRule>
  </conditionalFormatting>
  <conditionalFormatting sqref="Z3 Z7 Z11 Z15">
    <cfRule type="cellIs" dxfId="760" priority="2140" operator="equal">
      <formula>0</formula>
    </cfRule>
  </conditionalFormatting>
  <conditionalFormatting sqref="Z4 Z8 Z12 Z16">
    <cfRule type="cellIs" dxfId="759" priority="2139" operator="equal">
      <formula>0</formula>
    </cfRule>
  </conditionalFormatting>
  <conditionalFormatting sqref="Z5 Z9 Z13 Z17">
    <cfRule type="cellIs" dxfId="758" priority="2138" operator="equal">
      <formula>0</formula>
    </cfRule>
  </conditionalFormatting>
  <conditionalFormatting sqref="A52:A53">
    <cfRule type="expression" dxfId="757" priority="2091">
      <formula>V52&lt;&gt;0</formula>
    </cfRule>
  </conditionalFormatting>
  <conditionalFormatting sqref="A54:A55">
    <cfRule type="expression" dxfId="756" priority="2093">
      <formula>V54&lt;&gt;0</formula>
    </cfRule>
  </conditionalFormatting>
  <conditionalFormatting sqref="A56:A57">
    <cfRule type="expression" dxfId="755" priority="2092">
      <formula>V56&lt;&gt;0</formula>
    </cfRule>
  </conditionalFormatting>
  <conditionalFormatting sqref="A58:A59">
    <cfRule type="expression" dxfId="754" priority="2088">
      <formula>V58&lt;&gt;0</formula>
    </cfRule>
  </conditionalFormatting>
  <conditionalFormatting sqref="A60:A61">
    <cfRule type="expression" dxfId="753" priority="2090">
      <formula>V60&lt;&gt;0</formula>
    </cfRule>
  </conditionalFormatting>
  <conditionalFormatting sqref="A62:A63">
    <cfRule type="expression" dxfId="752" priority="2089">
      <formula>V62&lt;&gt;0</formula>
    </cfRule>
  </conditionalFormatting>
  <conditionalFormatting sqref="A64:A65">
    <cfRule type="expression" dxfId="751" priority="2085">
      <formula>V64&lt;&gt;0</formula>
    </cfRule>
  </conditionalFormatting>
  <conditionalFormatting sqref="A66:A67">
    <cfRule type="expression" dxfId="750" priority="2087">
      <formula>V66&lt;&gt;0</formula>
    </cfRule>
  </conditionalFormatting>
  <conditionalFormatting sqref="A68:A69">
    <cfRule type="expression" dxfId="749" priority="2086">
      <formula>V68&lt;&gt;0</formula>
    </cfRule>
  </conditionalFormatting>
  <conditionalFormatting sqref="A70:A71">
    <cfRule type="expression" dxfId="748" priority="2082">
      <formula>V70&lt;&gt;0</formula>
    </cfRule>
  </conditionalFormatting>
  <conditionalFormatting sqref="A72:A73">
    <cfRule type="expression" dxfId="747" priority="2084">
      <formula>V72&lt;&gt;0</formula>
    </cfRule>
  </conditionalFormatting>
  <conditionalFormatting sqref="A74:A75">
    <cfRule type="expression" dxfId="746" priority="2083">
      <formula>V74&lt;&gt;0</formula>
    </cfRule>
  </conditionalFormatting>
  <conditionalFormatting sqref="A76:A77">
    <cfRule type="expression" dxfId="745" priority="2079">
      <formula>V76&lt;&gt;0</formula>
    </cfRule>
  </conditionalFormatting>
  <conditionalFormatting sqref="A78:A79">
    <cfRule type="expression" dxfId="744" priority="2081">
      <formula>V78&lt;&gt;0</formula>
    </cfRule>
  </conditionalFormatting>
  <conditionalFormatting sqref="A80:A81">
    <cfRule type="expression" dxfId="743" priority="2080">
      <formula>V80&lt;&gt;0</formula>
    </cfRule>
  </conditionalFormatting>
  <conditionalFormatting sqref="A82:A83">
    <cfRule type="expression" dxfId="742" priority="2076">
      <formula>V82&lt;&gt;0</formula>
    </cfRule>
  </conditionalFormatting>
  <conditionalFormatting sqref="A84:A85">
    <cfRule type="expression" dxfId="741" priority="2078">
      <formula>V84&lt;&gt;0</formula>
    </cfRule>
  </conditionalFormatting>
  <conditionalFormatting sqref="A86:A87">
    <cfRule type="expression" dxfId="740" priority="2077">
      <formula>V86&lt;&gt;0</formula>
    </cfRule>
  </conditionalFormatting>
  <conditionalFormatting sqref="A88:A89">
    <cfRule type="expression" dxfId="739" priority="2073">
      <formula>V88&lt;&gt;0</formula>
    </cfRule>
  </conditionalFormatting>
  <conditionalFormatting sqref="A90:A91">
    <cfRule type="expression" dxfId="738" priority="2075">
      <formula>V90&lt;&gt;0</formula>
    </cfRule>
  </conditionalFormatting>
  <conditionalFormatting sqref="A92:A93">
    <cfRule type="expression" dxfId="737" priority="2074">
      <formula>V92&lt;&gt;0</formula>
    </cfRule>
  </conditionalFormatting>
  <conditionalFormatting sqref="A94:A95">
    <cfRule type="expression" dxfId="736" priority="2070">
      <formula>V94&lt;&gt;0</formula>
    </cfRule>
  </conditionalFormatting>
  <conditionalFormatting sqref="A96:A97">
    <cfRule type="expression" dxfId="735" priority="2072">
      <formula>V96&lt;&gt;0</formula>
    </cfRule>
  </conditionalFormatting>
  <conditionalFormatting sqref="A98:A99">
    <cfRule type="expression" dxfId="734" priority="2071">
      <formula>V98&lt;&gt;0</formula>
    </cfRule>
  </conditionalFormatting>
  <conditionalFormatting sqref="A100:A101">
    <cfRule type="expression" dxfId="733" priority="2067">
      <formula>V100&lt;&gt;0</formula>
    </cfRule>
  </conditionalFormatting>
  <conditionalFormatting sqref="A102:A103">
    <cfRule type="expression" dxfId="732" priority="2069">
      <formula>V102&lt;&gt;0</formula>
    </cfRule>
  </conditionalFormatting>
  <conditionalFormatting sqref="A104:A105">
    <cfRule type="expression" dxfId="731" priority="2068">
      <formula>V104&lt;&gt;0</formula>
    </cfRule>
  </conditionalFormatting>
  <conditionalFormatting sqref="A106:A107">
    <cfRule type="expression" dxfId="730" priority="2064">
      <formula>V106&lt;&gt;0</formula>
    </cfRule>
  </conditionalFormatting>
  <conditionalFormatting sqref="A108:A109">
    <cfRule type="expression" dxfId="729" priority="2066">
      <formula>V108&lt;&gt;0</formula>
    </cfRule>
  </conditionalFormatting>
  <conditionalFormatting sqref="A110:A111">
    <cfRule type="expression" dxfId="728" priority="2065">
      <formula>V110&lt;&gt;0</formula>
    </cfRule>
  </conditionalFormatting>
  <conditionalFormatting sqref="A112:A113">
    <cfRule type="expression" dxfId="727" priority="2061">
      <formula>V112&lt;&gt;0</formula>
    </cfRule>
  </conditionalFormatting>
  <conditionalFormatting sqref="A114:A115">
    <cfRule type="expression" dxfId="726" priority="2063">
      <formula>V114&lt;&gt;0</formula>
    </cfRule>
  </conditionalFormatting>
  <conditionalFormatting sqref="A116:A117">
    <cfRule type="expression" dxfId="725" priority="2062">
      <formula>V116&lt;&gt;0</formula>
    </cfRule>
  </conditionalFormatting>
  <conditionalFormatting sqref="A118:A119">
    <cfRule type="expression" dxfId="724" priority="2058">
      <formula>V118&lt;&gt;0</formula>
    </cfRule>
  </conditionalFormatting>
  <conditionalFormatting sqref="A120:A121">
    <cfRule type="expression" dxfId="723" priority="2060">
      <formula>V120&lt;&gt;0</formula>
    </cfRule>
  </conditionalFormatting>
  <conditionalFormatting sqref="A122:A123">
    <cfRule type="expression" dxfId="722" priority="2059">
      <formula>V122&lt;&gt;0</formula>
    </cfRule>
  </conditionalFormatting>
  <conditionalFormatting sqref="A124:A125">
    <cfRule type="expression" dxfId="721" priority="2055">
      <formula>V124&lt;&gt;0</formula>
    </cfRule>
  </conditionalFormatting>
  <conditionalFormatting sqref="A126:A127">
    <cfRule type="expression" dxfId="720" priority="2057">
      <formula>V126&lt;&gt;0</formula>
    </cfRule>
  </conditionalFormatting>
  <conditionalFormatting sqref="A128:A129">
    <cfRule type="expression" dxfId="719" priority="2056">
      <formula>V128&lt;&gt;0</formula>
    </cfRule>
  </conditionalFormatting>
  <conditionalFormatting sqref="A130:A131">
    <cfRule type="expression" dxfId="718" priority="2052">
      <formula>V130&lt;&gt;0</formula>
    </cfRule>
  </conditionalFormatting>
  <conditionalFormatting sqref="A132:A133">
    <cfRule type="expression" dxfId="717" priority="2054">
      <formula>V132&lt;&gt;0</formula>
    </cfRule>
  </conditionalFormatting>
  <conditionalFormatting sqref="A134:A135">
    <cfRule type="expression" dxfId="716" priority="2053">
      <formula>V134&lt;&gt;0</formula>
    </cfRule>
  </conditionalFormatting>
  <conditionalFormatting sqref="A136:A137">
    <cfRule type="expression" dxfId="715" priority="2049">
      <formula>V136&lt;&gt;0</formula>
    </cfRule>
  </conditionalFormatting>
  <conditionalFormatting sqref="A138:A139">
    <cfRule type="expression" dxfId="714" priority="2051">
      <formula>V138&lt;&gt;0</formula>
    </cfRule>
  </conditionalFormatting>
  <conditionalFormatting sqref="A140:A141">
    <cfRule type="expression" dxfId="713" priority="2050">
      <formula>V140&lt;&gt;0</formula>
    </cfRule>
  </conditionalFormatting>
  <conditionalFormatting sqref="G46:G51">
    <cfRule type="cellIs" dxfId="712" priority="1273" operator="lessThan">
      <formula>0</formula>
    </cfRule>
  </conditionalFormatting>
  <conditionalFormatting sqref="G22">
    <cfRule type="cellIs" dxfId="711" priority="1272" operator="equal">
      <formula>0</formula>
    </cfRule>
  </conditionalFormatting>
  <conditionalFormatting sqref="G23">
    <cfRule type="cellIs" dxfId="710" priority="1271" operator="equal">
      <formula>0</formula>
    </cfRule>
  </conditionalFormatting>
  <conditionalFormatting sqref="G24">
    <cfRule type="cellIs" dxfId="709" priority="1270" operator="equal">
      <formula>0</formula>
    </cfRule>
  </conditionalFormatting>
  <conditionalFormatting sqref="G25">
    <cfRule type="cellIs" dxfId="708" priority="1269" operator="equal">
      <formula>0</formula>
    </cfRule>
  </conditionalFormatting>
  <conditionalFormatting sqref="G26">
    <cfRule type="cellIs" dxfId="707" priority="1268" operator="equal">
      <formula>0</formula>
    </cfRule>
  </conditionalFormatting>
  <conditionalFormatting sqref="G27">
    <cfRule type="cellIs" dxfId="706" priority="1267" operator="equal">
      <formula>0</formula>
    </cfRule>
  </conditionalFormatting>
  <conditionalFormatting sqref="G28">
    <cfRule type="cellIs" dxfId="705" priority="1266" operator="equal">
      <formula>0</formula>
    </cfRule>
  </conditionalFormatting>
  <conditionalFormatting sqref="G29">
    <cfRule type="cellIs" dxfId="704" priority="1265" operator="equal">
      <formula>0</formula>
    </cfRule>
  </conditionalFormatting>
  <conditionalFormatting sqref="G2">
    <cfRule type="cellIs" dxfId="703" priority="1264" operator="equal">
      <formula>0</formula>
    </cfRule>
  </conditionalFormatting>
  <conditionalFormatting sqref="G3">
    <cfRule type="cellIs" dxfId="702" priority="1263" operator="equal">
      <formula>0</formula>
    </cfRule>
  </conditionalFormatting>
  <conditionalFormatting sqref="G4">
    <cfRule type="cellIs" dxfId="701" priority="1262" operator="equal">
      <formula>0</formula>
    </cfRule>
  </conditionalFormatting>
  <conditionalFormatting sqref="G5">
    <cfRule type="cellIs" dxfId="700" priority="1261" operator="equal">
      <formula>0</formula>
    </cfRule>
  </conditionalFormatting>
  <conditionalFormatting sqref="G6">
    <cfRule type="cellIs" dxfId="699" priority="1260" operator="equal">
      <formula>0</formula>
    </cfRule>
  </conditionalFormatting>
  <conditionalFormatting sqref="G7">
    <cfRule type="cellIs" dxfId="698" priority="1259" operator="equal">
      <formula>0</formula>
    </cfRule>
  </conditionalFormatting>
  <conditionalFormatting sqref="G8">
    <cfRule type="cellIs" dxfId="697" priority="1258" operator="equal">
      <formula>0</formula>
    </cfRule>
  </conditionalFormatting>
  <conditionalFormatting sqref="G9">
    <cfRule type="cellIs" dxfId="696" priority="1257" operator="equal">
      <formula>0</formula>
    </cfRule>
  </conditionalFormatting>
  <conditionalFormatting sqref="G10">
    <cfRule type="cellIs" dxfId="695" priority="1256" operator="equal">
      <formula>0</formula>
    </cfRule>
  </conditionalFormatting>
  <conditionalFormatting sqref="G11">
    <cfRule type="cellIs" dxfId="694" priority="1255" operator="equal">
      <formula>0</formula>
    </cfRule>
  </conditionalFormatting>
  <conditionalFormatting sqref="G12">
    <cfRule type="cellIs" dxfId="693" priority="1254" operator="equal">
      <formula>0</formula>
    </cfRule>
  </conditionalFormatting>
  <conditionalFormatting sqref="G13">
    <cfRule type="cellIs" dxfId="692" priority="1253" operator="equal">
      <formula>0</formula>
    </cfRule>
  </conditionalFormatting>
  <conditionalFormatting sqref="G14 G18">
    <cfRule type="cellIs" dxfId="691" priority="1252" operator="equal">
      <formula>0</formula>
    </cfRule>
  </conditionalFormatting>
  <conditionalFormatting sqref="G15 G19">
    <cfRule type="cellIs" dxfId="690" priority="1251" operator="equal">
      <formula>0</formula>
    </cfRule>
  </conditionalFormatting>
  <conditionalFormatting sqref="G16 G20">
    <cfRule type="cellIs" dxfId="689" priority="1250" operator="equal">
      <formula>0</formula>
    </cfRule>
  </conditionalFormatting>
  <conditionalFormatting sqref="G17 G21">
    <cfRule type="cellIs" dxfId="688" priority="1249" operator="equal">
      <formula>0</formula>
    </cfRule>
  </conditionalFormatting>
  <conditionalFormatting sqref="Y5">
    <cfRule type="cellIs" dxfId="687" priority="1192" operator="equal">
      <formula>0</formula>
    </cfRule>
    <cfRule type="cellIs" dxfId="686" priority="1195" operator="greaterThan">
      <formula>Y2</formula>
    </cfRule>
  </conditionalFormatting>
  <conditionalFormatting sqref="Y3">
    <cfRule type="cellIs" dxfId="685" priority="1194" operator="equal">
      <formula>0</formula>
    </cfRule>
  </conditionalFormatting>
  <conditionalFormatting sqref="Y4">
    <cfRule type="cellIs" dxfId="684" priority="1193" operator="equal">
      <formula>0</formula>
    </cfRule>
  </conditionalFormatting>
  <conditionalFormatting sqref="Y9">
    <cfRule type="cellIs" dxfId="683" priority="1186" operator="equal">
      <formula>0</formula>
    </cfRule>
    <cfRule type="cellIs" dxfId="682" priority="1189" operator="greaterThan">
      <formula>Y6</formula>
    </cfRule>
  </conditionalFormatting>
  <conditionalFormatting sqref="Y7">
    <cfRule type="cellIs" dxfId="681" priority="1188" operator="equal">
      <formula>0</formula>
    </cfRule>
  </conditionalFormatting>
  <conditionalFormatting sqref="Y8">
    <cfRule type="cellIs" dxfId="680" priority="1187" operator="equal">
      <formula>0</formula>
    </cfRule>
  </conditionalFormatting>
  <conditionalFormatting sqref="Y13 Y17">
    <cfRule type="cellIs" dxfId="679" priority="1180" operator="equal">
      <formula>0</formula>
    </cfRule>
    <cfRule type="cellIs" dxfId="678" priority="1183" operator="greaterThan">
      <formula>Y10</formula>
    </cfRule>
  </conditionalFormatting>
  <conditionalFormatting sqref="Y11 Y15">
    <cfRule type="cellIs" dxfId="677" priority="1182" operator="equal">
      <formula>0</formula>
    </cfRule>
  </conditionalFormatting>
  <conditionalFormatting sqref="Y12 Y16">
    <cfRule type="cellIs" dxfId="676" priority="1181" operator="equal">
      <formula>0</formula>
    </cfRule>
  </conditionalFormatting>
  <conditionalFormatting sqref="AA22">
    <cfRule type="cellIs" dxfId="675" priority="358" operator="equal">
      <formula>0</formula>
    </cfRule>
  </conditionalFormatting>
  <conditionalFormatting sqref="AA23">
    <cfRule type="cellIs" dxfId="674" priority="357" operator="equal">
      <formula>0</formula>
    </cfRule>
  </conditionalFormatting>
  <conditionalFormatting sqref="AA24">
    <cfRule type="cellIs" dxfId="673" priority="356" operator="equal">
      <formula>0</formula>
    </cfRule>
  </conditionalFormatting>
  <conditionalFormatting sqref="AA25">
    <cfRule type="cellIs" dxfId="672" priority="355" operator="equal">
      <formula>0</formula>
    </cfRule>
  </conditionalFormatting>
  <conditionalFormatting sqref="AA26">
    <cfRule type="cellIs" dxfId="671" priority="354" operator="equal">
      <formula>0</formula>
    </cfRule>
  </conditionalFormatting>
  <conditionalFormatting sqref="AA27">
    <cfRule type="cellIs" dxfId="670" priority="353" operator="equal">
      <formula>0</formula>
    </cfRule>
  </conditionalFormatting>
  <conditionalFormatting sqref="AA28">
    <cfRule type="cellIs" dxfId="669" priority="352" operator="equal">
      <formula>0</formula>
    </cfRule>
  </conditionalFormatting>
  <conditionalFormatting sqref="AA29">
    <cfRule type="cellIs" dxfId="668" priority="351" operator="equal">
      <formula>0</formula>
    </cfRule>
  </conditionalFormatting>
  <conditionalFormatting sqref="Y5 Y9 Y13 Y17">
    <cfRule type="expression" dxfId="667" priority="10335">
      <formula>IF($Y5&gt;$Y2,AND(MID($A5,5,1)="D"))</formula>
    </cfRule>
    <cfRule type="expression" dxfId="666" priority="10336">
      <formula>IF($Y5&gt;$Y2,AND(MID($A5,5,1)="C"))</formula>
    </cfRule>
  </conditionalFormatting>
  <conditionalFormatting sqref="AA2:AA3 AA6:AA7 AA10:AA11 AA14:AA15">
    <cfRule type="expression" dxfId="665" priority="10343">
      <formula>IF($Y5&gt;$Y2,AND(MID($A2,5,1)="D"))</formula>
    </cfRule>
    <cfRule type="expression" dxfId="664" priority="10344">
      <formula>IF($Y5&gt;$Y2,AND(MID($A2,5,1)="C"))</formula>
    </cfRule>
    <cfRule type="cellIs" dxfId="663" priority="10345" operator="equal">
      <formula>0</formula>
    </cfRule>
  </conditionalFormatting>
  <conditionalFormatting sqref="AA4:AA5 AA8:AA9 AA12:AA13 AA16:AA17">
    <cfRule type="expression" dxfId="662" priority="10355">
      <formula>IF($Y5&gt;$Y2,AND(MID($A5,5,1)="D"))</formula>
    </cfRule>
    <cfRule type="expression" dxfId="661" priority="10356">
      <formula>IF($Y5&gt;$Y2,AND(MID($A5,5,1)="C"))</formula>
    </cfRule>
    <cfRule type="cellIs" dxfId="660" priority="10357" operator="equal">
      <formula>0</formula>
    </cfRule>
  </conditionalFormatting>
  <conditionalFormatting sqref="Z18:AA18 Z20:AA20">
    <cfRule type="expression" dxfId="659" priority="10367">
      <formula>IF($AA18&gt;$Y19,AND(MID($A18,5,1)=" "))</formula>
    </cfRule>
    <cfRule type="expression" dxfId="658" priority="10368">
      <formula>IF($AA18&gt;$Y19,AND(MID($A18,5,1)="C"))</formula>
    </cfRule>
    <cfRule type="expression" dxfId="657" priority="10369">
      <formula>IF($AA18&gt;$Y19,AND(MID($A18,5,1)="D"))</formula>
    </cfRule>
  </conditionalFormatting>
  <conditionalFormatting sqref="Z19:AA19 Z21:AA21">
    <cfRule type="expression" dxfId="656" priority="10373">
      <formula>IF($AA19&gt;$Y18,AND(MID($A19,5,1)=" "))</formula>
    </cfRule>
    <cfRule type="expression" dxfId="655" priority="10374">
      <formula>IF($AA19&gt;$Y18,AND(MID($A19,5,1)="C"))</formula>
    </cfRule>
    <cfRule type="expression" dxfId="654" priority="10375">
      <formula>IF($AA19&gt;$Y18,AND(MID($A19,5,1)="D"))</formula>
    </cfRule>
  </conditionalFormatting>
  <conditionalFormatting sqref="B2 B6 B10 B14">
    <cfRule type="expression" dxfId="653" priority="10379">
      <formula>IF($Y5&gt;$Y2,AND(MID($A2,5,1)=" "))</formula>
    </cfRule>
    <cfRule type="expression" dxfId="652" priority="10380">
      <formula>IF($Y5&gt;$Y2,AND(MID($A2,5,1)="C"))</formula>
    </cfRule>
    <cfRule type="expression" dxfId="651" priority="10381">
      <formula>IF($Y5&gt;$Y2,AND(MID($A2,5,1)="D"))</formula>
    </cfRule>
  </conditionalFormatting>
  <conditionalFormatting sqref="E3 E7 E11 E15">
    <cfRule type="expression" dxfId="650" priority="10394">
      <formula>IF($Y5&gt;$Y2,AND(MID($A3,5,1)=" "))</formula>
    </cfRule>
    <cfRule type="expression" dxfId="649" priority="10395">
      <formula>IF($Y5&gt;$Y2,AND(MID($A3,5,1)="C"))</formula>
    </cfRule>
    <cfRule type="expression" dxfId="648" priority="10396">
      <formula>IF($Y5&gt;$Y2,AND(MID($A3,5,1)="D"))</formula>
    </cfRule>
  </conditionalFormatting>
  <conditionalFormatting sqref="B4 B8 B12 B16">
    <cfRule type="expression" dxfId="647" priority="10409">
      <formula>IF($Y5&gt;$Y2,AND(MID($A4,5,1)=" "))</formula>
    </cfRule>
    <cfRule type="expression" dxfId="646" priority="10410">
      <formula>IF($Y5&gt;$Y2,AND(MID($A4,5,1)="C"))</formula>
    </cfRule>
    <cfRule type="expression" dxfId="645" priority="10411">
      <formula>IF($Y5&gt;$Y2,AND(MID($A4,5,1)="D"))</formula>
    </cfRule>
  </conditionalFormatting>
  <conditionalFormatting sqref="E5 E9 E13 E17">
    <cfRule type="expression" dxfId="644" priority="10424">
      <formula>IF($Y5&gt;$Y2,AND(MID($A5,5,1)=" "))</formula>
    </cfRule>
    <cfRule type="expression" dxfId="643" priority="10425">
      <formula>IF($Y5&gt;$Y2,AND(MID($A5,5,1)="C"))</formula>
    </cfRule>
    <cfRule type="expression" dxfId="642" priority="10426">
      <formula>IF($Y5&gt;$Y2,AND(MID($A5,5,1)="D"))</formula>
    </cfRule>
  </conditionalFormatting>
  <conditionalFormatting sqref="C2 C6 C10 C14 C18">
    <cfRule type="expression" dxfId="641" priority="10439">
      <formula>IF($Y5&gt;$Y2,AND(MID($A2,5,1)=" "))</formula>
    </cfRule>
    <cfRule type="expression" dxfId="640" priority="10440">
      <formula>IF($Y5&gt;$Y2,AND(MID($A2,5,1)="C"))</formula>
    </cfRule>
    <cfRule type="expression" dxfId="639" priority="10441">
      <formula>IF($Y5&gt;$Y2,AND(MID($A2,5,1)="D"))</formula>
    </cfRule>
  </conditionalFormatting>
  <conditionalFormatting sqref="D3 D7 D11 D15 D19">
    <cfRule type="expression" dxfId="638" priority="10454">
      <formula>IF($Y5&gt;$Y2,AND(MID($A3,5,1)=" "))</formula>
    </cfRule>
    <cfRule type="expression" dxfId="637" priority="10455">
      <formula>IF($Y5&gt;$Y2,AND(MID($A3,5,1)="C"))</formula>
    </cfRule>
    <cfRule type="expression" dxfId="636" priority="10456">
      <formula>IF($Y5&gt;$Y2,AND(MID($A3,5,1)="D"))</formula>
    </cfRule>
  </conditionalFormatting>
  <conditionalFormatting sqref="D5 D9 D13 D17 D21">
    <cfRule type="expression" dxfId="635" priority="10469">
      <formula>IF($Y5&gt;$Y2,AND(MID($A5,5,1)=" "))</formula>
    </cfRule>
    <cfRule type="expression" dxfId="634" priority="10470">
      <formula>IF($Y5&gt;$Y2,AND(MID($A5,5,1)="C"))</formula>
    </cfRule>
    <cfRule type="expression" dxfId="633" priority="10471">
      <formula>IF($Y5&gt;$Y2,AND(MID($A5,5,1)="D"))</formula>
    </cfRule>
  </conditionalFormatting>
  <conditionalFormatting sqref="C4 C8 C12 C16 C20">
    <cfRule type="expression" dxfId="632" priority="10484">
      <formula>IF($Y5&gt;$Y2,AND(MID($A4,5,1)=" "))</formula>
    </cfRule>
    <cfRule type="expression" dxfId="631" priority="10485">
      <formula>IF($Y5&gt;$Y2,AND(MID($A4,5,1)="C"))</formula>
    </cfRule>
    <cfRule type="expression" dxfId="630" priority="10486">
      <formula>IF($Y5&gt;$Y2,AND(MID($A4,5,1)="D"))</formula>
    </cfRule>
  </conditionalFormatting>
  <conditionalFormatting sqref="A6 A14 A18 A2 A10">
    <cfRule type="expression" dxfId="629" priority="10499">
      <formula>$V10&lt;&gt;0</formula>
    </cfRule>
    <cfRule type="expression" dxfId="628" priority="10500">
      <formula>IF($Y5&gt;$Y2,AND(MID($A2,5,1)=" "))</formula>
    </cfRule>
    <cfRule type="expression" dxfId="627" priority="10501">
      <formula>IF($Y5&gt;$Y2,AND(MID($A2,5,1)="C"))</formula>
    </cfRule>
    <cfRule type="expression" dxfId="626" priority="10502">
      <formula>IF($Y5&gt;$Y2,AND(MID($A2,5,1)="D"))</formula>
    </cfRule>
  </conditionalFormatting>
  <conditionalFormatting sqref="A9 A17 A5 A13">
    <cfRule type="expression" dxfId="625" priority="10519">
      <formula>$V13&lt;&gt;0</formula>
    </cfRule>
    <cfRule type="expression" dxfId="624" priority="10520">
      <formula>IF($Y5&gt;$Y2,AND(MID($A5,5,1)=" "))</formula>
    </cfRule>
    <cfRule type="expression" dxfId="623" priority="10521">
      <formula>IF($Y5&gt;$Y2,AND(MID($A5,5,1)="C"))</formula>
    </cfRule>
    <cfRule type="expression" dxfId="622" priority="10522">
      <formula>IF($Y5&gt;$Y2,AND(MID($A5,5,1)="D"))</formula>
    </cfRule>
  </conditionalFormatting>
  <conditionalFormatting sqref="A7 A15 A3 A11">
    <cfRule type="expression" dxfId="621" priority="10539">
      <formula>$V11&lt;&gt;0</formula>
    </cfRule>
    <cfRule type="expression" dxfId="620" priority="10540">
      <formula>IF($Y5&gt;$Y2,AND(MID($A3,5,1)=" "))</formula>
    </cfRule>
    <cfRule type="expression" dxfId="619" priority="10541">
      <formula>IF($Y5&gt;$Y2,AND(MID($A3,5,1)="C"))</formula>
    </cfRule>
    <cfRule type="expression" dxfId="618" priority="10542">
      <formula>IF($Y5&gt;$Y2,AND(MID($A3,5,1)="D"))</formula>
    </cfRule>
  </conditionalFormatting>
  <conditionalFormatting sqref="A8 A16 A4 A12">
    <cfRule type="expression" dxfId="617" priority="10559">
      <formula>$V12&lt;&gt;0</formula>
    </cfRule>
    <cfRule type="expression" dxfId="616" priority="10560">
      <formula>IF($Y5&gt;$Y2,AND(MID($A4,5,1)=" "))</formula>
    </cfRule>
    <cfRule type="expression" dxfId="615" priority="10561">
      <formula>IF($Y5&gt;$Y2,AND(MID($A4,5,1)="C"))</formula>
    </cfRule>
    <cfRule type="expression" dxfId="614" priority="10562">
      <formula>IF($Y5&gt;$Y2,AND(MID($A4,5,1)="D"))</formula>
    </cfRule>
  </conditionalFormatting>
  <conditionalFormatting sqref="B142:B143">
    <cfRule type="cellIs" dxfId="613" priority="344" operator="greaterThan">
      <formula>E142</formula>
    </cfRule>
  </conditionalFormatting>
  <conditionalFormatting sqref="B146:B147">
    <cfRule type="cellIs" dxfId="612" priority="339" operator="greaterThan">
      <formula>E146</formula>
    </cfRule>
  </conditionalFormatting>
  <conditionalFormatting sqref="E142:E143">
    <cfRule type="cellIs" dxfId="611" priority="343" operator="greaterThan">
      <formula>B142</formula>
    </cfRule>
  </conditionalFormatting>
  <conditionalFormatting sqref="E146:E147">
    <cfRule type="cellIs" dxfId="610" priority="338" operator="greaterThan">
      <formula>B146</formula>
    </cfRule>
  </conditionalFormatting>
  <conditionalFormatting sqref="G142:G147">
    <cfRule type="cellIs" dxfId="609" priority="340" operator="lessThan">
      <formula>0</formula>
    </cfRule>
  </conditionalFormatting>
  <conditionalFormatting sqref="Q142:T147">
    <cfRule type="cellIs" dxfId="608" priority="337" operator="equal">
      <formula>0</formula>
    </cfRule>
  </conditionalFormatting>
  <conditionalFormatting sqref="V142:V147">
    <cfRule type="cellIs" dxfId="607" priority="341" operator="lessThan">
      <formula>0</formula>
    </cfRule>
    <cfRule type="cellIs" dxfId="606" priority="342" operator="equal">
      <formula>0</formula>
    </cfRule>
  </conditionalFormatting>
  <conditionalFormatting sqref="W142:X147">
    <cfRule type="cellIs" dxfId="605" priority="336" operator="equal">
      <formula>0</formula>
    </cfRule>
  </conditionalFormatting>
  <conditionalFormatting sqref="Y144 Y146">
    <cfRule type="cellIs" dxfId="604" priority="335" operator="lessThanOrEqual">
      <formula>0</formula>
    </cfRule>
  </conditionalFormatting>
  <conditionalFormatting sqref="A142:A143">
    <cfRule type="expression" dxfId="603" priority="332">
      <formula>V142&lt;&gt;0</formula>
    </cfRule>
  </conditionalFormatting>
  <conditionalFormatting sqref="A144:A145">
    <cfRule type="expression" dxfId="602" priority="334">
      <formula>V144&lt;&gt;0</formula>
    </cfRule>
  </conditionalFormatting>
  <conditionalFormatting sqref="A146:A147">
    <cfRule type="expression" dxfId="601" priority="333">
      <formula>V146&lt;&gt;0</formula>
    </cfRule>
  </conditionalFormatting>
  <conditionalFormatting sqref="Z48">
    <cfRule type="cellIs" dxfId="600" priority="314" operator="equal">
      <formula>0</formula>
    </cfRule>
  </conditionalFormatting>
  <conditionalFormatting sqref="AA48">
    <cfRule type="cellIs" dxfId="599" priority="313" operator="equal">
      <formula>0</formula>
    </cfRule>
  </conditionalFormatting>
  <conditionalFormatting sqref="Z49 Z51">
    <cfRule type="cellIs" dxfId="598" priority="311" operator="equal">
      <formula>0</formula>
    </cfRule>
  </conditionalFormatting>
  <conditionalFormatting sqref="AA49:AA51">
    <cfRule type="cellIs" dxfId="597" priority="310" operator="equal">
      <formula>0</formula>
    </cfRule>
  </conditionalFormatting>
  <conditionalFormatting sqref="Z54">
    <cfRule type="cellIs" dxfId="596" priority="309" operator="equal">
      <formula>0</formula>
    </cfRule>
  </conditionalFormatting>
  <conditionalFormatting sqref="AA54">
    <cfRule type="cellIs" dxfId="595" priority="308" operator="equal">
      <formula>0</formula>
    </cfRule>
  </conditionalFormatting>
  <conditionalFormatting sqref="Z55:Z57">
    <cfRule type="cellIs" dxfId="594" priority="306" operator="equal">
      <formula>0</formula>
    </cfRule>
  </conditionalFormatting>
  <conditionalFormatting sqref="AA55:AA57">
    <cfRule type="cellIs" dxfId="593" priority="305" operator="equal">
      <formula>0</formula>
    </cfRule>
  </conditionalFormatting>
  <conditionalFormatting sqref="Z60">
    <cfRule type="cellIs" dxfId="592" priority="304" operator="equal">
      <formula>0</formula>
    </cfRule>
  </conditionalFormatting>
  <conditionalFormatting sqref="AA60">
    <cfRule type="cellIs" dxfId="591" priority="303" operator="equal">
      <formula>0</formula>
    </cfRule>
  </conditionalFormatting>
  <conditionalFormatting sqref="Z61:Z63">
    <cfRule type="cellIs" dxfId="590" priority="301" operator="equal">
      <formula>0</formula>
    </cfRule>
  </conditionalFormatting>
  <conditionalFormatting sqref="AA61:AA63">
    <cfRule type="cellIs" dxfId="589" priority="300" operator="equal">
      <formula>0</formula>
    </cfRule>
  </conditionalFormatting>
  <conditionalFormatting sqref="Z66">
    <cfRule type="cellIs" dxfId="588" priority="299" operator="equal">
      <formula>0</formula>
    </cfRule>
  </conditionalFormatting>
  <conditionalFormatting sqref="AA66">
    <cfRule type="cellIs" dxfId="587" priority="298" operator="equal">
      <formula>0</formula>
    </cfRule>
  </conditionalFormatting>
  <conditionalFormatting sqref="Z67:Z69">
    <cfRule type="cellIs" dxfId="586" priority="296" operator="equal">
      <formula>0</formula>
    </cfRule>
  </conditionalFormatting>
  <conditionalFormatting sqref="AA67:AA69">
    <cfRule type="cellIs" dxfId="585" priority="295" operator="equal">
      <formula>0</formula>
    </cfRule>
  </conditionalFormatting>
  <conditionalFormatting sqref="Z72">
    <cfRule type="cellIs" dxfId="584" priority="294" operator="equal">
      <formula>0</formula>
    </cfRule>
  </conditionalFormatting>
  <conditionalFormatting sqref="AA72">
    <cfRule type="cellIs" dxfId="583" priority="293" operator="equal">
      <formula>0</formula>
    </cfRule>
  </conditionalFormatting>
  <conditionalFormatting sqref="Z73:Z75">
    <cfRule type="cellIs" dxfId="582" priority="291" operator="equal">
      <formula>0</formula>
    </cfRule>
  </conditionalFormatting>
  <conditionalFormatting sqref="AA73:AA75">
    <cfRule type="cellIs" dxfId="581" priority="290" operator="equal">
      <formula>0</formula>
    </cfRule>
  </conditionalFormatting>
  <conditionalFormatting sqref="Z78">
    <cfRule type="cellIs" dxfId="580" priority="289" operator="equal">
      <formula>0</formula>
    </cfRule>
  </conditionalFormatting>
  <conditionalFormatting sqref="AA78">
    <cfRule type="cellIs" dxfId="579" priority="288" operator="equal">
      <formula>0</formula>
    </cfRule>
  </conditionalFormatting>
  <conditionalFormatting sqref="Z79:Z81">
    <cfRule type="cellIs" dxfId="578" priority="286" operator="equal">
      <formula>0</formula>
    </cfRule>
  </conditionalFormatting>
  <conditionalFormatting sqref="AA79:AA81">
    <cfRule type="cellIs" dxfId="577" priority="285" operator="equal">
      <formula>0</formula>
    </cfRule>
  </conditionalFormatting>
  <conditionalFormatting sqref="Z84">
    <cfRule type="cellIs" dxfId="576" priority="284" operator="equal">
      <formula>0</formula>
    </cfRule>
  </conditionalFormatting>
  <conditionalFormatting sqref="AA84">
    <cfRule type="cellIs" dxfId="575" priority="283" operator="equal">
      <formula>0</formula>
    </cfRule>
  </conditionalFormatting>
  <conditionalFormatting sqref="Z85:Z87">
    <cfRule type="cellIs" dxfId="574" priority="281" operator="equal">
      <formula>0</formula>
    </cfRule>
  </conditionalFormatting>
  <conditionalFormatting sqref="AA85:AA87">
    <cfRule type="cellIs" dxfId="573" priority="280" operator="equal">
      <formula>0</formula>
    </cfRule>
  </conditionalFormatting>
  <conditionalFormatting sqref="Z90">
    <cfRule type="cellIs" dxfId="572" priority="279" operator="equal">
      <formula>0</formula>
    </cfRule>
  </conditionalFormatting>
  <conditionalFormatting sqref="AA90">
    <cfRule type="cellIs" dxfId="571" priority="278" operator="equal">
      <formula>0</formula>
    </cfRule>
  </conditionalFormatting>
  <conditionalFormatting sqref="Z91:Z93">
    <cfRule type="cellIs" dxfId="570" priority="276" operator="equal">
      <formula>0</formula>
    </cfRule>
  </conditionalFormatting>
  <conditionalFormatting sqref="AA91:AA93">
    <cfRule type="cellIs" dxfId="569" priority="275" operator="equal">
      <formula>0</formula>
    </cfRule>
  </conditionalFormatting>
  <conditionalFormatting sqref="Z96">
    <cfRule type="cellIs" dxfId="568" priority="274" operator="equal">
      <formula>0</formula>
    </cfRule>
  </conditionalFormatting>
  <conditionalFormatting sqref="AA96">
    <cfRule type="cellIs" dxfId="567" priority="273" operator="equal">
      <formula>0</formula>
    </cfRule>
  </conditionalFormatting>
  <conditionalFormatting sqref="Z120">
    <cfRule type="cellIs" dxfId="566" priority="254" operator="equal">
      <formula>0</formula>
    </cfRule>
  </conditionalFormatting>
  <conditionalFormatting sqref="Z97:Z99">
    <cfRule type="cellIs" dxfId="565" priority="271" operator="equal">
      <formula>0</formula>
    </cfRule>
  </conditionalFormatting>
  <conditionalFormatting sqref="AA97:AA99">
    <cfRule type="cellIs" dxfId="564" priority="270" operator="equal">
      <formula>0</formula>
    </cfRule>
  </conditionalFormatting>
  <conditionalFormatting sqref="Z102">
    <cfRule type="cellIs" dxfId="563" priority="269" operator="equal">
      <formula>0</formula>
    </cfRule>
  </conditionalFormatting>
  <conditionalFormatting sqref="AA102">
    <cfRule type="cellIs" dxfId="562" priority="268" operator="equal">
      <formula>0</formula>
    </cfRule>
  </conditionalFormatting>
  <conditionalFormatting sqref="Z121:Z123">
    <cfRule type="cellIs" dxfId="561" priority="251" operator="equal">
      <formula>0</formula>
    </cfRule>
  </conditionalFormatting>
  <conditionalFormatting sqref="Z103:Z105">
    <cfRule type="cellIs" dxfId="560" priority="266" operator="equal">
      <formula>0</formula>
    </cfRule>
  </conditionalFormatting>
  <conditionalFormatting sqref="AA103:AA105">
    <cfRule type="cellIs" dxfId="559" priority="265" operator="equal">
      <formula>0</formula>
    </cfRule>
  </conditionalFormatting>
  <conditionalFormatting sqref="Z108">
    <cfRule type="cellIs" dxfId="558" priority="264" operator="equal">
      <formula>0</formula>
    </cfRule>
  </conditionalFormatting>
  <conditionalFormatting sqref="AA108">
    <cfRule type="cellIs" dxfId="557" priority="263" operator="equal">
      <formula>0</formula>
    </cfRule>
  </conditionalFormatting>
  <conditionalFormatting sqref="AA126">
    <cfRule type="cellIs" dxfId="556" priority="248" operator="equal">
      <formula>0</formula>
    </cfRule>
  </conditionalFormatting>
  <conditionalFormatting sqref="Z109:Z111">
    <cfRule type="cellIs" dxfId="555" priority="261" operator="equal">
      <formula>0</formula>
    </cfRule>
  </conditionalFormatting>
  <conditionalFormatting sqref="AA109:AA111">
    <cfRule type="cellIs" dxfId="554" priority="260" operator="equal">
      <formula>0</formula>
    </cfRule>
  </conditionalFormatting>
  <conditionalFormatting sqref="Z114">
    <cfRule type="cellIs" dxfId="553" priority="259" operator="equal">
      <formula>0</formula>
    </cfRule>
  </conditionalFormatting>
  <conditionalFormatting sqref="AA114">
    <cfRule type="cellIs" dxfId="552" priority="258" operator="equal">
      <formula>0</formula>
    </cfRule>
  </conditionalFormatting>
  <conditionalFormatting sqref="AA127:AA129">
    <cfRule type="cellIs" dxfId="551" priority="245" operator="equal">
      <formula>0</formula>
    </cfRule>
  </conditionalFormatting>
  <conditionalFormatting sqref="Z115:Z117">
    <cfRule type="cellIs" dxfId="550" priority="256" operator="equal">
      <formula>0</formula>
    </cfRule>
  </conditionalFormatting>
  <conditionalFormatting sqref="AA115:AA117">
    <cfRule type="cellIs" dxfId="549" priority="255" operator="equal">
      <formula>0</formula>
    </cfRule>
  </conditionalFormatting>
  <conditionalFormatting sqref="AA120">
    <cfRule type="cellIs" dxfId="548" priority="253" operator="equal">
      <formula>0</formula>
    </cfRule>
  </conditionalFormatting>
  <conditionalFormatting sqref="AA121:AA123">
    <cfRule type="cellIs" dxfId="547" priority="250" operator="equal">
      <formula>0</formula>
    </cfRule>
  </conditionalFormatting>
  <conditionalFormatting sqref="Z126">
    <cfRule type="cellIs" dxfId="546" priority="249" operator="equal">
      <formula>0</formula>
    </cfRule>
  </conditionalFormatting>
  <conditionalFormatting sqref="Z138">
    <cfRule type="cellIs" dxfId="545" priority="239" operator="equal">
      <formula>0</formula>
    </cfRule>
  </conditionalFormatting>
  <conditionalFormatting sqref="Z127:Z129">
    <cfRule type="cellIs" dxfId="544" priority="246" operator="equal">
      <formula>0</formula>
    </cfRule>
  </conditionalFormatting>
  <conditionalFormatting sqref="Z132">
    <cfRule type="cellIs" dxfId="543" priority="244" operator="equal">
      <formula>0</formula>
    </cfRule>
  </conditionalFormatting>
  <conditionalFormatting sqref="AA132">
    <cfRule type="cellIs" dxfId="542" priority="243" operator="equal">
      <formula>0</formula>
    </cfRule>
  </conditionalFormatting>
  <conditionalFormatting sqref="Z139:Z141">
    <cfRule type="cellIs" dxfId="541" priority="236" operator="equal">
      <formula>0</formula>
    </cfRule>
  </conditionalFormatting>
  <conditionalFormatting sqref="Z133:Z135">
    <cfRule type="cellIs" dxfId="540" priority="241" operator="equal">
      <formula>0</formula>
    </cfRule>
  </conditionalFormatting>
  <conditionalFormatting sqref="AA133:AA135">
    <cfRule type="cellIs" dxfId="539" priority="240" operator="equal">
      <formula>0</formula>
    </cfRule>
  </conditionalFormatting>
  <conditionalFormatting sqref="AA138">
    <cfRule type="cellIs" dxfId="538" priority="238" operator="equal">
      <formula>0</formula>
    </cfRule>
  </conditionalFormatting>
  <conditionalFormatting sqref="AA144">
    <cfRule type="cellIs" dxfId="537" priority="233" operator="equal">
      <formula>0</formula>
    </cfRule>
  </conditionalFormatting>
  <conditionalFormatting sqref="AA139:AA141">
    <cfRule type="cellIs" dxfId="536" priority="235" operator="equal">
      <formula>0</formula>
    </cfRule>
  </conditionalFormatting>
  <conditionalFormatting sqref="Z144">
    <cfRule type="cellIs" dxfId="535" priority="234" operator="equal">
      <formula>0</formula>
    </cfRule>
  </conditionalFormatting>
  <conditionalFormatting sqref="AA145:AA147">
    <cfRule type="cellIs" dxfId="534" priority="230" operator="equal">
      <formula>0</formula>
    </cfRule>
  </conditionalFormatting>
  <conditionalFormatting sqref="Z145:Z147">
    <cfRule type="cellIs" dxfId="533" priority="231" operator="equal">
      <formula>0</formula>
    </cfRule>
  </conditionalFormatting>
  <conditionalFormatting sqref="AA48 AA54 AA60 AA66 AA72 AA78 AA84 AA90 AA96 AA102 AA108 AA114 AA120 AA126 AA132 AA138 AA144">
    <cfRule type="colorScale" priority="227">
      <colorScale>
        <cfvo type="min"/>
        <cfvo type="percentile" val="50"/>
        <cfvo type="max"/>
        <color rgb="FFF8696B"/>
        <color rgb="FFFFEB84"/>
        <color rgb="FF63BE7B"/>
      </colorScale>
    </cfRule>
  </conditionalFormatting>
  <conditionalFormatting sqref="AA50 AA56 AA62 AA68 AA74 AA80 AA86 AA92 AA98 AA104 AA110 AA116 AA122 AA128 AA134 AA140 AA146">
    <cfRule type="colorScale" priority="226">
      <colorScale>
        <cfvo type="min"/>
        <cfvo type="percentile" val="50"/>
        <cfvo type="max"/>
        <color rgb="FFF8696B"/>
        <color rgb="FFFFEB84"/>
        <color rgb="FF63BE7B"/>
      </colorScale>
    </cfRule>
  </conditionalFormatting>
  <conditionalFormatting sqref="Z50">
    <cfRule type="cellIs" dxfId="532" priority="224" operator="equal">
      <formula>0</formula>
    </cfRule>
  </conditionalFormatting>
  <conditionalFormatting sqref="Z50 Z56 Z62 Z68 Z74 Z80 Z86 Z98 Z104 Z110 Z116 Z122 Z128 Z134 Z140 Z146">
    <cfRule type="colorScale" priority="223">
      <colorScale>
        <cfvo type="min"/>
        <cfvo type="percentile" val="50"/>
        <cfvo type="max"/>
        <color rgb="FF63BE7B"/>
        <color rgb="FFFFEB84"/>
        <color rgb="FFF8696B"/>
      </colorScale>
    </cfRule>
  </conditionalFormatting>
  <conditionalFormatting sqref="Y86">
    <cfRule type="cellIs" dxfId="531" priority="209" operator="lessThanOrEqual">
      <formula>0</formula>
    </cfRule>
  </conditionalFormatting>
  <conditionalFormatting sqref="Y86">
    <cfRule type="expression" dxfId="530" priority="210">
      <formula>Y87&gt;$AE$1*$AD$1</formula>
    </cfRule>
  </conditionalFormatting>
  <conditionalFormatting sqref="B18:B19">
    <cfRule type="cellIs" dxfId="529" priority="186" operator="greaterThan">
      <formula>E18</formula>
    </cfRule>
  </conditionalFormatting>
  <conditionalFormatting sqref="E18:E19">
    <cfRule type="cellIs" dxfId="528" priority="185" operator="greaterThan">
      <formula>B18</formula>
    </cfRule>
  </conditionalFormatting>
  <conditionalFormatting sqref="E20:E21">
    <cfRule type="cellIs" dxfId="527" priority="184" operator="greaterThan">
      <formula>B20</formula>
    </cfRule>
  </conditionalFormatting>
  <conditionalFormatting sqref="B20:B21">
    <cfRule type="cellIs" dxfId="526" priority="183" operator="greaterThan">
      <formula>E20</formula>
    </cfRule>
  </conditionalFormatting>
  <conditionalFormatting sqref="A18">
    <cfRule type="expression" dxfId="525" priority="182">
      <formula>V18&lt;&gt;0</formula>
    </cfRule>
  </conditionalFormatting>
  <conditionalFormatting sqref="A19">
    <cfRule type="expression" dxfId="524" priority="178">
      <formula>$V27&lt;&gt;0</formula>
    </cfRule>
    <cfRule type="expression" dxfId="523" priority="179">
      <formula>IF($Y22&gt;$Y19,AND(MID($A19,5,1)=" "))</formula>
    </cfRule>
    <cfRule type="expression" dxfId="522" priority="180">
      <formula>IF($Y22&gt;$Y19,AND(MID($A19,5,1)="C"))</formula>
    </cfRule>
    <cfRule type="expression" dxfId="521" priority="181">
      <formula>IF($Y22&gt;$Y19,AND(MID($A19,5,1)="D"))</formula>
    </cfRule>
  </conditionalFormatting>
  <conditionalFormatting sqref="A19">
    <cfRule type="expression" dxfId="520" priority="177">
      <formula>V19&lt;&gt;0</formula>
    </cfRule>
  </conditionalFormatting>
  <conditionalFormatting sqref="A20">
    <cfRule type="expression" dxfId="519" priority="173">
      <formula>$V28&lt;&gt;0</formula>
    </cfRule>
    <cfRule type="expression" dxfId="518" priority="174">
      <formula>IF($Y23&gt;$Y20,AND(MID($A20,5,1)=" "))</formula>
    </cfRule>
    <cfRule type="expression" dxfId="517" priority="175">
      <formula>IF($Y23&gt;$Y20,AND(MID($A20,5,1)="C"))</formula>
    </cfRule>
    <cfRule type="expression" dxfId="516" priority="176">
      <formula>IF($Y23&gt;$Y20,AND(MID($A20,5,1)="D"))</formula>
    </cfRule>
  </conditionalFormatting>
  <conditionalFormatting sqref="A20">
    <cfRule type="expression" dxfId="515" priority="172">
      <formula>V20&lt;&gt;0</formula>
    </cfRule>
  </conditionalFormatting>
  <conditionalFormatting sqref="A21">
    <cfRule type="expression" dxfId="514" priority="168">
      <formula>$V29&lt;&gt;0</formula>
    </cfRule>
    <cfRule type="expression" dxfId="513" priority="169">
      <formula>IF($Y24&gt;$Y21,AND(MID($A21,5,1)=" "))</formula>
    </cfRule>
    <cfRule type="expression" dxfId="512" priority="170">
      <formula>IF($Y24&gt;$Y21,AND(MID($A21,5,1)="C"))</formula>
    </cfRule>
    <cfRule type="expression" dxfId="511" priority="171">
      <formula>IF($Y24&gt;$Y21,AND(MID($A21,5,1)="D"))</formula>
    </cfRule>
  </conditionalFormatting>
  <conditionalFormatting sqref="A21">
    <cfRule type="expression" dxfId="510" priority="167">
      <formula>V21&lt;&gt;0</formula>
    </cfRule>
  </conditionalFormatting>
  <conditionalFormatting sqref="Y46">
    <cfRule type="cellIs" dxfId="509" priority="113" operator="greaterThan">
      <formula>Z46</formula>
    </cfRule>
    <cfRule type="cellIs" dxfId="508" priority="114" operator="lessThanOrEqual">
      <formula>0</formula>
    </cfRule>
  </conditionalFormatting>
  <conditionalFormatting sqref="Y52">
    <cfRule type="cellIs" dxfId="507" priority="35" operator="greaterThan">
      <formula>Z52</formula>
    </cfRule>
    <cfRule type="cellIs" dxfId="506" priority="36" operator="lessThanOrEqual">
      <formula>0</formula>
    </cfRule>
  </conditionalFormatting>
  <conditionalFormatting sqref="Y58">
    <cfRule type="cellIs" dxfId="505" priority="33" operator="greaterThan">
      <formula>Z58</formula>
    </cfRule>
    <cfRule type="cellIs" dxfId="504" priority="34" operator="lessThanOrEqual">
      <formula>0</formula>
    </cfRule>
  </conditionalFormatting>
  <conditionalFormatting sqref="Y64">
    <cfRule type="cellIs" dxfId="503" priority="31" operator="greaterThan">
      <formula>Z64</formula>
    </cfRule>
    <cfRule type="cellIs" dxfId="502" priority="32" operator="lessThanOrEqual">
      <formula>0</formula>
    </cfRule>
  </conditionalFormatting>
  <conditionalFormatting sqref="Y70">
    <cfRule type="cellIs" dxfId="501" priority="29" operator="greaterThan">
      <formula>Z70</formula>
    </cfRule>
    <cfRule type="cellIs" dxfId="500" priority="30" operator="lessThanOrEqual">
      <formula>0</formula>
    </cfRule>
  </conditionalFormatting>
  <conditionalFormatting sqref="Y76">
    <cfRule type="cellIs" dxfId="499" priority="27" operator="greaterThan">
      <formula>Z76</formula>
    </cfRule>
    <cfRule type="cellIs" dxfId="498" priority="28" operator="lessThanOrEqual">
      <formula>0</formula>
    </cfRule>
  </conditionalFormatting>
  <conditionalFormatting sqref="Y82">
    <cfRule type="cellIs" dxfId="497" priority="25" operator="greaterThan">
      <formula>Z82</formula>
    </cfRule>
    <cfRule type="cellIs" dxfId="496" priority="26" operator="lessThanOrEqual">
      <formula>0</formula>
    </cfRule>
  </conditionalFormatting>
  <conditionalFormatting sqref="Y88">
    <cfRule type="cellIs" dxfId="495" priority="23" operator="greaterThan">
      <formula>Z88</formula>
    </cfRule>
    <cfRule type="cellIs" dxfId="494" priority="24" operator="lessThanOrEqual">
      <formula>0</formula>
    </cfRule>
  </conditionalFormatting>
  <conditionalFormatting sqref="Y94">
    <cfRule type="cellIs" dxfId="493" priority="21" operator="greaterThan">
      <formula>Z94</formula>
    </cfRule>
    <cfRule type="cellIs" dxfId="492" priority="22" operator="lessThanOrEqual">
      <formula>0</formula>
    </cfRule>
  </conditionalFormatting>
  <conditionalFormatting sqref="Y100">
    <cfRule type="cellIs" dxfId="491" priority="19" operator="greaterThan">
      <formula>Z100</formula>
    </cfRule>
    <cfRule type="cellIs" dxfId="490" priority="20" operator="lessThanOrEqual">
      <formula>0</formula>
    </cfRule>
  </conditionalFormatting>
  <conditionalFormatting sqref="Y106">
    <cfRule type="cellIs" dxfId="489" priority="17" operator="greaterThan">
      <formula>Z106</formula>
    </cfRule>
    <cfRule type="cellIs" dxfId="488" priority="18" operator="lessThanOrEqual">
      <formula>0</formula>
    </cfRule>
  </conditionalFormatting>
  <conditionalFormatting sqref="Y112">
    <cfRule type="cellIs" dxfId="487" priority="15" operator="greaterThan">
      <formula>Z112</formula>
    </cfRule>
    <cfRule type="cellIs" dxfId="486" priority="16" operator="lessThanOrEqual">
      <formula>0</formula>
    </cfRule>
  </conditionalFormatting>
  <conditionalFormatting sqref="Y118">
    <cfRule type="cellIs" dxfId="485" priority="13" operator="greaterThan">
      <formula>Z118</formula>
    </cfRule>
    <cfRule type="cellIs" dxfId="484" priority="14" operator="lessThanOrEqual">
      <formula>0</formula>
    </cfRule>
  </conditionalFormatting>
  <conditionalFormatting sqref="Y124">
    <cfRule type="cellIs" dxfId="483" priority="11" operator="greaterThan">
      <formula>Z124</formula>
    </cfRule>
    <cfRule type="cellIs" dxfId="482" priority="12" operator="lessThanOrEqual">
      <formula>0</formula>
    </cfRule>
  </conditionalFormatting>
  <conditionalFormatting sqref="Y130">
    <cfRule type="cellIs" dxfId="481" priority="9" operator="greaterThan">
      <formula>Z130</formula>
    </cfRule>
    <cfRule type="cellIs" dxfId="480" priority="10" operator="lessThanOrEqual">
      <formula>0</formula>
    </cfRule>
  </conditionalFormatting>
  <conditionalFormatting sqref="Y136">
    <cfRule type="cellIs" dxfId="479" priority="7" operator="greaterThan">
      <formula>Z136</formula>
    </cfRule>
    <cfRule type="cellIs" dxfId="478" priority="8" operator="lessThanOrEqual">
      <formula>0</formula>
    </cfRule>
  </conditionalFormatting>
  <conditionalFormatting sqref="Y142">
    <cfRule type="cellIs" dxfId="477" priority="5" operator="greaterThan">
      <formula>Z142</formula>
    </cfRule>
    <cfRule type="cellIs" dxfId="476" priority="6" operator="lessThanOrEqual">
      <formula>0</formula>
    </cfRule>
  </conditionalFormatting>
  <conditionalFormatting sqref="Y42">
    <cfRule type="cellIs" dxfId="475" priority="3" operator="greaterThan">
      <formula>Z42</formula>
    </cfRule>
    <cfRule type="cellIs" dxfId="474" priority="4" operator="lessThanOrEqual">
      <formula>0</formula>
    </cfRule>
  </conditionalFormatting>
  <conditionalFormatting sqref="Y44">
    <cfRule type="cellIs" dxfId="473" priority="1" operator="greaterThan">
      <formula>Z44</formula>
    </cfRule>
    <cfRule type="cellIs" dxfId="472" priority="2" operator="lessThan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65">
        <f>I76</f>
        <v>0</v>
      </c>
      <c r="M2" s="766"/>
      <c r="N2" s="82" t="s">
        <v>350</v>
      </c>
      <c r="O2" s="83" t="s">
        <v>351</v>
      </c>
      <c r="P2" s="84" t="s">
        <v>352</v>
      </c>
      <c r="Q2" s="85" t="s">
        <v>353</v>
      </c>
      <c r="R2" s="86"/>
      <c r="S2" s="87" t="s">
        <v>354</v>
      </c>
      <c r="T2" s="312" t="s">
        <v>340</v>
      </c>
      <c r="U2" s="312" t="s">
        <v>341</v>
      </c>
      <c r="V2" s="312" t="s">
        <v>355</v>
      </c>
      <c r="W2" s="312"/>
      <c r="X2" s="312" t="s">
        <v>356</v>
      </c>
      <c r="Y2" s="365" t="s">
        <v>357</v>
      </c>
      <c r="Z2" s="365" t="s">
        <v>358</v>
      </c>
      <c r="AA2" s="365" t="s">
        <v>359</v>
      </c>
      <c r="AB2" s="365" t="s">
        <v>360</v>
      </c>
      <c r="AC2" s="365" t="s">
        <v>361</v>
      </c>
      <c r="AD2" s="366" t="s">
        <v>362</v>
      </c>
      <c r="AE2" s="241" t="s">
        <v>363</v>
      </c>
      <c r="AF2" s="313" t="s">
        <v>340</v>
      </c>
      <c r="AG2" s="314" t="s">
        <v>341</v>
      </c>
      <c r="AH2" s="313" t="s">
        <v>364</v>
      </c>
      <c r="AI2" s="313"/>
      <c r="AJ2" s="313" t="s">
        <v>356</v>
      </c>
      <c r="AK2" s="365" t="s">
        <v>357</v>
      </c>
      <c r="AL2" s="365" t="s">
        <v>358</v>
      </c>
      <c r="AM2" s="365" t="s">
        <v>359</v>
      </c>
      <c r="AN2" s="365" t="s">
        <v>360</v>
      </c>
      <c r="AO2" s="365" t="s">
        <v>361</v>
      </c>
      <c r="AP2" s="365"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857.9921936943548</v>
      </c>
      <c r="P3" s="108">
        <f t="shared" ref="P3:P34" si="4">EW3</f>
        <v>0</v>
      </c>
      <c r="Q3" s="108">
        <f t="shared" ref="Q3:Q34" ca="1" si="5">GN3</f>
        <v>0</v>
      </c>
      <c r="R3" s="62"/>
      <c r="S3" s="246">
        <f t="shared" ref="S3:S9" si="6">IF(AA3&gt;0,ABS((U3+AA3)),"")</f>
        <v>2517</v>
      </c>
      <c r="T3" s="110">
        <f t="shared" ref="T3:T8" si="7">SUMIFS(B$3:B$37,C$3:C$37,U3)</f>
        <v>0</v>
      </c>
      <c r="U3" s="240">
        <v>2500</v>
      </c>
      <c r="V3" s="668">
        <f ca="1">IFERROR((NORMSDIST(((LN($O$18/$U3)+($Q$48+($Q$46^2)/2)*$Q$51)/($Q$46*SQRT($Q$51))))*$O$18-NORMSDIST((((LN($O$18/$U3)+($Q$48+($Q$46^2)/2)*$Q$51)/($Q$46*SQRT($Q$51)))-$Q$46*SQRT(($Q$51))))*$U3*EXP(-$Q$48*$Q$51)),0)</f>
        <v>66.221475071754412</v>
      </c>
      <c r="W3" s="669"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669"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667">
        <f>IFERROR(VLOOKUP($X3,HomeBroker!$A$22:$F$103,2,0),0)</f>
        <v>15</v>
      </c>
      <c r="Z3" s="667">
        <f>IFERROR(VLOOKUP($X3,HomeBroker!$A$22:$F$103,3,0),0)</f>
        <v>16.5</v>
      </c>
      <c r="AA3" s="243">
        <f>IFERROR(VLOOKUP($X3,HomeBroker!$A$22:$F$103,6,0),0)</f>
        <v>17</v>
      </c>
      <c r="AB3" s="667">
        <f>IFERROR(VLOOKUP($X3,HomeBroker!$A$22:$F$103,4,0),0)</f>
        <v>17</v>
      </c>
      <c r="AC3" s="667">
        <f>IFERROR(VLOOKUP($X3,HomeBroker!$A$22:$F$103,5,0),0)</f>
        <v>57</v>
      </c>
      <c r="AD3" s="670">
        <f>IFERROR(VLOOKUP($X3,HomeBroker!$A$22:$N$103,14,0),0)</f>
        <v>493</v>
      </c>
      <c r="AE3" s="247">
        <f>IF(AM3&gt;0,ABS((AG3+AM3)),"")</f>
        <v>1452.1990000000001</v>
      </c>
      <c r="AF3" s="110">
        <f>SUMIFS(B$38:B$72,C$38:C$72,AG3)</f>
        <v>0</v>
      </c>
      <c r="AG3" s="240">
        <v>1450</v>
      </c>
      <c r="AH3" s="668">
        <f ca="1">IFERROR((NORMSDIST(-(((LN($O$18/$AG3)+($Q$48+($Q$47^2)/2)*$Q$51)/($Q$47*SQRT($Q$51)))-$Q$47*SQRT($Q$51)))*$AG3*EXP(-$Q$48*$Q$51)-NORMSDIST(-((LN($O$18/$AG3)+($Q$48+($Q$47^2)/2)*$Q$51)/($Q$47*SQRT($Q$51))))*$O$18),0)</f>
        <v>22.832106024464736</v>
      </c>
      <c r="AI3" s="669"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669"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671">
        <f>IFERROR(VLOOKUP($AJ3,HomeBroker!$A$22:$F$103,2,0),0)</f>
        <v>1</v>
      </c>
      <c r="AL3" s="667">
        <f>IFERROR(VLOOKUP($AJ3,HomeBroker!$A$22:$F$103,3,0),0)</f>
        <v>2</v>
      </c>
      <c r="AM3" s="243">
        <f>IFERROR(VLOOKUP($AJ3,HomeBroker!$A$22:$F$103,6,0),0)</f>
        <v>2.1989999999999998</v>
      </c>
      <c r="AN3" s="667">
        <f>IFERROR(VLOOKUP($AJ3,HomeBroker!$A$22:$F$103,4,0),0)</f>
        <v>2.2000000000000002</v>
      </c>
      <c r="AO3" s="671">
        <f>IFERROR(VLOOKUP($AJ3,HomeBroker!$A$22:$F$103,5,0),0)</f>
        <v>100</v>
      </c>
      <c r="AP3" s="671">
        <f>IFERROR(VLOOKUP($AJ3,HomeBroker!$A$22:$N$103,14,0),0)</f>
        <v>56</v>
      </c>
      <c r="AQ3" s="62"/>
      <c r="AR3" s="109">
        <f>IF(OR(U3="",AA3=0,AM3=0),"-",U3+AA3-AM3-$O$18)</f>
        <v>662.85099999999989</v>
      </c>
      <c r="AS3" s="109">
        <f>IF(AND($O$18&gt;U3,AA3&gt;0),AA3-AT3,IF(AND($O$18&lt;U3,AM3&gt;0),AM3-AT3,"-"))</f>
        <v>-645.851</v>
      </c>
      <c r="AT3" s="109">
        <f>IF(U3="","-",ABS(U3-$O$18))</f>
        <v>648.04999999999995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857.9921936943548</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857.9921936943548</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903.14967757300508</v>
      </c>
      <c r="P4" s="135">
        <f t="shared" si="4"/>
        <v>0</v>
      </c>
      <c r="Q4" s="135">
        <f t="shared" ca="1" si="5"/>
        <v>0</v>
      </c>
      <c r="R4" s="62"/>
      <c r="S4" s="246">
        <f t="shared" si="6"/>
        <v>2610.9</v>
      </c>
      <c r="T4" s="110">
        <f t="shared" si="7"/>
        <v>0</v>
      </c>
      <c r="U4" s="240">
        <v>2600</v>
      </c>
      <c r="V4" s="668">
        <f t="shared" ref="V4:V42" ca="1" si="59">IFERROR((NORMSDIST(((LN($O$18/$U4)+($Q$48+($Q$46^2)/2)*$Q$51)/($Q$46*SQRT($Q$51))))*$O$18-NORMSDIST((((LN($O$18/$U4)+($Q$48+($Q$46^2)/2)*$Q$51)/($Q$46*SQRT($Q$51)))-$Q$46*SQRT(($Q$51))))*$U4*EXP(-$Q$48*$Q$51)),0)</f>
        <v>51.847893599463987</v>
      </c>
      <c r="W4" s="669" t="str">
        <f t="shared" si="8"/>
        <v>MERV - XMEV - GFGC2600FE - 24hs</v>
      </c>
      <c r="X4" s="669"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667">
        <f>IFERROR(VLOOKUP($X4,HomeBroker!$A$22:$F$103,2,0),0)</f>
        <v>6</v>
      </c>
      <c r="Z4" s="667">
        <f>IFERROR(VLOOKUP($X4,HomeBroker!$A$22:$F$103,3,0),0)</f>
        <v>10.502000000000001</v>
      </c>
      <c r="AA4" s="243">
        <f>IFERROR(VLOOKUP($X4,HomeBroker!$A$22:$F$103,6,0),0)</f>
        <v>10.9</v>
      </c>
      <c r="AB4" s="667">
        <f>IFERROR(VLOOKUP($X4,HomeBroker!$A$22:$F$103,4,0),0)</f>
        <v>10.9</v>
      </c>
      <c r="AC4" s="667">
        <f>IFERROR(VLOOKUP($X4,HomeBroker!$A$22:$F$103,5,0),0)</f>
        <v>1</v>
      </c>
      <c r="AD4" s="670">
        <f>IFERROR(VLOOKUP($X4,HomeBroker!$A$22:$N$103,14,0),0)</f>
        <v>128</v>
      </c>
      <c r="AE4" s="247">
        <f t="shared" ref="AE4:AE42" si="61">IF(AM4&gt;0,ABS((AG4+AM4)),"")</f>
        <v>1494.25</v>
      </c>
      <c r="AF4" s="110">
        <f t="shared" ref="AF4:AF17" si="62">SUMIFS(B$38:B$72,C$38:C$72,AG4)</f>
        <v>0</v>
      </c>
      <c r="AG4" s="240">
        <v>1491.5</v>
      </c>
      <c r="AH4" s="668">
        <f t="shared" ref="AH4:AH42" ca="1" si="63">IFERROR((NORMSDIST(-(((LN($O$18/$AG4)+($Q$48+($Q$47^2)/2)*$Q$51)/($Q$47*SQRT($Q$51)))-$Q$47*SQRT($Q$51)))*$AG4*EXP(-$Q$48*$Q$51)-NORMSDIST(-((LN($O$18/$AG4)+($Q$48+($Q$47^2)/2)*$Q$51)/($Q$47*SQRT($Q$51))))*$O$18),0)</f>
        <v>28.625277556004903</v>
      </c>
      <c r="AI4" s="669" t="str">
        <f t="shared" si="9"/>
        <v>MERV - XMEV - GFGV14915F - 24hs</v>
      </c>
      <c r="AJ4" s="669"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671">
        <f>IFERROR(VLOOKUP($AJ4,HomeBroker!$A$22:$F$103,2,0),0)</f>
        <v>1</v>
      </c>
      <c r="AL4" s="667">
        <f>IFERROR(VLOOKUP($AJ4,HomeBroker!$A$22:$F$103,3,0),0)</f>
        <v>2.75</v>
      </c>
      <c r="AM4" s="243">
        <f>IFERROR(VLOOKUP($AJ4,HomeBroker!$A$22:$F$103,6,0),0)</f>
        <v>2.75</v>
      </c>
      <c r="AN4" s="667">
        <f>IFERROR(VLOOKUP($AJ4,HomeBroker!$A$22:$F$103,4,0),0)</f>
        <v>2.95</v>
      </c>
      <c r="AO4" s="671">
        <f>IFERROR(VLOOKUP($AJ4,HomeBroker!$A$22:$F$103,5,0),0)</f>
        <v>15</v>
      </c>
      <c r="AP4" s="671">
        <f>IFERROR(VLOOKUP($AJ4,HomeBroker!$A$22:$N$103,14,0),0)</f>
        <v>66</v>
      </c>
      <c r="AQ4" s="62"/>
      <c r="AR4" s="109">
        <f t="shared" ref="AR4:AR42" si="65">IF(OR(U4="",AA4=0,AM4=0),"-",U4+AA4-AM4-$O$18)</f>
        <v>756.2</v>
      </c>
      <c r="AS4" s="109">
        <f t="shared" ref="AS4:AS42" si="66">IF(AND($O$18&gt;U4,AA4&gt;0),AA4-AT4,IF(AND($O$18&lt;U4,AM4&gt;0),AM4-AT4,"-"))</f>
        <v>-745.3</v>
      </c>
      <c r="AT4" s="109">
        <f t="shared" ref="AT4:AT42" si="67">IF(U4="","-",ABS(U4-$O$18))</f>
        <v>748.05</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903.14967757300508</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903.14967757300508</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950.68387112947903</v>
      </c>
      <c r="P5" s="135">
        <f t="shared" si="4"/>
        <v>0</v>
      </c>
      <c r="Q5" s="135">
        <f t="shared" ca="1" si="5"/>
        <v>0</v>
      </c>
      <c r="R5" s="62"/>
      <c r="S5" s="246">
        <f t="shared" si="6"/>
        <v>2707.8710000000001</v>
      </c>
      <c r="T5" s="110">
        <f t="shared" si="7"/>
        <v>0</v>
      </c>
      <c r="U5" s="240">
        <v>2700</v>
      </c>
      <c r="V5" s="668">
        <f t="shared" ca="1" si="59"/>
        <v>40.391092821896336</v>
      </c>
      <c r="W5" s="669" t="str">
        <f t="shared" si="8"/>
        <v>MERV - XMEV - GFGC2700FE - 24hs</v>
      </c>
      <c r="X5" s="669" t="str">
        <f t="shared" si="60"/>
        <v>GFGC2700FE</v>
      </c>
      <c r="Y5" s="667">
        <f>IFERROR(VLOOKUP($X5,HomeBroker!$A$22:$F$103,2,0),0)</f>
        <v>1</v>
      </c>
      <c r="Z5" s="667">
        <f>IFERROR(VLOOKUP($X5,HomeBroker!$A$22:$F$103,3,0),0)</f>
        <v>7.55</v>
      </c>
      <c r="AA5" s="243">
        <f>IFERROR(VLOOKUP($X5,HomeBroker!$A$22:$F$103,6,0),0)</f>
        <v>7.8710000000000004</v>
      </c>
      <c r="AB5" s="667">
        <f>IFERROR(VLOOKUP($X5,HomeBroker!$A$22:$F$103,4,0),0)</f>
        <v>7.87</v>
      </c>
      <c r="AC5" s="667">
        <f>IFERROR(VLOOKUP($X5,HomeBroker!$A$22:$F$103,5,0),0)</f>
        <v>15</v>
      </c>
      <c r="AD5" s="670">
        <f>IFERROR(VLOOKUP($X5,HomeBroker!$A$22:$N$103,14,0),0)</f>
        <v>111</v>
      </c>
      <c r="AE5" s="247">
        <f t="shared" si="61"/>
        <v>1574.703</v>
      </c>
      <c r="AF5" s="110">
        <f t="shared" si="62"/>
        <v>0</v>
      </c>
      <c r="AG5" s="240">
        <v>1570</v>
      </c>
      <c r="AH5" s="668">
        <f t="shared" ca="1" si="63"/>
        <v>42.301735093210652</v>
      </c>
      <c r="AI5" s="669" t="str">
        <f t="shared" si="9"/>
        <v>MERV - XMEV - GFGV1570FE - 24hs</v>
      </c>
      <c r="AJ5" s="669" t="str">
        <f t="shared" si="64"/>
        <v>GFGV1570FE</v>
      </c>
      <c r="AK5" s="671">
        <f>IFERROR(VLOOKUP($AJ5,HomeBroker!$A$22:$F$103,2,0),0)</f>
        <v>45</v>
      </c>
      <c r="AL5" s="667">
        <f>IFERROR(VLOOKUP($AJ5,HomeBroker!$A$22:$F$103,3,0),0)</f>
        <v>4.1109999999999998</v>
      </c>
      <c r="AM5" s="243">
        <f>IFERROR(VLOOKUP($AJ5,HomeBroker!$A$22:$F$103,6,0),0)</f>
        <v>4.7030000000000003</v>
      </c>
      <c r="AN5" s="667">
        <f>IFERROR(VLOOKUP($AJ5,HomeBroker!$A$22:$F$103,4,0),0)</f>
        <v>5.15</v>
      </c>
      <c r="AO5" s="671">
        <f>IFERROR(VLOOKUP($AJ5,HomeBroker!$A$22:$F$103,5,0),0)</f>
        <v>1</v>
      </c>
      <c r="AP5" s="671">
        <f>IFERROR(VLOOKUP($AJ5,HomeBroker!$A$22:$N$103,14,0),0)</f>
        <v>82</v>
      </c>
      <c r="AQ5" s="62"/>
      <c r="AR5" s="109">
        <f t="shared" si="65"/>
        <v>851.21800000000007</v>
      </c>
      <c r="AS5" s="109">
        <f t="shared" si="66"/>
        <v>-843.34699999999998</v>
      </c>
      <c r="AT5" s="109">
        <f t="shared" si="67"/>
        <v>848.05</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950.68387112947903</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950.68387112947903</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1000.71986434682</v>
      </c>
      <c r="P6" s="142">
        <f t="shared" si="4"/>
        <v>0</v>
      </c>
      <c r="Q6" s="142">
        <f t="shared" ca="1" si="5"/>
        <v>0</v>
      </c>
      <c r="R6" s="62"/>
      <c r="S6" s="246">
        <f t="shared" si="6"/>
        <v>2805.5509999999999</v>
      </c>
      <c r="T6" s="110">
        <f t="shared" si="7"/>
        <v>0</v>
      </c>
      <c r="U6" s="240">
        <v>2800</v>
      </c>
      <c r="V6" s="668">
        <f t="shared" ca="1" si="59"/>
        <v>31.325828095922731</v>
      </c>
      <c r="W6" s="669" t="str">
        <f t="shared" si="8"/>
        <v>MERV - XMEV - GFGC2800FE - 24hs</v>
      </c>
      <c r="X6" s="669" t="str">
        <f t="shared" si="60"/>
        <v>GFGC2800FE</v>
      </c>
      <c r="Y6" s="667">
        <f>IFERROR(VLOOKUP($X6,HomeBroker!$A$22:$F$103,2,0),0)</f>
        <v>1</v>
      </c>
      <c r="Z6" s="667">
        <f>IFERROR(VLOOKUP($X6,HomeBroker!$A$22:$F$103,3,0),0)</f>
        <v>5.55</v>
      </c>
      <c r="AA6" s="243">
        <f>IFERROR(VLOOKUP($X6,HomeBroker!$A$22:$F$103,6,0),0)</f>
        <v>5.5510000000000002</v>
      </c>
      <c r="AB6" s="667">
        <f>IFERROR(VLOOKUP($X6,HomeBroker!$A$22:$F$103,4,0),0)</f>
        <v>6.4</v>
      </c>
      <c r="AC6" s="667">
        <f>IFERROR(VLOOKUP($X6,HomeBroker!$A$22:$F$103,5,0),0)</f>
        <v>20</v>
      </c>
      <c r="AD6" s="670">
        <f>IFERROR(VLOOKUP($X6,HomeBroker!$A$22:$N$103,14,0),0)</f>
        <v>59</v>
      </c>
      <c r="AE6" s="247">
        <f t="shared" si="61"/>
        <v>1648.4659999999999</v>
      </c>
      <c r="AF6" s="110">
        <f t="shared" si="62"/>
        <v>0</v>
      </c>
      <c r="AG6" s="240">
        <v>1640</v>
      </c>
      <c r="AH6" s="668">
        <f t="shared" ca="1" si="63"/>
        <v>57.78275758436871</v>
      </c>
      <c r="AI6" s="669" t="str">
        <f t="shared" si="9"/>
        <v>MERV - XMEV - GFGV1640FE - 24hs</v>
      </c>
      <c r="AJ6" s="669" t="str">
        <f t="shared" si="64"/>
        <v>GFGV1640FE</v>
      </c>
      <c r="AK6" s="671">
        <f>IFERROR(VLOOKUP($AJ6,HomeBroker!$A$22:$F$103,2,0),0)</f>
        <v>1</v>
      </c>
      <c r="AL6" s="667">
        <f>IFERROR(VLOOKUP($AJ6,HomeBroker!$A$22:$F$103,3,0),0)</f>
        <v>8</v>
      </c>
      <c r="AM6" s="243">
        <f>IFERROR(VLOOKUP($AJ6,HomeBroker!$A$22:$F$103,6,0),0)</f>
        <v>8.4659999999999993</v>
      </c>
      <c r="AN6" s="667">
        <f>IFERROR(VLOOKUP($AJ6,HomeBroker!$A$22:$F$103,4,0),0)</f>
        <v>8.4</v>
      </c>
      <c r="AO6" s="671">
        <f>IFERROR(VLOOKUP($AJ6,HomeBroker!$A$22:$F$103,5,0),0)</f>
        <v>10</v>
      </c>
      <c r="AP6" s="671">
        <f>IFERROR(VLOOKUP($AJ6,HomeBroker!$A$22:$N$103,14,0),0)</f>
        <v>499</v>
      </c>
      <c r="AQ6" s="62"/>
      <c r="AR6" s="109">
        <f t="shared" si="65"/>
        <v>945.13499999999999</v>
      </c>
      <c r="AS6" s="109">
        <f t="shared" si="66"/>
        <v>-939.58399999999995</v>
      </c>
      <c r="AT6" s="109">
        <f t="shared" si="67"/>
        <v>948.05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1000.71986434682</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1000.71986434682</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f>IFERROR(-1+(O7/$O$18),"")</f>
        <v>-0.43119990772354033</v>
      </c>
      <c r="O7" s="295">
        <f t="shared" si="3"/>
        <v>1053.3893308913896</v>
      </c>
      <c r="P7" s="135">
        <f t="shared" si="4"/>
        <v>0</v>
      </c>
      <c r="Q7" s="135">
        <f t="shared" ca="1" si="5"/>
        <v>0</v>
      </c>
      <c r="R7" s="62"/>
      <c r="S7" s="246">
        <f t="shared" si="6"/>
        <v>2904.3</v>
      </c>
      <c r="T7" s="110">
        <f t="shared" si="7"/>
        <v>0</v>
      </c>
      <c r="U7" s="240">
        <v>2900</v>
      </c>
      <c r="V7" s="668">
        <f t="shared" ca="1" si="59"/>
        <v>24.19934255103928</v>
      </c>
      <c r="W7" s="669" t="str">
        <f t="shared" si="8"/>
        <v>MERV - XMEV - GFGC2900FE - 24hs</v>
      </c>
      <c r="X7" s="669" t="str">
        <f t="shared" si="60"/>
        <v>GFGC2900FE</v>
      </c>
      <c r="Y7" s="667">
        <f>IFERROR(VLOOKUP($X7,HomeBroker!$A$22:$F$103,2,0),0)</f>
        <v>11</v>
      </c>
      <c r="Z7" s="667">
        <f>IFERROR(VLOOKUP($X7,HomeBroker!$A$22:$F$103,3,0),0)</f>
        <v>4.26</v>
      </c>
      <c r="AA7" s="243">
        <f>IFERROR(VLOOKUP($X7,HomeBroker!$A$22:$F$103,6,0),0)</f>
        <v>4.3</v>
      </c>
      <c r="AB7" s="667">
        <f>IFERROR(VLOOKUP($X7,HomeBroker!$A$22:$F$103,4,0),0)</f>
        <v>4.3</v>
      </c>
      <c r="AC7" s="667">
        <f>IFERROR(VLOOKUP($X7,HomeBroker!$A$22:$F$103,5,0),0)</f>
        <v>1</v>
      </c>
      <c r="AD7" s="670">
        <f>IFERROR(VLOOKUP($X7,HomeBroker!$A$22:$N$103,14,0),0)</f>
        <v>201</v>
      </c>
      <c r="AE7" s="247">
        <f t="shared" si="61"/>
        <v>1715.5</v>
      </c>
      <c r="AF7" s="110">
        <f t="shared" si="62"/>
        <v>0</v>
      </c>
      <c r="AG7" s="240">
        <v>1701.5</v>
      </c>
      <c r="AH7" s="668">
        <f t="shared" ca="1" si="63"/>
        <v>74.13147061857012</v>
      </c>
      <c r="AI7" s="669" t="str">
        <f t="shared" si="9"/>
        <v>MERV - XMEV - GFGV17015F - 24hs</v>
      </c>
      <c r="AJ7" s="669" t="str">
        <f t="shared" si="64"/>
        <v>GFGV17015F</v>
      </c>
      <c r="AK7" s="671">
        <f>IFERROR(VLOOKUP($AJ7,HomeBroker!$A$22:$F$103,2,0),0)</f>
        <v>15</v>
      </c>
      <c r="AL7" s="667">
        <f>IFERROR(VLOOKUP($AJ7,HomeBroker!$A$22:$F$103,3,0),0)</f>
        <v>13.451000000000001</v>
      </c>
      <c r="AM7" s="243">
        <f>IFERROR(VLOOKUP($AJ7,HomeBroker!$A$22:$F$103,6,0),0)</f>
        <v>14</v>
      </c>
      <c r="AN7" s="667">
        <f>IFERROR(VLOOKUP($AJ7,HomeBroker!$A$22:$F$103,4,0),0)</f>
        <v>15.14</v>
      </c>
      <c r="AO7" s="671">
        <f>IFERROR(VLOOKUP($AJ7,HomeBroker!$A$22:$F$103,5,0),0)</f>
        <v>1</v>
      </c>
      <c r="AP7" s="671">
        <f>IFERROR(VLOOKUP($AJ7,HomeBroker!$A$22:$N$103,14,0),0)</f>
        <v>307</v>
      </c>
      <c r="AQ7" s="62"/>
      <c r="AR7" s="109">
        <f t="shared" si="65"/>
        <v>1038.3500000000001</v>
      </c>
      <c r="AS7" s="109">
        <f t="shared" si="66"/>
        <v>-1034.05</v>
      </c>
      <c r="AT7" s="109">
        <f t="shared" si="67"/>
        <v>1048.05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1053.3893308913896</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1053.3893308913896</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1108.8308746225155</v>
      </c>
      <c r="P8" s="135">
        <f t="shared" si="4"/>
        <v>0</v>
      </c>
      <c r="Q8" s="135">
        <f t="shared" ca="1" si="5"/>
        <v>0</v>
      </c>
      <c r="R8" s="62"/>
      <c r="S8" s="246">
        <f t="shared" si="6"/>
        <v>3003.0160000000001</v>
      </c>
      <c r="T8" s="110">
        <f t="shared" si="7"/>
        <v>0</v>
      </c>
      <c r="U8" s="240">
        <v>3000</v>
      </c>
      <c r="V8" s="668">
        <f t="shared" ca="1" si="59"/>
        <v>18.629111035300355</v>
      </c>
      <c r="W8" s="669" t="str">
        <f t="shared" si="8"/>
        <v>MERV - XMEV - GFGC3000FE - 24hs</v>
      </c>
      <c r="X8" s="669" t="str">
        <f t="shared" si="60"/>
        <v>GFGC3000FE</v>
      </c>
      <c r="Y8" s="667">
        <f>IFERROR(VLOOKUP($X8,HomeBroker!$A$22:$F$103,2,0),0)</f>
        <v>1</v>
      </c>
      <c r="Z8" s="667">
        <f>IFERROR(VLOOKUP($X8,HomeBroker!$A$22:$F$103,3,0),0)</f>
        <v>3.016</v>
      </c>
      <c r="AA8" s="243">
        <f>IFERROR(VLOOKUP($X8,HomeBroker!$A$22:$F$103,6,0),0)</f>
        <v>3.016</v>
      </c>
      <c r="AB8" s="667">
        <f>IFERROR(VLOOKUP($X8,HomeBroker!$A$22:$F$103,4,0),0)</f>
        <v>3.0169999999999999</v>
      </c>
      <c r="AC8" s="667">
        <f>IFERROR(VLOOKUP($X8,HomeBroker!$A$22:$F$103,5,0),0)</f>
        <v>2</v>
      </c>
      <c r="AD8" s="670">
        <f>IFERROR(VLOOKUP($X8,HomeBroker!$A$22:$N$103,14,0),0)</f>
        <v>497</v>
      </c>
      <c r="AE8" s="247">
        <f t="shared" si="61"/>
        <v>1797.5</v>
      </c>
      <c r="AF8" s="110">
        <f t="shared" si="62"/>
        <v>0</v>
      </c>
      <c r="AG8" s="240">
        <v>1771.5</v>
      </c>
      <c r="AH8" s="668">
        <f t="shared" ca="1" si="63"/>
        <v>96.004214193758799</v>
      </c>
      <c r="AI8" s="669" t="str">
        <f t="shared" si="9"/>
        <v>MERV - XMEV - GFGV17715F - 24hs</v>
      </c>
      <c r="AJ8" s="669" t="str">
        <f t="shared" si="64"/>
        <v>GFGV17715F</v>
      </c>
      <c r="AK8" s="671">
        <f>IFERROR(VLOOKUP($AJ8,HomeBroker!$A$22:$F$103,2,0),0)</f>
        <v>5</v>
      </c>
      <c r="AL8" s="667">
        <f>IFERROR(VLOOKUP($AJ8,HomeBroker!$A$22:$F$103,3,0),0)</f>
        <v>25.5</v>
      </c>
      <c r="AM8" s="243">
        <f>IFERROR(VLOOKUP($AJ8,HomeBroker!$A$22:$F$103,6,0),0)</f>
        <v>26</v>
      </c>
      <c r="AN8" s="667">
        <f>IFERROR(VLOOKUP($AJ8,HomeBroker!$A$22:$F$103,4,0),0)</f>
        <v>27.2</v>
      </c>
      <c r="AO8" s="671">
        <f>IFERROR(VLOOKUP($AJ8,HomeBroker!$A$22:$F$103,5,0),0)</f>
        <v>2</v>
      </c>
      <c r="AP8" s="671">
        <f>IFERROR(VLOOKUP($AJ8,HomeBroker!$A$22:$N$103,14,0),0)</f>
        <v>515</v>
      </c>
      <c r="AQ8" s="62"/>
      <c r="AR8" s="109">
        <f t="shared" si="65"/>
        <v>1125.066</v>
      </c>
      <c r="AS8" s="109">
        <f t="shared" si="66"/>
        <v>-1122.05</v>
      </c>
      <c r="AT8" s="109">
        <f t="shared" si="67"/>
        <v>1148.05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1108.8308746225155</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1108.8308746225155</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1167.19039433949</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1167.19039433949</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1167.19039433949</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1228.621467725779</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1228.621467725779</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1228.621467725779</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1293.28575550082</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1293.28575550082</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1293.28575550082</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f>IFERROR(-1+(O12/$O$18),"")</f>
        <v>-0.2649081093750002</v>
      </c>
      <c r="O12" s="296">
        <f t="shared" si="3"/>
        <v>1361.3534268429685</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1361.3534268429685</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1361.3534268429685</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f>IFERROR(-1+(O13/$O$18),"")</f>
        <v>-0.22621906250000012</v>
      </c>
      <c r="O13" s="297">
        <f t="shared" si="3"/>
        <v>1433.0036072031248</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1433.0036072031248</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1433.0036072031248</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f>IFERROR(-1+(O14/$O$18),"")</f>
        <v>-0.18549375000000012</v>
      </c>
      <c r="O14" s="297">
        <f t="shared" si="3"/>
        <v>1508.4248496874998</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1508.4248496874998</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1508.4248496874998</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f t="shared" ref="N15:N17" si="71">IFERROR(-1+(O15/$O$18),"")</f>
        <v>-0.14262500000000011</v>
      </c>
      <c r="O15" s="297">
        <f t="shared" si="3"/>
        <v>1587.8156312499998</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1587.8156312499998</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1587.8156312499998</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f t="shared" si="71"/>
        <v>-9.7500000000000031E-2</v>
      </c>
      <c r="O16" s="297">
        <f t="shared" si="3"/>
        <v>1671.384875</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1671.384875</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1671.384875</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f t="shared" si="71"/>
        <v>-5.0000000000000044E-2</v>
      </c>
      <c r="O17" s="297">
        <f t="shared" si="3"/>
        <v>1759.3525</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1759.3525</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1759.3525</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1851.95</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1851.95</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1851.95</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f>IFERROR(+O19/$O$18-1,"")</f>
        <v>5.0000000000000044E-2</v>
      </c>
      <c r="O19" s="297">
        <f t="shared" ref="O19:O34" si="79">+O18*(1+$Q$42)</f>
        <v>1944.5475000000001</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1944.5475000000001</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1944.5475000000001</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f t="shared" ref="N20:N23" si="81">IFERROR(+O20/$O$18-1,"")</f>
        <v>0.10250000000000004</v>
      </c>
      <c r="O20" s="297">
        <f t="shared" si="79"/>
        <v>2041.7748750000003</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2041.7748750000003</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2041.7748750000003</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f t="shared" si="81"/>
        <v>0.15762500000000035</v>
      </c>
      <c r="O21" s="297">
        <f t="shared" si="79"/>
        <v>2143.8636187500006</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2143.8636187500006</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2143.8636187500006</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f t="shared" si="81"/>
        <v>0.21550625000000023</v>
      </c>
      <c r="O22" s="297">
        <f t="shared" si="79"/>
        <v>2251.0567996875006</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2251.0567996875006</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2251.0567996875006</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f t="shared" si="81"/>
        <v>0.27628156250000035</v>
      </c>
      <c r="O23" s="297">
        <f t="shared" si="79"/>
        <v>2363.6096396718758</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2363.6096396718758</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2363.6096396718758</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f>IFERROR(+O24/$O$18-1,"")</f>
        <v>0.34009564062500042</v>
      </c>
      <c r="O24" s="296">
        <f t="shared" si="79"/>
        <v>2481.7901216554696</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2481.7901216554696</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2481.7901216554696</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2605.879627738243</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2605.879627738243</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2605.879627738243</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2736.1736091251555</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2736.1736091251555</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2736.1736091251555</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2872.9822895814136</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2872.9822895814136</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2872.9822895814136</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3016.6314040604843</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3016.6314040604843</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3016.6314040604843</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f>IFERROR(+O29/$O$18-1,"")</f>
        <v>0.71033935811631466</v>
      </c>
      <c r="O29" s="299">
        <f t="shared" si="79"/>
        <v>3167.4629742635088</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3167.4629742635088</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3167.4629742635088</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3325.8361229766842</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3325.8361229766842</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3325.8361229766842</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3492.1279291255187</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3492.1279291255187</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3492.1279291255187</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3666.7343255817946</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3666.7343255817946</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3666.7343255817946</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3850.0710418608846</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3850.0710418608846</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3850.0710418608846</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4042.5745939539293</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4042.5745939539293</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4042.5745939539293</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67" t="s">
        <v>450</v>
      </c>
      <c r="O36" s="762"/>
      <c r="P36" s="763"/>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857.9921936943548</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857.9921936943548</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67" t="s">
        <v>451</v>
      </c>
      <c r="O37" s="762"/>
      <c r="P37" s="763"/>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903.14967757300508</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903.14967757300508</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68" t="s">
        <v>452</v>
      </c>
      <c r="O38" s="762"/>
      <c r="P38" s="763"/>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950.68387112947903</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950.68387112947903</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69" t="s">
        <v>453</v>
      </c>
      <c r="O39" s="762"/>
      <c r="P39" s="763"/>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1000.71986434682</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1000.71986434682</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61" t="s">
        <v>0</v>
      </c>
      <c r="O40" s="762"/>
      <c r="P40" s="763"/>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1053.3893308913896</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1053.3893308913896</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1108.8308746225155</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1108.8308746225155</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64" t="s">
        <v>454</v>
      </c>
      <c r="O42" s="762"/>
      <c r="P42" s="763"/>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1167.19039433949</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1167.19039433949</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678</v>
      </c>
      <c r="R43" s="62"/>
      <c r="S43" s="770" t="s">
        <v>409</v>
      </c>
      <c r="T43" s="771"/>
      <c r="U43" s="771"/>
      <c r="V43" s="771"/>
      <c r="W43" s="771"/>
      <c r="X43" s="771"/>
      <c r="Y43" s="771"/>
      <c r="Z43" s="771"/>
      <c r="AA43" s="771"/>
      <c r="AB43" s="771"/>
      <c r="AC43" s="771"/>
      <c r="AD43" s="772"/>
      <c r="AE43" s="776">
        <f>SUMIFS(BJ:BJ,BI:BI,S43)</f>
        <v>0</v>
      </c>
      <c r="AF43" s="776"/>
      <c r="AG43" s="776"/>
      <c r="AH43" s="776"/>
      <c r="AI43" s="776"/>
      <c r="AJ43" s="776"/>
      <c r="AK43" s="776"/>
      <c r="AL43" s="776"/>
      <c r="AM43" s="776"/>
      <c r="AN43" s="776"/>
      <c r="AO43" s="776"/>
      <c r="AP43" s="777"/>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1228.621467725779</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1228.621467725779</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80" t="s">
        <v>458</v>
      </c>
      <c r="O44" s="762"/>
      <c r="P44" s="763"/>
      <c r="Q44" s="188"/>
      <c r="R44" s="62"/>
      <c r="S44" s="773"/>
      <c r="T44" s="774"/>
      <c r="U44" s="774"/>
      <c r="V44" s="774"/>
      <c r="W44" s="774"/>
      <c r="X44" s="774"/>
      <c r="Y44" s="774"/>
      <c r="Z44" s="774"/>
      <c r="AA44" s="774"/>
      <c r="AB44" s="774"/>
      <c r="AC44" s="774"/>
      <c r="AD44" s="775"/>
      <c r="AE44" s="778"/>
      <c r="AF44" s="778"/>
      <c r="AG44" s="778"/>
      <c r="AH44" s="778"/>
      <c r="AI44" s="778"/>
      <c r="AJ44" s="778"/>
      <c r="AK44" s="778"/>
      <c r="AL44" s="778"/>
      <c r="AM44" s="778"/>
      <c r="AN44" s="778"/>
      <c r="AO44" s="778"/>
      <c r="AP44" s="779"/>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1293.28575550082</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1293.28575550082</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81" t="s">
        <v>459</v>
      </c>
      <c r="O45" s="762"/>
      <c r="P45" s="763"/>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1361.3534268429685</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1361.3534268429685</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85" t="s">
        <v>460</v>
      </c>
      <c r="O46" s="762"/>
      <c r="P46" s="763"/>
      <c r="Q46" s="193">
        <f>Q48</f>
        <v>0.87100000000000011</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1433.0036072031248</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1433.0036072031248</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89" t="s">
        <v>461</v>
      </c>
      <c r="O47" s="762"/>
      <c r="P47" s="763"/>
      <c r="Q47" s="193">
        <f>Q46</f>
        <v>0.87100000000000011</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1508.4248496874998</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1508.4248496874998</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80" t="s">
        <v>462</v>
      </c>
      <c r="O48" s="762"/>
      <c r="P48" s="763"/>
      <c r="Q48" s="193">
        <f>HomeBroker!AE1*365</f>
        <v>0.87100000000000011</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1587.8156312499998</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1587.8156312499998</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90" t="s">
        <v>463</v>
      </c>
      <c r="O49" s="762"/>
      <c r="P49" s="763"/>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1671.384875</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1671.384875</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90" t="s">
        <v>464</v>
      </c>
      <c r="O50" s="762"/>
      <c r="P50" s="763"/>
      <c r="Q50" s="195">
        <f ca="1">Q49-TODAY()-Q44</f>
        <v>35</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1759.3525</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1759.3525</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90" t="s">
        <v>465</v>
      </c>
      <c r="O51" s="762"/>
      <c r="P51" s="763"/>
      <c r="Q51" s="196">
        <f ca="1">Q50/365</f>
        <v>9.5890410958904104E-2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1851.95</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1851.95</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64" t="s">
        <v>0</v>
      </c>
      <c r="O52" s="762"/>
      <c r="P52" s="763"/>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1944.5475000000001</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1944.5475000000001</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82" t="s">
        <v>1</v>
      </c>
      <c r="O53" s="783"/>
      <c r="P53" s="784"/>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2041.7748750000003</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2041.7748750000003</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2143.8636187500006</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2143.8636187500006</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2251.0567996875006</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2251.0567996875006</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2363.6096396718758</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2363.6096396718758</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2481.7901216554696</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2481.7901216554696</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2605.879627738243</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2605.879627738243</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2736.1736091251555</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2736.1736091251555</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2872.9822895814136</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2872.9822895814136</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3016.6314040604843</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3016.6314040604843</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3167.4629742635088</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3167.4629742635088</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3325.8361229766842</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3325.8361229766842</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3492.1279291255187</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3492.1279291255187</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3666.7343255817946</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3666.7343255817946</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3850.0710418608846</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3850.0710418608846</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4042.5745939539293</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4042.5745939539293</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857.9921936943548</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857.9921936943548</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903.14967757300508</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903.14967757300508</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950.68387112947903</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950.68387112947903</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86" t="s">
        <v>409</v>
      </c>
      <c r="B73" s="211"/>
      <c r="C73" s="212"/>
      <c r="D73" s="213"/>
      <c r="E73" s="214">
        <f>-C73*B73</f>
        <v>0</v>
      </c>
      <c r="F73" s="215">
        <f>IF(B73&gt;0,-C73*(1+($Q$52+0.0008)*1.21)*B73,-C73*(1-($Q$52+0.0008)*1.21)*B73)</f>
        <v>0</v>
      </c>
      <c r="G73" s="291">
        <f>B76</f>
        <v>1851.95</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1000.71986434682</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1000.71986434682</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87"/>
      <c r="B74" s="173"/>
      <c r="C74" s="137"/>
      <c r="D74" s="218"/>
      <c r="E74" s="219">
        <f>-C74*B74</f>
        <v>0</v>
      </c>
      <c r="F74" s="220">
        <f>IF(B74&gt;0,-C74*(1+($Q$52+0.0008)*1.21)*B74,-C74*(1-($Q$52+0.0008)*1.21)*B74)</f>
        <v>0</v>
      </c>
      <c r="G74" s="291">
        <f>G73</f>
        <v>1851.95</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1053.3893308913896</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1053.3893308913896</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88"/>
      <c r="B75" s="210"/>
      <c r="C75" s="221"/>
      <c r="D75" s="222"/>
      <c r="E75" s="223">
        <f>-C75*B75</f>
        <v>0</v>
      </c>
      <c r="F75" s="224">
        <f>IF(B75&gt;0,-C75*(1+($Q$52+0.0008)*1.21)*B75,-C75*(1-($Q$52+0.0008)*1.21)*B75)</f>
        <v>0</v>
      </c>
      <c r="G75" s="292">
        <f>G74</f>
        <v>1851.95</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1108.8308746225155</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1108.8308746225155</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1851.95</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1167.19039433949</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1167.19039433949</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1228.621467725779</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1228.621467725779</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1293.28575550082</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1293.28575550082</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1361.3534268429685</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1361.3534268429685</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1433.0036072031248</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1433.0036072031248</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1508.4248496874998</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1508.4248496874998</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1587.8156312499998</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1587.8156312499998</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1671.384875</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1671.384875</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1759.3525</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1759.3525</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1851.95</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1851.95</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1944.5475000000001</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1944.5475000000001</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2041.7748750000003</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2041.7748750000003</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2143.8636187500006</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2143.8636187500006</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2251.0567996875006</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2251.0567996875006</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2363.6096396718758</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2363.6096396718758</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2481.7901216554696</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2481.7901216554696</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2605.879627738243</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2605.879627738243</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2736.1736091251555</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2736.1736091251555</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2872.9822895814136</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2872.9822895814136</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3016.6314040604843</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3016.6314040604843</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3167.4629742635088</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3167.4629742635088</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3325.8361229766842</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3325.8361229766842</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3492.1279291255187</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3492.1279291255187</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3666.7343255817946</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3666.7343255817946</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3850.0710418608846</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3850.0710418608846</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4042.5745939539293</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4042.5745939539293</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857.9921936943548</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857.9921936943548</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903.14967757300508</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903.14967757300508</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950.68387112947903</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950.68387112947903</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1000.71986434682</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1000.71986434682</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1053.3893308913896</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1053.3893308913896</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1108.8308746225155</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1108.8308746225155</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1167.19039433949</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1167.19039433949</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1228.621467725779</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1228.621467725779</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1293.28575550082</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1293.28575550082</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1361.3534268429685</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1361.3534268429685</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1433.0036072031248</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1433.0036072031248</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1508.4248496874998</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1508.4248496874998</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1587.8156312499998</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1587.8156312499998</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1671.384875</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1671.384875</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1759.3525</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1759.3525</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1851.95</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1851.95</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1944.5475000000001</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1944.5475000000001</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2041.7748750000003</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2041.7748750000003</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2143.8636187500006</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2143.8636187500006</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2251.0567996875006</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2251.0567996875006</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2363.6096396718758</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2363.6096396718758</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2481.7901216554696</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2481.7901216554696</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2605.879627738243</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2605.879627738243</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2736.1736091251555</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2736.1736091251555</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2872.9822895814136</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2872.9822895814136</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3016.6314040604843</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3016.6314040604843</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3167.4629742635088</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3167.4629742635088</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3325.8361229766842</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3325.8361229766842</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3492.1279291255187</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3492.1279291255187</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3666.7343255817946</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3666.7343255817946</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3850.0710418608846</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3850.0710418608846</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4042.5745939539293</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4042.5745939539293</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9" zoomScale="80" zoomScaleNormal="80" workbookViewId="0">
      <selection activeCell="E35" sqref="E35"/>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642</v>
      </c>
      <c r="B2" s="20"/>
      <c r="C2" s="19"/>
      <c r="D2" s="20"/>
      <c r="E2" s="19" t="s">
        <v>335</v>
      </c>
      <c r="F2" s="20"/>
      <c r="G2" s="19" t="s">
        <v>618</v>
      </c>
      <c r="H2" s="20"/>
      <c r="I2" s="41"/>
      <c r="J2" s="20"/>
      <c r="K2" s="21"/>
      <c r="L2" s="20"/>
      <c r="M2" s="21"/>
      <c r="N2" s="18"/>
      <c r="O2"/>
      <c r="Q2" s="51"/>
    </row>
    <row r="3" spans="1:18" s="4" customFormat="1">
      <c r="A3" s="41" t="s">
        <v>643</v>
      </c>
      <c r="B3" s="20"/>
      <c r="C3" s="19"/>
      <c r="D3" s="20"/>
      <c r="E3" s="19" t="s">
        <v>336</v>
      </c>
      <c r="F3" s="20"/>
      <c r="G3" s="19" t="s">
        <v>619</v>
      </c>
      <c r="H3" s="20"/>
      <c r="I3" s="41"/>
      <c r="J3" s="20"/>
      <c r="K3" s="21"/>
      <c r="L3" s="20"/>
      <c r="M3" s="21"/>
      <c r="N3" s="18"/>
      <c r="O3"/>
      <c r="Q3" s="51"/>
    </row>
    <row r="4" spans="1:18" s="4" customFormat="1">
      <c r="A4" s="41" t="s">
        <v>644</v>
      </c>
      <c r="B4" s="20"/>
      <c r="C4" s="19"/>
      <c r="D4" s="20"/>
      <c r="E4" s="19" t="s">
        <v>604</v>
      </c>
      <c r="F4" s="20"/>
      <c r="G4" s="19" t="s">
        <v>620</v>
      </c>
      <c r="H4" s="20"/>
      <c r="I4" s="41"/>
      <c r="J4" s="20"/>
      <c r="K4" s="21"/>
      <c r="L4" s="20"/>
      <c r="M4" s="21"/>
      <c r="N4" s="18"/>
      <c r="O4"/>
      <c r="Q4" s="51"/>
    </row>
    <row r="5" spans="1:18" s="4" customFormat="1">
      <c r="A5" s="41" t="s">
        <v>645</v>
      </c>
      <c r="B5" s="20"/>
      <c r="C5" s="19"/>
      <c r="D5" s="20"/>
      <c r="E5" s="19" t="s">
        <v>605</v>
      </c>
      <c r="F5" s="20"/>
      <c r="G5" s="19" t="s">
        <v>621</v>
      </c>
      <c r="H5" s="20"/>
      <c r="I5" s="41"/>
      <c r="J5" s="20"/>
      <c r="K5" s="21"/>
      <c r="L5" s="20"/>
      <c r="M5" s="21"/>
      <c r="N5" s="18"/>
      <c r="O5"/>
      <c r="Q5" s="51"/>
    </row>
    <row r="6" spans="1:18" s="4" customFormat="1">
      <c r="A6" s="41" t="s">
        <v>646</v>
      </c>
      <c r="B6" s="20"/>
      <c r="C6" s="19"/>
      <c r="D6" s="20"/>
      <c r="E6" s="19" t="s">
        <v>13</v>
      </c>
      <c r="F6" s="20"/>
      <c r="G6" s="19" t="s">
        <v>622</v>
      </c>
      <c r="H6" s="20"/>
      <c r="I6" s="41"/>
      <c r="J6" s="20"/>
      <c r="K6" s="21"/>
      <c r="L6" s="20"/>
      <c r="M6" s="21"/>
      <c r="N6" s="18"/>
      <c r="O6"/>
      <c r="Q6" s="51"/>
    </row>
    <row r="7" spans="1:18" s="4" customFormat="1">
      <c r="A7" s="666" t="s">
        <v>647</v>
      </c>
      <c r="B7" s="20"/>
      <c r="C7" s="19"/>
      <c r="D7" s="20"/>
      <c r="E7" s="19" t="s">
        <v>2</v>
      </c>
      <c r="F7" s="20"/>
      <c r="G7" s="19" t="s">
        <v>623</v>
      </c>
      <c r="H7" s="20"/>
      <c r="I7" s="41"/>
      <c r="J7" s="20"/>
      <c r="K7" s="21"/>
      <c r="L7" s="20"/>
      <c r="M7" s="21"/>
      <c r="N7" s="18"/>
      <c r="O7"/>
      <c r="Q7" s="51"/>
    </row>
    <row r="8" spans="1:18" s="4" customFormat="1">
      <c r="A8" s="19" t="s">
        <v>659</v>
      </c>
      <c r="B8" s="20"/>
      <c r="C8" s="19"/>
      <c r="D8" s="20"/>
      <c r="E8" s="19" t="s">
        <v>15</v>
      </c>
      <c r="F8" s="20"/>
      <c r="G8" s="19" t="s">
        <v>624</v>
      </c>
      <c r="H8" s="20"/>
      <c r="I8" s="41"/>
      <c r="J8" s="20"/>
      <c r="K8" s="21"/>
      <c r="L8" s="20"/>
      <c r="M8" s="21"/>
      <c r="N8" s="18"/>
      <c r="O8"/>
      <c r="Q8" s="51"/>
    </row>
    <row r="9" spans="1:18" s="4" customFormat="1">
      <c r="A9" s="19" t="s">
        <v>660</v>
      </c>
      <c r="B9" s="20"/>
      <c r="C9" s="19"/>
      <c r="D9" s="20"/>
      <c r="E9" s="19" t="s">
        <v>3</v>
      </c>
      <c r="F9" s="20"/>
      <c r="G9" s="19" t="s">
        <v>625</v>
      </c>
      <c r="H9" s="20"/>
      <c r="I9" s="41"/>
      <c r="J9" s="20"/>
      <c r="K9" s="21"/>
      <c r="L9" s="20"/>
      <c r="M9" s="21"/>
      <c r="N9" s="18"/>
      <c r="Q9" s="51"/>
    </row>
    <row r="10" spans="1:18" s="4" customFormat="1">
      <c r="A10" s="19" t="s">
        <v>661</v>
      </c>
      <c r="B10" s="20"/>
      <c r="C10" s="19"/>
      <c r="D10" s="20"/>
      <c r="E10" s="19" t="s">
        <v>14</v>
      </c>
      <c r="F10" s="20"/>
      <c r="G10" s="19" t="s">
        <v>626</v>
      </c>
      <c r="H10" s="20"/>
      <c r="I10" s="41"/>
      <c r="J10" s="20"/>
      <c r="K10" s="21"/>
      <c r="L10" s="20"/>
      <c r="M10" s="21"/>
      <c r="N10" s="18"/>
      <c r="Q10" s="51"/>
    </row>
    <row r="11" spans="1:18" s="4" customFormat="1">
      <c r="A11" s="19" t="s">
        <v>662</v>
      </c>
      <c r="B11" s="20"/>
      <c r="C11" s="19"/>
      <c r="D11" s="20"/>
      <c r="E11" s="19" t="s">
        <v>4</v>
      </c>
      <c r="F11" s="20"/>
      <c r="G11" s="19" t="s">
        <v>627</v>
      </c>
      <c r="H11" s="20"/>
      <c r="I11" s="41"/>
      <c r="J11" s="20"/>
      <c r="K11" s="21"/>
      <c r="L11" s="20"/>
      <c r="M11" s="21"/>
      <c r="N11" s="18"/>
      <c r="Q11" s="51"/>
    </row>
    <row r="12" spans="1:18" s="4" customFormat="1">
      <c r="A12" s="19" t="s">
        <v>663</v>
      </c>
      <c r="B12" s="20"/>
      <c r="C12" s="19"/>
      <c r="D12" s="20"/>
      <c r="E12" s="19" t="s">
        <v>16</v>
      </c>
      <c r="F12" s="20"/>
      <c r="G12" s="19" t="s">
        <v>628</v>
      </c>
      <c r="H12" s="20"/>
      <c r="I12" s="41"/>
      <c r="J12" s="20"/>
      <c r="K12" s="21"/>
      <c r="L12" s="20"/>
      <c r="M12" s="21"/>
      <c r="N12" s="18"/>
      <c r="Q12" s="51"/>
    </row>
    <row r="13" spans="1:18" s="4" customFormat="1">
      <c r="A13" s="19" t="s">
        <v>664</v>
      </c>
      <c r="B13" s="20"/>
      <c r="C13" s="19"/>
      <c r="D13" s="20"/>
      <c r="E13" s="19" t="s">
        <v>5</v>
      </c>
      <c r="F13" s="20"/>
      <c r="G13" s="19" t="s">
        <v>629</v>
      </c>
      <c r="H13" s="20"/>
      <c r="I13" s="45"/>
      <c r="J13" s="20"/>
      <c r="K13" s="21"/>
      <c r="L13" s="20"/>
      <c r="M13" s="21"/>
      <c r="N13" s="18"/>
      <c r="Q13" s="51"/>
    </row>
    <row r="14" spans="1:18" s="4" customFormat="1">
      <c r="A14" s="19"/>
      <c r="B14" s="20"/>
      <c r="C14" s="19"/>
      <c r="D14" s="20"/>
      <c r="E14" s="19" t="s">
        <v>17</v>
      </c>
      <c r="F14" s="20"/>
      <c r="G14" s="19" t="s">
        <v>630</v>
      </c>
      <c r="H14" s="20"/>
      <c r="I14" s="21"/>
      <c r="J14" s="20"/>
      <c r="K14" s="21"/>
      <c r="L14" s="20"/>
      <c r="M14" s="21"/>
      <c r="N14" s="18"/>
      <c r="Q14" s="51"/>
    </row>
    <row r="15" spans="1:18" s="4" customFormat="1">
      <c r="A15" s="19"/>
      <c r="B15" s="20"/>
      <c r="C15" s="19"/>
      <c r="D15" s="20"/>
      <c r="E15" s="19" t="s">
        <v>6</v>
      </c>
      <c r="F15" s="20"/>
      <c r="G15" s="19" t="s">
        <v>631</v>
      </c>
      <c r="H15" s="20"/>
      <c r="I15" s="21"/>
      <c r="J15" s="20"/>
      <c r="K15" s="21"/>
      <c r="L15" s="20"/>
      <c r="M15" s="21"/>
      <c r="N15" s="18"/>
      <c r="Q15" s="51"/>
    </row>
    <row r="16" spans="1:18" s="4" customFormat="1">
      <c r="A16" s="19"/>
      <c r="B16" s="20"/>
      <c r="C16" s="19"/>
      <c r="D16" s="20"/>
      <c r="E16" s="19" t="s">
        <v>18</v>
      </c>
      <c r="F16" s="20"/>
      <c r="G16" s="19" t="s">
        <v>632</v>
      </c>
      <c r="H16" s="20"/>
      <c r="I16" s="21"/>
      <c r="J16" s="20"/>
      <c r="K16" s="21"/>
      <c r="L16" s="20"/>
      <c r="M16" s="21"/>
      <c r="N16" s="18"/>
      <c r="Q16" s="51"/>
    </row>
    <row r="17" spans="1:17" s="4" customFormat="1">
      <c r="A17" s="19"/>
      <c r="B17" s="20"/>
      <c r="C17" s="19"/>
      <c r="D17" s="20"/>
      <c r="E17" s="19" t="s">
        <v>7</v>
      </c>
      <c r="F17" s="20"/>
      <c r="G17" s="19" t="s">
        <v>633</v>
      </c>
      <c r="H17" s="20"/>
      <c r="I17" s="21"/>
      <c r="J17" s="20"/>
      <c r="K17" s="21"/>
      <c r="L17" s="20"/>
      <c r="M17" s="21"/>
      <c r="Q17" s="51"/>
    </row>
    <row r="18" spans="1:17" s="4" customFormat="1">
      <c r="A18" s="19"/>
      <c r="B18" s="20"/>
      <c r="C18" s="19"/>
      <c r="D18" s="20"/>
      <c r="E18" s="19" t="s">
        <v>549</v>
      </c>
      <c r="F18" s="20"/>
      <c r="G18" s="19" t="s">
        <v>634</v>
      </c>
      <c r="H18" s="20"/>
      <c r="I18" s="21"/>
      <c r="J18" s="20"/>
      <c r="K18" s="21"/>
      <c r="L18" s="20"/>
      <c r="M18" s="21"/>
      <c r="Q18" s="51"/>
    </row>
    <row r="19" spans="1:17" s="4" customFormat="1">
      <c r="A19" s="19"/>
      <c r="B19" s="20"/>
      <c r="C19" s="19"/>
      <c r="D19" s="20"/>
      <c r="E19" s="19" t="s">
        <v>550</v>
      </c>
      <c r="F19" s="20"/>
      <c r="G19" s="19" t="s">
        <v>635</v>
      </c>
      <c r="H19" s="20"/>
      <c r="I19" s="21"/>
      <c r="J19" s="20"/>
      <c r="K19" s="21"/>
      <c r="L19" s="20"/>
      <c r="M19" s="21"/>
      <c r="Q19" s="51"/>
    </row>
    <row r="20" spans="1:17" s="4" customFormat="1">
      <c r="A20" s="19"/>
      <c r="B20" s="20"/>
      <c r="C20" s="19"/>
      <c r="D20" s="20"/>
      <c r="E20" s="19" t="s">
        <v>551</v>
      </c>
      <c r="F20" s="20"/>
      <c r="G20" s="19" t="s">
        <v>636</v>
      </c>
      <c r="H20" s="20"/>
      <c r="I20" s="21"/>
      <c r="J20" s="20"/>
      <c r="K20" s="21"/>
      <c r="L20" s="20"/>
      <c r="M20" s="21"/>
      <c r="Q20" s="51"/>
    </row>
    <row r="21" spans="1:17" s="4" customFormat="1">
      <c r="A21" s="19"/>
      <c r="B21" s="20"/>
      <c r="C21" s="19"/>
      <c r="D21" s="20"/>
      <c r="E21" s="19" t="s">
        <v>552</v>
      </c>
      <c r="F21" s="20"/>
      <c r="G21" s="19" t="s">
        <v>637</v>
      </c>
      <c r="H21" s="20"/>
      <c r="I21" s="21"/>
      <c r="J21" s="20"/>
      <c r="K21" s="21"/>
      <c r="L21" s="20"/>
      <c r="M21" s="21"/>
      <c r="Q21" s="51"/>
    </row>
    <row r="22" spans="1:17" s="4" customFormat="1">
      <c r="A22" s="19"/>
      <c r="B22" s="20"/>
      <c r="C22" s="19"/>
      <c r="D22" s="20"/>
      <c r="E22" s="19" t="s">
        <v>553</v>
      </c>
      <c r="F22" s="20"/>
      <c r="G22" s="19" t="s">
        <v>638</v>
      </c>
      <c r="H22" s="20"/>
      <c r="I22" s="21"/>
      <c r="J22" s="20"/>
      <c r="K22" s="21"/>
      <c r="L22" s="20"/>
      <c r="M22" s="21"/>
      <c r="Q22" s="51"/>
    </row>
    <row r="23" spans="1:17" s="4" customFormat="1">
      <c r="A23" s="19"/>
      <c r="B23" s="20"/>
      <c r="C23" s="19"/>
      <c r="D23" s="20"/>
      <c r="E23" s="19" t="s">
        <v>554</v>
      </c>
      <c r="F23" s="20"/>
      <c r="G23" s="19" t="s">
        <v>639</v>
      </c>
      <c r="H23" s="20"/>
      <c r="I23" s="21"/>
      <c r="J23" s="20"/>
      <c r="K23" s="21"/>
      <c r="L23" s="20"/>
      <c r="M23" s="21"/>
      <c r="Q23" s="51"/>
    </row>
    <row r="24" spans="1:17" s="4" customFormat="1">
      <c r="A24" s="19"/>
      <c r="B24" s="20"/>
      <c r="C24" s="19"/>
      <c r="D24" s="20"/>
      <c r="E24" s="19" t="s">
        <v>612</v>
      </c>
      <c r="F24" s="20"/>
      <c r="G24" s="19" t="s">
        <v>640</v>
      </c>
      <c r="H24" s="20"/>
      <c r="I24" s="21"/>
      <c r="J24" s="20"/>
      <c r="K24" s="21"/>
      <c r="L24" s="20"/>
      <c r="M24" s="21"/>
      <c r="Q24" s="51"/>
    </row>
    <row r="25" spans="1:17" s="4" customFormat="1">
      <c r="A25" s="19"/>
      <c r="B25" s="20"/>
      <c r="C25" s="19"/>
      <c r="D25" s="20"/>
      <c r="E25" s="19" t="s">
        <v>613</v>
      </c>
      <c r="F25" s="20"/>
      <c r="G25" s="19" t="s">
        <v>641</v>
      </c>
      <c r="H25" s="20"/>
      <c r="I25" s="21"/>
      <c r="J25" s="20"/>
      <c r="K25" s="21"/>
      <c r="L25" s="20"/>
      <c r="M25" s="21"/>
      <c r="Q25" s="50"/>
    </row>
    <row r="26" spans="1:17" s="4" customFormat="1">
      <c r="A26" s="19"/>
      <c r="B26" s="20"/>
      <c r="C26" s="19"/>
      <c r="D26" s="20"/>
      <c r="E26" s="19" t="s">
        <v>614</v>
      </c>
      <c r="F26" s="20"/>
      <c r="G26" s="41" t="s">
        <v>642</v>
      </c>
      <c r="H26" s="20"/>
      <c r="I26" s="21"/>
      <c r="J26" s="20"/>
      <c r="K26" s="21"/>
      <c r="L26" s="20"/>
      <c r="M26" s="21"/>
      <c r="Q26" s="50"/>
    </row>
    <row r="27" spans="1:17" s="4" customFormat="1">
      <c r="A27" s="19"/>
      <c r="B27" s="20"/>
      <c r="C27" s="19"/>
      <c r="D27" s="20"/>
      <c r="E27" s="19" t="s">
        <v>615</v>
      </c>
      <c r="F27" s="20"/>
      <c r="G27" s="41" t="s">
        <v>643</v>
      </c>
      <c r="H27" s="20"/>
      <c r="I27" s="21"/>
      <c r="J27" s="20"/>
      <c r="K27" s="21"/>
      <c r="L27" s="20"/>
      <c r="M27" s="21"/>
      <c r="Q27" s="50"/>
    </row>
    <row r="28" spans="1:17" s="4" customFormat="1">
      <c r="A28" s="19"/>
      <c r="B28" s="20"/>
      <c r="C28" s="19"/>
      <c r="D28" s="20"/>
      <c r="E28" s="19" t="s">
        <v>616</v>
      </c>
      <c r="F28" s="20"/>
      <c r="G28" s="41" t="s">
        <v>644</v>
      </c>
      <c r="H28" s="20"/>
      <c r="I28" s="21"/>
      <c r="J28" s="20"/>
      <c r="K28" s="21"/>
      <c r="L28" s="20"/>
      <c r="M28" s="21"/>
      <c r="Q28" s="50"/>
    </row>
    <row r="29" spans="1:17" s="4" customFormat="1">
      <c r="A29" s="19"/>
      <c r="B29" s="20"/>
      <c r="C29" s="19"/>
      <c r="D29" s="20"/>
      <c r="E29" s="19" t="s">
        <v>617</v>
      </c>
      <c r="F29" s="20"/>
      <c r="G29" s="41" t="s">
        <v>645</v>
      </c>
      <c r="H29" s="20"/>
      <c r="I29" s="21"/>
      <c r="J29" s="20"/>
      <c r="K29" s="21"/>
      <c r="L29" s="20"/>
      <c r="M29" s="21"/>
      <c r="Q29" s="50"/>
    </row>
    <row r="30" spans="1:17" s="4" customFormat="1">
      <c r="A30" s="19"/>
      <c r="B30" s="20"/>
      <c r="C30" s="19"/>
      <c r="D30" s="20"/>
      <c r="E30" s="19" t="s">
        <v>683</v>
      </c>
      <c r="F30" s="20"/>
      <c r="G30" s="41" t="s">
        <v>646</v>
      </c>
      <c r="H30" s="20"/>
      <c r="I30" s="21"/>
      <c r="J30" s="20"/>
      <c r="K30" s="21"/>
      <c r="L30" s="20"/>
      <c r="M30" s="21"/>
      <c r="Q30" s="50"/>
    </row>
    <row r="31" spans="1:17" s="4" customFormat="1">
      <c r="A31" s="19"/>
      <c r="B31" s="20"/>
      <c r="C31" s="19"/>
      <c r="D31" s="20"/>
      <c r="E31" s="19" t="s">
        <v>684</v>
      </c>
      <c r="F31" s="20"/>
      <c r="G31" s="666" t="s">
        <v>647</v>
      </c>
      <c r="H31" s="20"/>
      <c r="I31" s="21"/>
      <c r="J31" s="20"/>
      <c r="K31" s="21"/>
      <c r="L31" s="20"/>
      <c r="M31" s="21"/>
      <c r="Q31" s="50"/>
    </row>
    <row r="32" spans="1:17" s="4" customFormat="1">
      <c r="A32" s="19"/>
      <c r="B32" s="20"/>
      <c r="C32" s="19"/>
      <c r="D32" s="20"/>
      <c r="E32" s="19" t="s">
        <v>679</v>
      </c>
      <c r="F32" s="20"/>
      <c r="G32" s="41" t="s">
        <v>648</v>
      </c>
      <c r="H32" s="20"/>
      <c r="I32" s="21"/>
      <c r="J32" s="20"/>
      <c r="K32" s="21"/>
      <c r="L32" s="20"/>
      <c r="M32" s="21"/>
      <c r="Q32" s="50"/>
    </row>
    <row r="33" spans="1:17" s="4" customFormat="1">
      <c r="A33" s="19"/>
      <c r="B33" s="20"/>
      <c r="C33" s="19"/>
      <c r="D33" s="20"/>
      <c r="E33" s="19" t="s">
        <v>680</v>
      </c>
      <c r="F33" s="20"/>
      <c r="G33" s="41" t="s">
        <v>649</v>
      </c>
      <c r="H33" s="20"/>
      <c r="I33" s="21"/>
      <c r="J33" s="20"/>
      <c r="K33" s="21"/>
      <c r="L33" s="20"/>
      <c r="M33" s="21"/>
      <c r="Q33" s="50"/>
    </row>
    <row r="34" spans="1:17" s="4" customFormat="1">
      <c r="A34" s="19"/>
      <c r="B34" s="20"/>
      <c r="C34" s="19"/>
      <c r="D34" s="20"/>
      <c r="E34" s="19" t="s">
        <v>681</v>
      </c>
      <c r="F34" s="20"/>
      <c r="G34" s="19" t="s">
        <v>650</v>
      </c>
      <c r="H34" s="20"/>
      <c r="I34" s="21"/>
      <c r="J34" s="20"/>
      <c r="K34" s="21"/>
      <c r="L34" s="20"/>
      <c r="M34" s="21"/>
      <c r="Q34" s="50"/>
    </row>
    <row r="35" spans="1:17" s="4" customFormat="1">
      <c r="A35" s="19"/>
      <c r="B35" s="20"/>
      <c r="C35" s="19"/>
      <c r="D35" s="20"/>
      <c r="E35" s="19" t="s">
        <v>682</v>
      </c>
      <c r="F35" s="20"/>
      <c r="G35" s="41" t="s">
        <v>651</v>
      </c>
      <c r="H35" s="20"/>
      <c r="I35" s="21"/>
      <c r="J35" s="20"/>
      <c r="K35" s="21"/>
      <c r="L35" s="20"/>
      <c r="M35" s="21"/>
      <c r="Q35" s="50"/>
    </row>
    <row r="36" spans="1:17" s="4" customFormat="1">
      <c r="A36" s="19"/>
      <c r="B36" s="20"/>
      <c r="C36" s="19"/>
      <c r="D36" s="20"/>
      <c r="E36" s="19" t="s">
        <v>598</v>
      </c>
      <c r="F36" s="20"/>
      <c r="G36" s="41" t="s">
        <v>652</v>
      </c>
      <c r="H36" s="20"/>
      <c r="I36" s="21"/>
      <c r="J36" s="20"/>
      <c r="K36" s="21"/>
      <c r="L36" s="20"/>
      <c r="M36" s="21"/>
      <c r="Q36" s="50"/>
    </row>
    <row r="37" spans="1:17" s="4" customFormat="1">
      <c r="A37" s="19"/>
      <c r="B37" s="20"/>
      <c r="C37" s="19"/>
      <c r="D37" s="20"/>
      <c r="E37" s="19" t="s">
        <v>599</v>
      </c>
      <c r="F37" s="20"/>
      <c r="G37" s="19" t="s">
        <v>653</v>
      </c>
      <c r="H37" s="20"/>
      <c r="I37" s="21"/>
      <c r="J37" s="20"/>
      <c r="K37" s="21"/>
      <c r="L37" s="20"/>
      <c r="M37" s="21"/>
      <c r="Q37" s="50"/>
    </row>
    <row r="38" spans="1:17" s="4" customFormat="1">
      <c r="A38" s="19"/>
      <c r="B38" s="20"/>
      <c r="C38" s="19"/>
      <c r="D38" s="20"/>
      <c r="E38" s="19" t="s">
        <v>600</v>
      </c>
      <c r="F38" s="20"/>
      <c r="G38" s="19" t="s">
        <v>654</v>
      </c>
      <c r="H38" s="20"/>
      <c r="I38" s="21"/>
      <c r="J38" s="20"/>
      <c r="K38" s="21"/>
      <c r="L38" s="20"/>
      <c r="M38" s="21"/>
      <c r="Q38" s="50"/>
    </row>
    <row r="39" spans="1:17" s="4" customFormat="1">
      <c r="A39" s="19"/>
      <c r="B39" s="20"/>
      <c r="C39" s="19"/>
      <c r="D39" s="20"/>
      <c r="E39" s="19" t="s">
        <v>601</v>
      </c>
      <c r="F39" s="20"/>
      <c r="G39" s="19" t="s">
        <v>655</v>
      </c>
      <c r="H39" s="20"/>
      <c r="I39" s="21"/>
      <c r="J39" s="20"/>
      <c r="K39" s="21"/>
      <c r="L39" s="20"/>
      <c r="M39" s="21"/>
      <c r="Q39" s="50"/>
    </row>
    <row r="40" spans="1:17" s="4" customFormat="1">
      <c r="A40" s="19"/>
      <c r="B40" s="20"/>
      <c r="C40" s="19"/>
      <c r="D40" s="20"/>
      <c r="E40" s="19" t="s">
        <v>602</v>
      </c>
      <c r="F40" s="20"/>
      <c r="G40" s="19" t="s">
        <v>656</v>
      </c>
      <c r="H40" s="20"/>
      <c r="I40" s="21"/>
      <c r="J40" s="20"/>
      <c r="K40" s="21"/>
      <c r="L40" s="20"/>
      <c r="M40" s="21"/>
      <c r="Q40" s="50"/>
    </row>
    <row r="41" spans="1:17" s="4" customFormat="1">
      <c r="A41" s="19"/>
      <c r="B41" s="20"/>
      <c r="C41" s="19"/>
      <c r="D41" s="20"/>
      <c r="E41" s="19" t="s">
        <v>603</v>
      </c>
      <c r="F41" s="20"/>
      <c r="G41" s="19" t="s">
        <v>657</v>
      </c>
      <c r="H41" s="20"/>
      <c r="I41" s="21"/>
      <c r="J41" s="20"/>
      <c r="K41" s="21"/>
      <c r="L41" s="20"/>
      <c r="M41" s="21"/>
      <c r="Q41" s="50"/>
    </row>
    <row r="42" spans="1:17" s="4" customFormat="1">
      <c r="A42" s="19"/>
      <c r="B42" s="20"/>
      <c r="C42" s="19"/>
      <c r="D42" s="20"/>
      <c r="E42" s="19" t="s">
        <v>606</v>
      </c>
      <c r="F42" s="20"/>
      <c r="G42" s="19" t="s">
        <v>658</v>
      </c>
      <c r="H42" s="20"/>
      <c r="I42" s="21"/>
      <c r="J42" s="20"/>
      <c r="K42" s="21"/>
      <c r="L42" s="20"/>
      <c r="M42" s="21"/>
      <c r="Q42" s="50"/>
    </row>
    <row r="43" spans="1:17" s="4" customFormat="1">
      <c r="A43" s="19"/>
      <c r="B43" s="20"/>
      <c r="C43" s="19"/>
      <c r="D43" s="20"/>
      <c r="E43" s="19" t="s">
        <v>607</v>
      </c>
      <c r="F43" s="20"/>
      <c r="G43" s="19" t="s">
        <v>659</v>
      </c>
      <c r="H43" s="20"/>
      <c r="I43" s="21"/>
      <c r="J43" s="20"/>
      <c r="K43" s="21"/>
      <c r="L43" s="20"/>
      <c r="M43" s="21"/>
      <c r="Q43" s="50"/>
    </row>
    <row r="44" spans="1:17" s="4" customFormat="1">
      <c r="A44" s="19"/>
      <c r="B44" s="20"/>
      <c r="C44" s="19"/>
      <c r="D44" s="20"/>
      <c r="E44" s="19" t="s">
        <v>608</v>
      </c>
      <c r="F44" s="20"/>
      <c r="G44" s="19" t="s">
        <v>660</v>
      </c>
      <c r="H44" s="20"/>
      <c r="I44" s="21"/>
      <c r="J44" s="20"/>
      <c r="K44" s="21"/>
      <c r="L44" s="20"/>
      <c r="M44" s="21"/>
      <c r="Q44" s="50"/>
    </row>
    <row r="45" spans="1:17" s="4" customFormat="1">
      <c r="A45" s="19"/>
      <c r="B45" s="20"/>
      <c r="C45" s="19"/>
      <c r="D45" s="20"/>
      <c r="E45" s="19" t="s">
        <v>609</v>
      </c>
      <c r="F45" s="20"/>
      <c r="G45" s="19" t="s">
        <v>661</v>
      </c>
      <c r="H45" s="20"/>
      <c r="I45" s="21"/>
      <c r="J45" s="20"/>
      <c r="K45" s="21"/>
      <c r="L45" s="20"/>
      <c r="M45" s="21"/>
      <c r="Q45" s="50"/>
    </row>
    <row r="46" spans="1:17" s="4" customFormat="1">
      <c r="A46" s="19"/>
      <c r="B46" s="20"/>
      <c r="C46" s="19"/>
      <c r="D46" s="20"/>
      <c r="E46" s="19" t="s">
        <v>610</v>
      </c>
      <c r="F46" s="20"/>
      <c r="G46" s="19" t="s">
        <v>662</v>
      </c>
      <c r="H46" s="20"/>
      <c r="I46" s="21"/>
      <c r="J46" s="20"/>
      <c r="K46" s="21"/>
      <c r="L46" s="20"/>
      <c r="M46" s="21"/>
      <c r="Q46" s="50"/>
    </row>
    <row r="47" spans="1:17" s="4" customFormat="1">
      <c r="A47" s="19"/>
      <c r="B47" s="20"/>
      <c r="C47" s="19"/>
      <c r="D47" s="20"/>
      <c r="E47" s="19" t="s">
        <v>611</v>
      </c>
      <c r="F47" s="20"/>
      <c r="G47" s="19" t="s">
        <v>663</v>
      </c>
      <c r="H47" s="20"/>
      <c r="I47" s="21"/>
      <c r="J47" s="20"/>
      <c r="K47" s="21"/>
      <c r="L47" s="20"/>
      <c r="M47" s="21"/>
      <c r="Q47" s="50"/>
    </row>
    <row r="48" spans="1:17" s="4" customFormat="1">
      <c r="A48" s="19"/>
      <c r="B48" s="20"/>
      <c r="C48" s="19"/>
      <c r="D48" s="20"/>
      <c r="E48" s="19" t="s">
        <v>543</v>
      </c>
      <c r="F48" s="20"/>
      <c r="G48" s="19" t="s">
        <v>664</v>
      </c>
      <c r="H48" s="20"/>
      <c r="I48" s="21"/>
      <c r="J48" s="20"/>
      <c r="K48" s="21"/>
      <c r="L48" s="20"/>
      <c r="M48" s="21"/>
      <c r="Q48" s="50"/>
    </row>
    <row r="49" spans="1:17" s="4" customFormat="1">
      <c r="A49" s="19"/>
      <c r="B49" s="20"/>
      <c r="C49" s="19"/>
      <c r="D49" s="20"/>
      <c r="E49" s="19" t="s">
        <v>544</v>
      </c>
      <c r="F49" s="20"/>
      <c r="G49" s="19" t="s">
        <v>665</v>
      </c>
      <c r="H49" s="20"/>
      <c r="I49" s="21"/>
      <c r="J49" s="20"/>
      <c r="K49" s="21"/>
      <c r="L49" s="20"/>
      <c r="M49" s="21"/>
      <c r="N49" s="18"/>
      <c r="Q49" s="50"/>
    </row>
    <row r="50" spans="1:17" s="4" customFormat="1">
      <c r="A50" s="19"/>
      <c r="B50" s="20"/>
      <c r="C50" s="19"/>
      <c r="D50" s="20"/>
      <c r="E50" s="19" t="s">
        <v>545</v>
      </c>
      <c r="F50" s="20"/>
      <c r="G50" s="19" t="s">
        <v>666</v>
      </c>
      <c r="H50" s="20"/>
      <c r="I50" s="21"/>
      <c r="J50" s="20"/>
      <c r="K50" s="21"/>
      <c r="L50" s="20"/>
      <c r="M50" s="21"/>
      <c r="N50" s="18"/>
      <c r="Q50" s="50"/>
    </row>
    <row r="51" spans="1:17" s="4" customFormat="1">
      <c r="A51" s="19"/>
      <c r="B51" s="20"/>
      <c r="C51" s="19"/>
      <c r="D51" s="20"/>
      <c r="E51" s="19" t="s">
        <v>546</v>
      </c>
      <c r="F51" s="20"/>
      <c r="G51" s="19" t="s">
        <v>667</v>
      </c>
      <c r="H51" s="20"/>
      <c r="I51" s="21"/>
      <c r="J51" s="20"/>
      <c r="K51" s="21"/>
      <c r="L51" s="20"/>
      <c r="M51" s="21"/>
      <c r="N51" s="18"/>
      <c r="Q51" s="50"/>
    </row>
    <row r="52" spans="1:17" s="4" customFormat="1">
      <c r="A52" s="19"/>
      <c r="B52" s="20"/>
      <c r="C52" s="19"/>
      <c r="D52" s="20"/>
      <c r="E52" s="19" t="s">
        <v>547</v>
      </c>
      <c r="F52" s="20"/>
      <c r="G52" s="19" t="s">
        <v>668</v>
      </c>
      <c r="H52" s="20"/>
      <c r="I52" s="21"/>
      <c r="J52" s="20"/>
      <c r="K52" s="21"/>
      <c r="L52" s="20"/>
      <c r="M52" s="21"/>
      <c r="N52" s="18"/>
      <c r="Q52" s="50"/>
    </row>
    <row r="53" spans="1:17" s="4" customFormat="1">
      <c r="A53" s="19"/>
      <c r="B53" s="20"/>
      <c r="C53" s="19"/>
      <c r="D53" s="20"/>
      <c r="E53" s="19" t="s">
        <v>548</v>
      </c>
      <c r="F53" s="20"/>
      <c r="G53" s="19" t="s">
        <v>669</v>
      </c>
      <c r="H53" s="20"/>
      <c r="I53" s="21"/>
      <c r="J53" s="20"/>
      <c r="K53" s="21"/>
      <c r="L53" s="20"/>
      <c r="M53" s="21"/>
      <c r="N53" s="18"/>
      <c r="Q53" s="50"/>
    </row>
    <row r="54" spans="1:17" s="4" customFormat="1">
      <c r="A54" s="19"/>
      <c r="B54" s="20"/>
      <c r="C54" s="19"/>
      <c r="D54" s="20"/>
      <c r="E54" s="19" t="s">
        <v>577</v>
      </c>
      <c r="F54" s="20"/>
      <c r="G54" s="19" t="s">
        <v>670</v>
      </c>
      <c r="H54" s="20"/>
      <c r="I54" s="21"/>
      <c r="J54" s="20"/>
      <c r="K54" s="21"/>
      <c r="L54" s="20"/>
      <c r="M54" s="21"/>
      <c r="N54" s="18"/>
      <c r="Q54" s="50"/>
    </row>
    <row r="55" spans="1:17" s="4" customFormat="1">
      <c r="A55" s="19"/>
      <c r="B55" s="20"/>
      <c r="C55" s="19"/>
      <c r="D55" s="20"/>
      <c r="E55" s="19" t="s">
        <v>183</v>
      </c>
      <c r="F55" s="20"/>
      <c r="G55" s="19" t="s">
        <v>671</v>
      </c>
      <c r="H55" s="20"/>
      <c r="I55" s="21"/>
      <c r="J55" s="20"/>
      <c r="K55" s="21"/>
      <c r="L55" s="20"/>
      <c r="M55" s="21"/>
      <c r="N55" s="18"/>
      <c r="Q55" s="50"/>
    </row>
    <row r="56" spans="1:17" s="4" customFormat="1">
      <c r="A56" s="19"/>
      <c r="B56" s="20"/>
      <c r="C56" s="19"/>
      <c r="D56" s="20"/>
      <c r="E56" s="19" t="s">
        <v>578</v>
      </c>
      <c r="F56" s="20"/>
      <c r="G56" s="19" t="s">
        <v>672</v>
      </c>
      <c r="H56" s="20"/>
      <c r="I56" s="21"/>
      <c r="J56" s="20"/>
      <c r="K56" s="21"/>
      <c r="L56" s="20"/>
      <c r="M56" s="21"/>
      <c r="N56" s="18"/>
      <c r="Q56" s="50"/>
    </row>
    <row r="57" spans="1:17" s="4" customFormat="1">
      <c r="A57" s="19"/>
      <c r="B57" s="20"/>
      <c r="C57" s="19"/>
      <c r="D57" s="20"/>
      <c r="E57" s="19" t="s">
        <v>230</v>
      </c>
      <c r="F57" s="20"/>
      <c r="G57" s="19" t="s">
        <v>673</v>
      </c>
      <c r="H57" s="20"/>
      <c r="I57" s="21"/>
      <c r="J57" s="20"/>
      <c r="K57" s="21"/>
      <c r="L57" s="20"/>
      <c r="M57" s="21"/>
      <c r="N57" s="18"/>
      <c r="Q57" s="50"/>
    </row>
    <row r="58" spans="1:17" s="4" customFormat="1">
      <c r="A58" s="19"/>
      <c r="B58" s="20"/>
      <c r="C58" s="19"/>
      <c r="D58" s="20"/>
      <c r="E58" s="19" t="s">
        <v>579</v>
      </c>
      <c r="F58" s="20"/>
      <c r="G58" s="19" t="s">
        <v>674</v>
      </c>
      <c r="H58" s="20"/>
      <c r="I58" s="21"/>
      <c r="J58" s="20"/>
      <c r="K58" s="21"/>
      <c r="L58" s="20"/>
      <c r="M58" s="21"/>
      <c r="N58" s="18"/>
      <c r="Q58" s="50"/>
    </row>
    <row r="59" spans="1:17" s="4" customFormat="1">
      <c r="A59" s="19"/>
      <c r="B59" s="20"/>
      <c r="C59" s="19"/>
      <c r="D59" s="20"/>
      <c r="E59" s="19" t="s">
        <v>231</v>
      </c>
      <c r="F59" s="20"/>
      <c r="G59" s="19" t="s">
        <v>675</v>
      </c>
      <c r="H59" s="20"/>
      <c r="I59" s="21"/>
      <c r="J59" s="20"/>
      <c r="K59" s="21"/>
      <c r="L59" s="20"/>
      <c r="M59" s="21"/>
      <c r="N59" s="18"/>
      <c r="Q59" s="50"/>
    </row>
    <row r="60" spans="1:17" s="4" customFormat="1">
      <c r="A60" s="19"/>
      <c r="B60" s="20"/>
      <c r="C60" s="19"/>
      <c r="D60" s="20"/>
      <c r="E60" s="19" t="s">
        <v>571</v>
      </c>
      <c r="F60" s="20"/>
      <c r="G60" s="19" t="s">
        <v>676</v>
      </c>
      <c r="H60" s="20"/>
      <c r="I60" s="21"/>
      <c r="J60" s="20"/>
      <c r="K60" s="21"/>
      <c r="L60" s="20"/>
      <c r="M60" s="21"/>
      <c r="N60" s="18"/>
      <c r="Q60" s="50"/>
    </row>
    <row r="61" spans="1:17" s="4" customFormat="1">
      <c r="A61" s="19"/>
      <c r="B61" s="20"/>
      <c r="C61" s="19"/>
      <c r="D61" s="20"/>
      <c r="E61" s="19" t="s">
        <v>186</v>
      </c>
      <c r="F61" s="20"/>
      <c r="G61" s="19" t="s">
        <v>677</v>
      </c>
      <c r="H61" s="20"/>
      <c r="I61" s="21"/>
      <c r="J61" s="20"/>
      <c r="K61" s="21"/>
      <c r="L61" s="20"/>
      <c r="M61" s="21"/>
      <c r="N61" s="18"/>
      <c r="Q61" s="50"/>
    </row>
    <row r="62" spans="1:17" s="4" customFormat="1">
      <c r="A62" s="19"/>
      <c r="B62" s="20"/>
      <c r="C62" s="19"/>
      <c r="D62" s="20"/>
      <c r="E62" s="19" t="s">
        <v>572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573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574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575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576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580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581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582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583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584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585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586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587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588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592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593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594</v>
      </c>
      <c r="F94" s="20"/>
      <c r="G94" s="21" t="s">
        <v>555</v>
      </c>
      <c r="H94" s="20"/>
      <c r="I94" s="21"/>
      <c r="J94" s="20"/>
      <c r="K94" s="21"/>
      <c r="L94" s="20"/>
      <c r="M94" s="21"/>
    </row>
    <row r="95" spans="1:17" s="4" customFormat="1">
      <c r="A95" s="19"/>
      <c r="B95" s="6"/>
      <c r="C95" s="19"/>
      <c r="D95" s="20"/>
      <c r="E95" s="19" t="s">
        <v>235</v>
      </c>
      <c r="F95" s="20"/>
      <c r="G95" s="21" t="s">
        <v>556</v>
      </c>
      <c r="H95" s="20"/>
      <c r="I95" s="21"/>
      <c r="J95" s="20"/>
      <c r="K95" s="21"/>
      <c r="L95" s="20"/>
      <c r="M95" s="21"/>
    </row>
    <row r="96" spans="1:17" s="4" customFormat="1">
      <c r="A96" s="19"/>
      <c r="B96" s="6"/>
      <c r="C96" s="19"/>
      <c r="D96" s="20"/>
      <c r="E96" s="19" t="s">
        <v>589</v>
      </c>
      <c r="F96" s="20"/>
      <c r="G96" s="21" t="s">
        <v>557</v>
      </c>
      <c r="H96" s="20"/>
      <c r="I96" s="21"/>
      <c r="J96" s="20"/>
      <c r="K96" s="21"/>
      <c r="L96" s="20"/>
      <c r="M96" s="21"/>
    </row>
    <row r="97" spans="1:13" s="4" customFormat="1">
      <c r="A97" s="19"/>
      <c r="B97" s="6"/>
      <c r="C97" s="19"/>
      <c r="D97" s="20"/>
      <c r="E97" s="19" t="s">
        <v>188</v>
      </c>
      <c r="F97" s="20"/>
      <c r="G97" s="21" t="s">
        <v>558</v>
      </c>
      <c r="H97" s="20"/>
      <c r="I97" s="21"/>
      <c r="J97" s="20"/>
      <c r="K97" s="21"/>
      <c r="L97" s="20"/>
      <c r="M97" s="21"/>
    </row>
    <row r="98" spans="1:13" s="4" customFormat="1">
      <c r="A98" s="5"/>
      <c r="B98" s="6"/>
      <c r="C98" s="19"/>
      <c r="D98" s="20"/>
      <c r="E98" s="19" t="s">
        <v>590</v>
      </c>
      <c r="F98" s="20"/>
      <c r="G98" s="21" t="s">
        <v>559</v>
      </c>
      <c r="H98" s="20"/>
      <c r="I98" s="21"/>
      <c r="J98" s="20"/>
      <c r="K98" s="21"/>
      <c r="L98" s="20"/>
      <c r="M98" s="21"/>
    </row>
    <row r="99" spans="1:13" s="4" customFormat="1">
      <c r="A99" s="5"/>
      <c r="B99" s="6"/>
      <c r="C99" s="19"/>
      <c r="D99" s="20"/>
      <c r="E99" s="19" t="s">
        <v>236</v>
      </c>
      <c r="F99" s="20"/>
      <c r="G99" s="21" t="s">
        <v>560</v>
      </c>
      <c r="H99" s="20"/>
      <c r="I99" s="21"/>
      <c r="J99" s="20"/>
      <c r="K99" s="21"/>
      <c r="L99" s="20"/>
      <c r="M99" s="21"/>
    </row>
    <row r="100" spans="1:13" s="4" customFormat="1">
      <c r="A100" s="5"/>
      <c r="B100" s="6"/>
      <c r="C100" s="19"/>
      <c r="D100" s="20"/>
      <c r="E100" s="19" t="s">
        <v>591</v>
      </c>
      <c r="F100" s="20"/>
      <c r="G100" s="21" t="s">
        <v>561</v>
      </c>
      <c r="H100" s="20"/>
      <c r="I100" s="21"/>
      <c r="J100" s="20"/>
      <c r="K100" s="21"/>
      <c r="L100" s="20"/>
      <c r="M100" s="21"/>
    </row>
    <row r="101" spans="1:13" s="4" customFormat="1">
      <c r="A101" s="5"/>
      <c r="B101" s="6"/>
      <c r="C101" s="19"/>
      <c r="D101" s="20"/>
      <c r="E101" s="19" t="s">
        <v>237</v>
      </c>
      <c r="F101" s="20"/>
      <c r="G101" s="21" t="s">
        <v>562</v>
      </c>
      <c r="H101" s="20"/>
      <c r="I101" s="21"/>
      <c r="J101" s="20"/>
      <c r="K101" s="21"/>
      <c r="L101" s="20"/>
      <c r="M101" s="21"/>
    </row>
    <row r="102" spans="1:13" s="4" customFormat="1">
      <c r="A102" s="5"/>
      <c r="B102" s="6"/>
      <c r="C102" s="19"/>
      <c r="D102" s="20"/>
      <c r="E102" s="19" t="s">
        <v>595</v>
      </c>
      <c r="F102" s="20"/>
      <c r="G102" s="21" t="s">
        <v>563</v>
      </c>
      <c r="H102" s="20"/>
      <c r="I102" s="21"/>
      <c r="J102" s="20"/>
      <c r="K102" s="21"/>
      <c r="L102" s="20"/>
      <c r="M102" s="21"/>
    </row>
    <row r="103" spans="1:13" s="4" customFormat="1">
      <c r="A103" s="5"/>
      <c r="B103" s="6"/>
      <c r="C103" s="19"/>
      <c r="D103" s="20"/>
      <c r="E103" s="19" t="s">
        <v>189</v>
      </c>
      <c r="F103" s="20"/>
      <c r="G103" s="21" t="s">
        <v>568</v>
      </c>
      <c r="H103" s="20"/>
      <c r="I103" s="21"/>
      <c r="J103" s="20"/>
      <c r="K103" s="21"/>
      <c r="L103" s="20"/>
      <c r="M103" s="21"/>
    </row>
    <row r="104" spans="1:13" s="4" customFormat="1">
      <c r="A104" s="5"/>
      <c r="B104" s="6"/>
      <c r="C104" s="19"/>
      <c r="D104" s="20"/>
      <c r="E104" s="19" t="s">
        <v>596</v>
      </c>
      <c r="F104" s="20"/>
      <c r="G104" s="21" t="s">
        <v>564</v>
      </c>
      <c r="H104" s="20"/>
      <c r="I104" s="21"/>
      <c r="J104" s="20"/>
      <c r="K104" s="21"/>
      <c r="L104" s="20"/>
      <c r="M104" s="21"/>
    </row>
    <row r="105" spans="1:13" s="4" customFormat="1">
      <c r="A105" s="5"/>
      <c r="B105" s="6"/>
      <c r="C105" s="19"/>
      <c r="D105" s="20"/>
      <c r="E105" s="19" t="s">
        <v>276</v>
      </c>
      <c r="F105" s="20"/>
      <c r="G105" s="21" t="s">
        <v>565</v>
      </c>
      <c r="H105" s="20"/>
      <c r="I105" s="21"/>
      <c r="J105" s="20"/>
      <c r="K105" s="21"/>
      <c r="L105" s="20"/>
      <c r="M105" s="21"/>
    </row>
    <row r="106" spans="1:13" s="4" customFormat="1">
      <c r="A106" s="5"/>
      <c r="B106" s="6"/>
      <c r="C106" s="19"/>
      <c r="D106" s="20"/>
      <c r="E106" s="19" t="s">
        <v>597</v>
      </c>
      <c r="F106" s="20"/>
      <c r="G106" s="21" t="s">
        <v>566</v>
      </c>
      <c r="H106" s="20"/>
      <c r="I106" s="21"/>
      <c r="J106" s="20"/>
      <c r="K106" s="21"/>
      <c r="L106" s="20"/>
      <c r="M106" s="21"/>
    </row>
    <row r="107" spans="1:13" s="4" customFormat="1">
      <c r="A107" s="5"/>
      <c r="B107" s="6"/>
      <c r="C107" s="19"/>
      <c r="D107" s="20"/>
      <c r="E107" s="19" t="s">
        <v>277</v>
      </c>
      <c r="F107" s="20"/>
      <c r="G107" s="21" t="s">
        <v>567</v>
      </c>
      <c r="H107" s="20"/>
      <c r="I107" s="21"/>
      <c r="J107" s="20"/>
      <c r="K107" s="21"/>
      <c r="L107" s="20"/>
      <c r="M107" s="21"/>
    </row>
    <row r="108" spans="1:13" s="4" customFormat="1">
      <c r="A108" s="5"/>
      <c r="B108" s="6"/>
      <c r="C108" s="19"/>
      <c r="D108" s="20"/>
      <c r="E108" s="19"/>
      <c r="F108" s="20"/>
      <c r="G108" s="21" t="s">
        <v>569</v>
      </c>
      <c r="H108" s="20"/>
      <c r="I108" s="21"/>
      <c r="J108" s="20"/>
      <c r="K108" s="21"/>
      <c r="L108" s="20"/>
      <c r="M108" s="21"/>
    </row>
    <row r="109" spans="1:13" s="4" customFormat="1">
      <c r="A109" s="5"/>
      <c r="B109" s="6"/>
      <c r="C109" s="19"/>
      <c r="D109" s="20"/>
      <c r="E109" s="19"/>
      <c r="F109" s="20"/>
      <c r="G109" s="21" t="s">
        <v>570</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2024-01-12T23:50:59Z</dcterms:modified>
</cp:coreProperties>
</file>