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37011205-BB27-4BFB-BE5D-C904F40C6131}" xr6:coauthVersionLast="47" xr6:coauthVersionMax="47" xr10:uidLastSave="{00000000-0000-0000-0000-000000000000}"/>
  <bookViews>
    <workbookView xWindow="4950" yWindow="133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3" i="38" l="1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80" i="38"/>
  <c r="Z79" i="38"/>
  <c r="Z78" i="38"/>
  <c r="Z75" i="38"/>
  <c r="Z74" i="38"/>
  <c r="Z73" i="38"/>
  <c r="Z72" i="38"/>
  <c r="Z69" i="38"/>
  <c r="Z68" i="38"/>
  <c r="Z67" i="38"/>
  <c r="Z66" i="38"/>
  <c r="Z63" i="38"/>
  <c r="Z62" i="38"/>
  <c r="Z61" i="38"/>
  <c r="Z60" i="38"/>
  <c r="Z57" i="38"/>
  <c r="Z56" i="38"/>
  <c r="Z55" i="38"/>
  <c r="Z54" i="38"/>
  <c r="Z49" i="38"/>
  <c r="Z48" i="38"/>
  <c r="Z51" i="38"/>
  <c r="Z50" i="38"/>
  <c r="AA81" i="38"/>
  <c r="AQ4" i="38"/>
  <c r="AP5" i="38" s="1"/>
  <c r="AN4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63" i="38"/>
  <c r="Y62" i="38"/>
  <c r="Y61" i="38"/>
  <c r="Y60" i="38"/>
  <c r="Y59" i="38"/>
  <c r="Y58" i="38"/>
  <c r="Y57" i="38"/>
  <c r="Y56" i="38"/>
  <c r="Y55" i="38"/>
  <c r="Y54" i="38"/>
  <c r="Y53" i="38"/>
  <c r="Y52" i="38"/>
  <c r="Y47" i="38"/>
  <c r="Y49" i="38"/>
  <c r="Y51" i="38"/>
  <c r="A2" i="38"/>
  <c r="A5" i="38" s="1"/>
  <c r="A11" i="38"/>
  <c r="A10" i="38"/>
  <c r="A13" i="38" s="1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81" i="38"/>
  <c r="W80" i="38"/>
  <c r="W79" i="38"/>
  <c r="W78" i="38"/>
  <c r="W77" i="38"/>
  <c r="W76" i="38"/>
  <c r="W75" i="38"/>
  <c r="W74" i="38"/>
  <c r="W73" i="38"/>
  <c r="W72" i="38"/>
  <c r="W71" i="38"/>
  <c r="W70" i="38"/>
  <c r="W67" i="38"/>
  <c r="W66" i="38"/>
  <c r="W61" i="38"/>
  <c r="W60" i="38"/>
  <c r="W55" i="38"/>
  <c r="W54" i="38"/>
  <c r="W49" i="38"/>
  <c r="W48" i="38"/>
  <c r="W69" i="38"/>
  <c r="W65" i="38"/>
  <c r="W59" i="38"/>
  <c r="W53" i="38"/>
  <c r="W47" i="38"/>
  <c r="W63" i="38"/>
  <c r="W57" i="38"/>
  <c r="W51" i="38"/>
  <c r="W68" i="38"/>
  <c r="W56" i="38"/>
  <c r="W62" i="38"/>
  <c r="AQ3" i="38"/>
  <c r="AQ2" i="38"/>
  <c r="AN12" i="38"/>
  <c r="AQ12" i="38"/>
  <c r="AP13" i="38" s="1"/>
  <c r="AQ10" i="38"/>
  <c r="AQ11" i="38"/>
  <c r="AQ9" i="38"/>
  <c r="AA151" i="38"/>
  <c r="W64" i="38"/>
  <c r="W52" i="38"/>
  <c r="W50" i="38"/>
  <c r="W46" i="38"/>
  <c r="AA153" i="38"/>
  <c r="AA152" i="38"/>
  <c r="AA147" i="38"/>
  <c r="AA146" i="38"/>
  <c r="AA145" i="38"/>
  <c r="AA141" i="38"/>
  <c r="AA140" i="38"/>
  <c r="AA139" i="38"/>
  <c r="AA135" i="38"/>
  <c r="AA134" i="38"/>
  <c r="AA133" i="38"/>
  <c r="AA129" i="38"/>
  <c r="AA128" i="38"/>
  <c r="AA127" i="38"/>
  <c r="AA117" i="38"/>
  <c r="AA116" i="38"/>
  <c r="AA115" i="38"/>
  <c r="AA111" i="38"/>
  <c r="AA110" i="38"/>
  <c r="AA109" i="38"/>
  <c r="AA105" i="38"/>
  <c r="AA104" i="38"/>
  <c r="AA103" i="38"/>
  <c r="AA99" i="38"/>
  <c r="AA98" i="38"/>
  <c r="AA97" i="38"/>
  <c r="AA93" i="38"/>
  <c r="AA92" i="38"/>
  <c r="AA91" i="38"/>
  <c r="AA87" i="38"/>
  <c r="AA86" i="38"/>
  <c r="AA85" i="38"/>
  <c r="AA80" i="38"/>
  <c r="AA79" i="38"/>
  <c r="AA75" i="38"/>
  <c r="AA74" i="38"/>
  <c r="AA73" i="38"/>
  <c r="AA69" i="38"/>
  <c r="AA68" i="38"/>
  <c r="AA67" i="38"/>
  <c r="AA63" i="38"/>
  <c r="AA62" i="38"/>
  <c r="AA61" i="38"/>
  <c r="AA57" i="38"/>
  <c r="AA56" i="38"/>
  <c r="AA55" i="38"/>
  <c r="AA49" i="38"/>
  <c r="AA48" i="38"/>
  <c r="A15" i="38"/>
  <c r="A14" i="38"/>
  <c r="A16" i="38" s="1"/>
  <c r="N16" i="38" s="1"/>
  <c r="A6" i="38"/>
  <c r="A9" i="38" s="1"/>
  <c r="Y45" i="38"/>
  <c r="Y44" i="38"/>
  <c r="Y43" i="38"/>
  <c r="Y42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A4" i="38" s="1"/>
  <c r="N4" i="38" s="1"/>
  <c r="AA121" i="38"/>
  <c r="Y50" i="38"/>
  <c r="Y48" i="38"/>
  <c r="Y46" i="38"/>
  <c r="AA50" i="38"/>
  <c r="AA123" i="38"/>
  <c r="AA122" i="38"/>
  <c r="AA120" i="38"/>
  <c r="AA51" i="38"/>
  <c r="AA42" i="38"/>
  <c r="AA44" i="38"/>
  <c r="AE1" i="38"/>
  <c r="Q48" i="46" s="1"/>
  <c r="AJ14" i="46"/>
  <c r="AJ13" i="46"/>
  <c r="AJ12" i="46"/>
  <c r="AJ11" i="46"/>
  <c r="AJ10" i="46"/>
  <c r="AJ9" i="46"/>
  <c r="AJ8" i="46"/>
  <c r="AJ7" i="46"/>
  <c r="AJ6" i="46"/>
  <c r="AJ5" i="46"/>
  <c r="AJ4" i="46"/>
  <c r="AJ3" i="46"/>
  <c r="X4" i="46"/>
  <c r="X5" i="46"/>
  <c r="X6" i="46"/>
  <c r="X7" i="46"/>
  <c r="X8" i="46"/>
  <c r="X9" i="46"/>
  <c r="X10" i="46"/>
  <c r="X11" i="46"/>
  <c r="X12" i="46"/>
  <c r="X13" i="46"/>
  <c r="X14" i="46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AD1" i="38"/>
  <c r="AC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12" i="38" l="1"/>
  <c r="M12" i="38" s="1"/>
  <c r="L2" i="38"/>
  <c r="AA54" i="38"/>
  <c r="AA60" i="38"/>
  <c r="AA66" i="38"/>
  <c r="AA72" i="38"/>
  <c r="AA78" i="38"/>
  <c r="AA84" i="38"/>
  <c r="AA90" i="38"/>
  <c r="AA96" i="38"/>
  <c r="AA102" i="38"/>
  <c r="AA108" i="38"/>
  <c r="AA114" i="38"/>
  <c r="AA126" i="38"/>
  <c r="AA132" i="38"/>
  <c r="AA138" i="38"/>
  <c r="AA144" i="38"/>
  <c r="AA150" i="38"/>
  <c r="L5" i="38"/>
  <c r="L10" i="38"/>
  <c r="L8" i="38"/>
  <c r="L6" i="38"/>
  <c r="L14" i="38"/>
  <c r="AA21" i="38"/>
  <c r="Z42" i="38"/>
  <c r="Z44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Z14" i="38" s="1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Y2" i="38" s="1"/>
  <c r="Z2" i="38" s="1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3" i="38" l="1"/>
  <c r="Y4" i="38" s="1"/>
  <c r="Z4" i="38" s="1"/>
  <c r="Y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Z5" i="38"/>
  <c r="AA4" i="38" s="1"/>
  <c r="Q46" i="46"/>
  <c r="Q47" i="46" s="1"/>
  <c r="Z10" i="38" l="1"/>
  <c r="AL5" i="46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Y15" i="38" s="1"/>
  <c r="Y16" i="38" l="1"/>
  <c r="Z16" i="38" s="1"/>
  <c r="Z15" i="38"/>
  <c r="AA14" i="38" s="1"/>
  <c r="A17" i="38" s="1"/>
  <c r="O17" i="38" l="1"/>
  <c r="L17" i="38"/>
  <c r="B17" i="38"/>
  <c r="C17" i="38"/>
  <c r="E17" i="38"/>
  <c r="F17" i="38"/>
  <c r="G17" i="38"/>
  <c r="D17" i="38"/>
  <c r="Y17" i="38" s="1"/>
  <c r="H17" i="38"/>
  <c r="M17" i="38"/>
  <c r="N17" i="38"/>
  <c r="I17" i="38"/>
  <c r="J17" i="38"/>
  <c r="K17" i="38"/>
  <c r="N11" i="38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Z17" i="38" l="1"/>
  <c r="AA16" i="38" s="1"/>
  <c r="Y11" i="38"/>
  <c r="Y12" i="38" s="1"/>
  <c r="Z12" i="38" s="1"/>
  <c r="Z11" i="38" l="1"/>
  <c r="AA10" i="38" s="1"/>
  <c r="O13" i="38" l="1"/>
  <c r="L13" i="38"/>
  <c r="E13" i="38"/>
  <c r="J13" i="38"/>
  <c r="K13" i="38"/>
  <c r="I13" i="38"/>
  <c r="N13" i="38"/>
  <c r="H13" i="38"/>
  <c r="G13" i="38"/>
  <c r="D13" i="38"/>
  <c r="Y13" i="38" s="1"/>
  <c r="Z13" i="38" s="1"/>
  <c r="AA12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Y9" i="38" l="1"/>
  <c r="Z9" i="38" s="1"/>
  <c r="AA8" i="38" s="1"/>
  <c r="Z7" i="38"/>
  <c r="AA6" i="38" s="1"/>
</calcChain>
</file>

<file path=xl/sharedStrings.xml><?xml version="1.0" encoding="utf-8"?>
<sst xmlns="http://schemas.openxmlformats.org/spreadsheetml/2006/main" count="1515" uniqueCount="688">
  <si>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</si>
  <si>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</si>
  <si>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</si>
  <si>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</si>
  <si>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</si>
  <si>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</si>
  <si>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</si>
  <si>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</si>
  <si>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</si>
  <si>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</si>
  <si>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</si>
  <si>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</si>
  <si>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</si>
  <si>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</si>
  <si>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</si>
  <si>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</si>
  <si>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</si>
  <si>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</si>
  <si>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</si>
  <si>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</si>
  <si>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</si>
  <si>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</si>
  <si>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</si>
  <si>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</si>
  <si>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</si>
  <si>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</si>
  <si>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</si>
  <si>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</si>
  <si>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</si>
  <si>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</si>
  <si>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</si>
  <si>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</si>
  <si>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</si>
  <si>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</si>
  <si>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</si>
  <si>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</si>
  <si>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</si>
  <si>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</si>
  <si>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</si>
  <si>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</si>
  <si>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</si>
  <si>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</si>
  <si>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</si>
  <si>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</si>
  <si>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</si>
  <si>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</si>
  <si>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</si>
  <si>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</si>
  <si>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</si>
  <si>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</si>
  <si>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</si>
  <si>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</si>
  <si>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</si>
  <si>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</si>
  <si>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</si>
  <si>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</si>
  <si>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</si>
  <si>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</si>
  <si>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</si>
  <si>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</si>
  <si>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</si>
  <si>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</si>
  <si>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</si>
  <si>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</si>
  <si>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</si>
  <si>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</si>
  <si>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</si>
  <si>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</si>
  <si>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</si>
  <si>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</si>
  <si>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</si>
  <si>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</si>
  <si>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</si>
  <si>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</si>
  <si>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</si>
  <si>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</si>
  <si>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</si>
  <si>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</si>
  <si>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</si>
  <si>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</si>
  <si>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</si>
  <si>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</si>
  <si>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</si>
  <si>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</si>
  <si>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</si>
  <si>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</si>
  <si>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</si>
  <si>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</si>
  <si>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</si>
  <si>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</si>
  <si>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</si>
  <si>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</si>
  <si>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</si>
  <si>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</si>
  <si>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</si>
  <si>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</si>
  <si>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</si>
  <si>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</si>
  <si>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</si>
  <si>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</si>
  <si>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</si>
  <si>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</si>
  <si>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</si>
  <si>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</si>
  <si>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</si>
  <si>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</si>
  <si>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</si>
  <si>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</si>
  <si>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</si>
  <si>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</si>
  <si>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</si>
  <si>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</si>
  <si>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</si>
  <si>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</si>
  <si>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</si>
  <si>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</si>
  <si>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</si>
  <si>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</si>
  <si>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</si>
  <si>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</si>
  <si>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</si>
  <si>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</si>
  <si>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</si>
  <si>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</si>
  <si>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</si>
  <si>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</si>
  <si>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</si>
  <si>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</si>
  <si>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</si>
  <si>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</si>
  <si>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</si>
  <si>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</si>
  <si>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</si>
  <si>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</si>
  <si>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</si>
  <si>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</si>
  <si>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</si>
  <si>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</si>
  <si>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</si>
  <si>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</si>
  <si>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</si>
  <si>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</si>
  <si>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</si>
  <si>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</si>
  <si>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</si>
  <si>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</si>
  <si>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</si>
  <si>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</si>
  <si>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</si>
  <si>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</si>
  <si>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</si>
  <si>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</si>
  <si>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</si>
  <si>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</si>
  <si>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</si>
  <si>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</si>
  <si>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</si>
  <si>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</si>
  <si>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</si>
  <si>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</si>
  <si>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</si>
  <si>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</si>
  <si>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</si>
  <si>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</si>
  <si>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</si>
  <si>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</si>
  <si>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</si>
  <si>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</si>
  <si>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</si>
  <si>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</si>
  <si>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</si>
  <si>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</si>
  <si>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</si>
  <si>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</si>
  <si>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</si>
  <si>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</si>
  <si>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</si>
  <si>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</si>
  <si>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</si>
  <si>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</si>
  <si>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</si>
  <si>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</si>
  <si>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</si>
  <si>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</si>
  <si>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</si>
  <si>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</si>
  <si>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</si>
  <si>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</si>
  <si>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</si>
  <si>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</si>
  <si>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</si>
  <si>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</si>
  <si>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</si>
  <si>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</si>
  <si>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</si>
  <si>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</si>
  <si>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</si>
  <si>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</si>
  <si>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</si>
  <si>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</si>
  <si>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</si>
  <si>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</si>
  <si>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</si>
  <si>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</si>
  <si>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</si>
  <si>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</si>
  <si>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</si>
  <si>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</si>
  <si>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</si>
  <si>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</si>
  <si>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</si>
  <si>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</si>
  <si>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</si>
  <si>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</si>
  <si>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</si>
  <si>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</si>
  <si>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</si>
  <si>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</si>
  <si>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</si>
  <si>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</si>
  <si>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</si>
  <si>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</si>
  <si>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</si>
  <si>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</si>
  <si>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</si>
  <si>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</si>
  <si>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</si>
  <si>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</si>
  <si>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</si>
  <si>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</si>
  <si>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</si>
  <si>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</si>
  <si>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</si>
  <si>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</si>
  <si>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</si>
  <si>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</si>
  <si>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</si>
  <si>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</si>
  <si>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</si>
  <si>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</si>
  <si>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</si>
  <si>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</si>
  <si>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</si>
  <si>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</si>
  <si>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</si>
  <si>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</si>
  <si>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</si>
  <si>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</si>
  <si>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</si>
  <si>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</si>
  <si>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</si>
  <si>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</si>
  <si>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</si>
  <si>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</si>
  <si>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</si>
  <si>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</si>
  <si>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</si>
  <si>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</si>
  <si>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</si>
  <si>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</si>
  <si>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</si>
  <si>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</si>
  <si>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</si>
  <si>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</si>
  <si>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</si>
  <si>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</si>
  <si>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</si>
  <si>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</si>
  <si>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</si>
  <si>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</si>
  <si>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</si>
  <si>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</si>
  <si>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</si>
  <si>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</si>
  <si>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</si>
  <si>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</si>
  <si>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</si>
  <si>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</si>
  <si>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</si>
  <si>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</si>
  <si>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</si>
  <si>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</si>
  <si>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</si>
  <si>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</si>
  <si>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</si>
  <si>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</si>
  <si>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</si>
  <si>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</si>
  <si>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</si>
  <si>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</si>
  <si>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</si>
  <si>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</si>
  <si>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</si>
  <si>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</si>
  <si>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</si>
  <si>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</si>
  <si>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</si>
  <si>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</si>
  <si>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</si>
  <si>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</si>
  <si>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</si>
  <si>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</si>
  <si>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</si>
  <si>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</si>
  <si>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</si>
  <si>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</si>
  <si>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</si>
  <si>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</si>
  <si>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</si>
  <si>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</si>
  <si>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</si>
  <si>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</si>
  <si>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</si>
  <si>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</si>
  <si>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</si>
  <si>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</si>
  <si>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</si>
  <si>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</si>
  <si>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</si>
  <si>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</si>
  <si>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</si>
  <si>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</si>
  <si>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</si>
  <si>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</si>
  <si>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</si>
  <si>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</si>
  <si>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</si>
  <si>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</si>
  <si>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</si>
  <si>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</si>
  <si>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</si>
  <si>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</si>
  <si>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</si>
  <si>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</si>
  <si>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</si>
  <si>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</si>
  <si>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</si>
  <si>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</si>
  <si>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</si>
  <si>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</si>
  <si>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</si>
  <si>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</si>
  <si>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</si>
  <si>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</si>
  <si>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</si>
  <si>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</si>
  <si>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</si>
  <si>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</si>
  <si>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</si>
  <si>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</si>
  <si>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</si>
  <si>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</si>
  <si>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</si>
  <si>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</si>
  <si>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</si>
  <si>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</si>
  <si>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</si>
  <si>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</si>
  <si>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</si>
  <si>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</si>
  <si>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</si>
  <si>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</si>
  <si>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</si>
  <si>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</si>
  <si>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</si>
  <si>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</si>
  <si>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</si>
  <si>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</si>
  <si>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</si>
  <si>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</si>
  <si>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</si>
  <si>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</si>
  <si>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</si>
  <si>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</si>
  <si>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</si>
  <si>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</si>
  <si>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</si>
  <si>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</si>
  <si>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</si>
  <si>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</si>
  <si>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</si>
  <si>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</si>
  <si>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</si>
  <si>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</si>
  <si>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</si>
  <si>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</si>
  <si>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</si>
  <si>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</si>
  <si>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</si>
  <si>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</si>
  <si>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</si>
  <si>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</si>
  <si>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</si>
  <si>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</si>
  <si>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</si>
  <si>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</si>
  <si>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</si>
  <si>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</si>
  <si>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</si>
  <si>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</si>
  <si>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</si>
  <si>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</si>
  <si>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</si>
  <si>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</si>
  <si>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</si>
  <si>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</si>
  <si>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</si>
  <si>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</si>
  <si>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</si>
  <si>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</si>
  <si>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</si>
  <si>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</si>
  <si>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</si>
  <si>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</si>
  <si>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</si>
  <si>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</si>
  <si>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</si>
  <si>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</si>
  <si>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</si>
  <si>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</si>
  <si>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</si>
  <si>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</si>
  <si>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</si>
  <si>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</si>
  <si>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</si>
  <si>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</si>
  <si>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</si>
  <si>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</si>
  <si>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</si>
  <si>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</si>
  <si>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</si>
  <si>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</si>
  <si>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</si>
  <si>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</si>
  <si>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</si>
  <si>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</si>
  <si>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</si>
  <si>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</si>
  <si>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</si>
  <si>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</si>
  <si>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</si>
  <si>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</si>
  <si>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</si>
  <si>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</si>
  <si>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</si>
  <si>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</si>
  <si>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</si>
  <si>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</si>
  <si>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</si>
  <si>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</si>
  <si>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</si>
  <si>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</si>
  <si>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</si>
  <si>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</si>
  <si>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</si>
  <si>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</si>
  <si>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</si>
  <si>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</si>
  <si>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</si>
  <si>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</si>
  <si>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</si>
  <si>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</si>
  <si>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</si>
  <si>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</si>
  <si>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</si>
  <si>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</si>
  <si>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</si>
  <si>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</si>
  <si>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</si>
  <si>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</si>
  <si>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</si>
  <si>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</si>
  <si>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</si>
  <si>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</si>
  <si>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</si>
  <si>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</si>
  <si>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</si>
  <si>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</si>
  <si>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</si>
  <si>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</si>
  <si>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</si>
  <si>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</si>
  <si>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</si>
  <si>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</si>
  <si>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</si>
  <si>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</si>
  <si>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</si>
  <si>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</si>
  <si>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</si>
  <si>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</si>
  <si>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</si>
  <si>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</si>
  <si>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</si>
  <si>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</si>
  <si>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</si>
  <si>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</si>
  <si>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</si>
  <si>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</si>
  <si>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</si>
  <si>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</si>
  <si>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</si>
  <si>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</si>
  <si>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</si>
  <si>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</si>
  <si>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</si>
  <si>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</si>
  <si>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</si>
  <si>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</si>
  <si>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</si>
  <si>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</si>
  <si>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</si>
  <si>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</si>
  <si>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</si>
  <si>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</si>
  <si>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</si>
  <si>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</si>
  <si>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</si>
  <si>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</si>
  <si>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</si>
  <si>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</si>
  <si>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</si>
  <si>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</si>
  <si>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</si>
  <si>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</si>
  <si>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</si>
  <si>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</si>
  <si>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</si>
  <si>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</si>
  <si>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</si>
  <si>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</si>
  <si>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</si>
  <si>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</si>
  <si>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</si>
  <si>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</si>
  <si>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</si>
  <si>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</si>
  <si>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</si>
  <si>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</si>
  <si>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</si>
  <si>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</si>
  <si>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</si>
  <si>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</si>
  <si>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</si>
  <si>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</si>
  <si>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</si>
  <si>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</si>
  <si>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</si>
  <si>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</si>
  <si>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</si>
  <si>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</si>
  <si>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</si>
  <si>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</si>
  <si>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</si>
  <si>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</si>
  <si>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</si>
  <si>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</si>
  <si>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</si>
  <si>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</si>
  <si>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</si>
  <si>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</si>
  <si>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</si>
  <si>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</si>
  <si>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</si>
  <si>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</si>
  <si>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</si>
  <si>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</si>
  <si>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</si>
  <si>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</si>
  <si>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</si>
  <si>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</si>
  <si>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</si>
  <si>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</si>
  <si>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</si>
  <si>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</si>
  <si>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</si>
  <si>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</si>
  <si>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</si>
  <si>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</si>
  <si>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</si>
  <si>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</si>
  <si>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</si>
  <si>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</si>
  <si>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</si>
  <si>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</si>
  <si>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</si>
  <si>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</si>
  <si>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</si>
  <si>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</si>
  <si>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</si>
  <si>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</si>
  <si>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</si>
  <si>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</si>
  <si>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</si>
  <si>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</si>
  <si>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</si>
  <si>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</si>
  <si>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</si>
  <si>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</si>
  <si>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</si>
  <si>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</si>
  <si>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</si>
  <si>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</si>
  <si>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</si>
  <si>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</si>
  <si>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</si>
  <si>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</si>
  <si>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GFGC700.FE</t>
  </si>
  <si>
    <t>GFGC910.FE</t>
  </si>
  <si>
    <t>GFGC950.FE</t>
  </si>
  <si>
    <t>GFGC990.FE</t>
  </si>
  <si>
    <t>GFGC1050FE</t>
  </si>
  <si>
    <t>GFGC1150FE</t>
  </si>
  <si>
    <t>GFGC1200FE</t>
  </si>
  <si>
    <t>GFGC1250FE</t>
  </si>
  <si>
    <t>GFGC1300FE</t>
  </si>
  <si>
    <t>GFGC1350FE</t>
  </si>
  <si>
    <t>GFGC1400FE</t>
  </si>
  <si>
    <t>GFGC1450FE</t>
  </si>
  <si>
    <t>GFGC14915F</t>
  </si>
  <si>
    <t>GFGC1570FE</t>
  </si>
  <si>
    <t>GFGC1640FE</t>
  </si>
  <si>
    <t>GFGC17015F</t>
  </si>
  <si>
    <t>GFGC17715F</t>
  </si>
  <si>
    <t>GFGC18515F</t>
  </si>
  <si>
    <t>GFGC19315F</t>
  </si>
  <si>
    <t>GFGC2020FE</t>
  </si>
  <si>
    <t>GFGC2100FE</t>
  </si>
  <si>
    <t>GFGC2200FE</t>
  </si>
  <si>
    <t>GFGC2300FE</t>
  </si>
  <si>
    <t>GFGC2400FE</t>
  </si>
  <si>
    <t>GFGC2500FE</t>
  </si>
  <si>
    <t>GFGC2600FE</t>
  </si>
  <si>
    <t>GFGC2700FE</t>
  </si>
  <si>
    <t>GFGC2800FE</t>
  </si>
  <si>
    <t>GFGC2900FE</t>
  </si>
  <si>
    <t>GFGC3000FE</t>
  </si>
  <si>
    <t>GFGV700.FE</t>
  </si>
  <si>
    <t>GFGV910.FE</t>
  </si>
  <si>
    <t>GFGV950.FE</t>
  </si>
  <si>
    <t>GFGV990.FE</t>
  </si>
  <si>
    <t>GFGV1050FE</t>
  </si>
  <si>
    <t>GFGV1150FE</t>
  </si>
  <si>
    <t>GFGV1200FE</t>
  </si>
  <si>
    <t>GFGV1250FE</t>
  </si>
  <si>
    <t>GFGV1300FE</t>
  </si>
  <si>
    <t>GFGV1350FE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</si>
  <si>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</si>
  <si>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</si>
  <si>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</si>
  <si>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</si>
  <si>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</si>
  <si>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</si>
  <si>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</si>
  <si>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</si>
  <si>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</si>
  <si>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</si>
  <si>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</si>
  <si>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</si>
  <si>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GFGV2300FE</t>
  </si>
  <si>
    <t>GFGV2400FE</t>
  </si>
  <si>
    <t>GFGV2500FE</t>
  </si>
  <si>
    <t>GFGV2600FE</t>
  </si>
  <si>
    <t>GFGV2700FE</t>
  </si>
  <si>
    <t>GFGV2800FE</t>
  </si>
  <si>
    <t>GFGV2900FE</t>
  </si>
  <si>
    <t>GFGV3000FE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</si>
  <si>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</si>
  <si>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</si>
  <si>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</si>
  <si>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</si>
  <si>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</si>
  <si>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</si>
  <si>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</si>
  <si>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</si>
  <si>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</si>
  <si>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</si>
  <si>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</si>
  <si>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</si>
  <si>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</si>
  <si>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</si>
  <si>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</si>
  <si>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</si>
  <si>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</si>
  <si>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</si>
  <si>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</si>
  <si>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</si>
  <si>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NO</t>
  </si>
  <si>
    <t>ENVIAR ORDENES: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</si>
</sst>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0"/>
  </numFmts>
  <fonts count="12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rgb="FF12782D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14999847407452621"/>
        <bgColor theme="9" tint="0.59999389629810485"/>
      </patternFill>
    </fill>
    <fill>
      <patternFill patternType="solid">
        <fgColor theme="3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2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 style="thin">
        <color theme="1" tint="0.14999847407452621"/>
      </right>
      <top style="thin">
        <color theme="0"/>
      </top>
      <bottom style="thin">
        <color rgb="FFFFFF99"/>
      </bottom>
      <diagonal/>
    </border>
    <border>
      <left/>
      <right/>
      <top style="thin">
        <color theme="0"/>
      </top>
      <bottom style="thin">
        <color rgb="FFFFFF9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/>
      </top>
      <bottom/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/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5" fillId="0" borderId="0" applyFont="0" applyFill="0" applyBorder="0" applyAlignment="0" applyProtection="0"/>
    <xf numFmtId="0" fontId="36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6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7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7" fillId="42" borderId="0" applyNumberFormat="0" applyBorder="0" applyAlignment="0" applyProtection="0"/>
    <xf numFmtId="0" fontId="117" fillId="43" borderId="0" applyNumberFormat="0" applyBorder="0" applyAlignment="0" applyProtection="0"/>
    <xf numFmtId="0" fontId="117" fillId="44" borderId="0" applyNumberFormat="0" applyBorder="0" applyAlignment="0" applyProtection="0"/>
  </cellStyleXfs>
  <cellXfs count="841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9" fillId="10" borderId="10" xfId="55" applyNumberFormat="1" applyFont="1" applyFill="1" applyBorder="1" applyAlignment="1">
      <alignment horizontal="right" vertical="center"/>
    </xf>
    <xf numFmtId="0" fontId="13" fillId="17" borderId="12" xfId="15" applyFont="1" applyFill="1" applyBorder="1" applyAlignment="1">
      <alignment horizontal="center" vertical="center"/>
    </xf>
    <xf numFmtId="0" fontId="43" fillId="0" borderId="5" xfId="0" applyFont="1" applyBorder="1" applyAlignment="1">
      <alignment horizontal="center"/>
    </xf>
    <xf numFmtId="0" fontId="43" fillId="0" borderId="5" xfId="3" applyFont="1" applyBorder="1" applyAlignment="1">
      <alignment horizontal="center" vertical="center"/>
    </xf>
    <xf numFmtId="10" fontId="31" fillId="10" borderId="10" xfId="114" applyNumberFormat="1" applyFont="1" applyFill="1" applyBorder="1" applyAlignment="1">
      <alignment horizontal="right" vertical="center"/>
    </xf>
    <xf numFmtId="168" fontId="44" fillId="16" borderId="8" xfId="15" applyNumberFormat="1" applyFont="1" applyFill="1" applyBorder="1" applyAlignment="1">
      <alignment horizontal="center" vertical="center"/>
    </xf>
    <xf numFmtId="0" fontId="45" fillId="16" borderId="8" xfId="15" applyFont="1" applyFill="1" applyBorder="1" applyAlignment="1">
      <alignment horizontal="center" vertical="center"/>
    </xf>
    <xf numFmtId="0" fontId="46" fillId="19" borderId="13" xfId="0" applyFont="1" applyFill="1" applyBorder="1" applyAlignment="1">
      <alignment vertical="center"/>
    </xf>
    <xf numFmtId="0" fontId="47" fillId="19" borderId="14" xfId="0" applyFont="1" applyFill="1" applyBorder="1" applyAlignment="1">
      <alignment horizontal="center" vertical="center"/>
    </xf>
    <xf numFmtId="1" fontId="47" fillId="19" borderId="14" xfId="0" applyNumberFormat="1" applyFont="1" applyFill="1" applyBorder="1" applyAlignment="1">
      <alignment horizontal="center" vertical="center"/>
    </xf>
    <xf numFmtId="0" fontId="47" fillId="19" borderId="14" xfId="0" applyFont="1" applyFill="1" applyBorder="1" applyAlignment="1">
      <alignment vertical="center"/>
    </xf>
    <xf numFmtId="164" fontId="47" fillId="19" borderId="14" xfId="0" applyNumberFormat="1" applyFont="1" applyFill="1" applyBorder="1" applyAlignment="1">
      <alignment vertical="center"/>
    </xf>
    <xf numFmtId="2" fontId="47" fillId="19" borderId="14" xfId="0" applyNumberFormat="1" applyFont="1" applyFill="1" applyBorder="1" applyAlignment="1">
      <alignment vertical="center"/>
    </xf>
    <xf numFmtId="0" fontId="48" fillId="19" borderId="15" xfId="0" applyFont="1" applyFill="1" applyBorder="1" applyAlignment="1">
      <alignment vertical="center"/>
    </xf>
    <xf numFmtId="0" fontId="48" fillId="19" borderId="2" xfId="0" applyFont="1" applyFill="1" applyBorder="1" applyAlignment="1">
      <alignment vertical="center"/>
    </xf>
    <xf numFmtId="0" fontId="49" fillId="19" borderId="2" xfId="0" applyFont="1" applyFill="1" applyBorder="1" applyAlignment="1">
      <alignment vertical="center"/>
    </xf>
    <xf numFmtId="0" fontId="50" fillId="19" borderId="2" xfId="0" applyFont="1" applyFill="1" applyBorder="1" applyAlignment="1">
      <alignment horizontal="center" vertical="center"/>
    </xf>
    <xf numFmtId="0" fontId="46" fillId="19" borderId="2" xfId="0" applyFont="1" applyFill="1" applyBorder="1" applyAlignment="1">
      <alignment vertical="center"/>
    </xf>
    <xf numFmtId="0" fontId="47" fillId="19" borderId="2" xfId="0" applyFont="1" applyFill="1" applyBorder="1" applyAlignment="1">
      <alignment vertical="center"/>
    </xf>
    <xf numFmtId="0" fontId="51" fillId="19" borderId="2" xfId="0" applyFont="1" applyFill="1" applyBorder="1" applyAlignment="1">
      <alignment vertical="center"/>
    </xf>
    <xf numFmtId="0" fontId="46" fillId="19" borderId="2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 vertical="center"/>
    </xf>
    <xf numFmtId="1" fontId="49" fillId="19" borderId="2" xfId="0" applyNumberFormat="1" applyFont="1" applyFill="1" applyBorder="1" applyAlignment="1">
      <alignment horizontal="center" vertical="center"/>
    </xf>
    <xf numFmtId="2" fontId="49" fillId="19" borderId="2" xfId="0" applyNumberFormat="1" applyFont="1" applyFill="1" applyBorder="1" applyAlignment="1">
      <alignment horizontal="right" vertical="center"/>
    </xf>
    <xf numFmtId="0" fontId="48" fillId="0" borderId="0" xfId="0" applyFont="1" applyAlignment="1">
      <alignment vertical="center"/>
    </xf>
    <xf numFmtId="0" fontId="52" fillId="20" borderId="13" xfId="0" applyFont="1" applyFill="1" applyBorder="1" applyAlignment="1">
      <alignment horizontal="center" vertical="center"/>
    </xf>
    <xf numFmtId="0" fontId="53" fillId="20" borderId="16" xfId="0" applyFont="1" applyFill="1" applyBorder="1" applyAlignment="1">
      <alignment horizontal="center" vertical="center"/>
    </xf>
    <xf numFmtId="1" fontId="52" fillId="20" borderId="17" xfId="0" applyNumberFormat="1" applyFont="1" applyFill="1" applyBorder="1" applyAlignment="1">
      <alignment horizontal="center" vertical="center"/>
    </xf>
    <xf numFmtId="0" fontId="52" fillId="20" borderId="18" xfId="0" applyFont="1" applyFill="1" applyBorder="1" applyAlignment="1">
      <alignment horizontal="center" vertical="center"/>
    </xf>
    <xf numFmtId="164" fontId="52" fillId="20" borderId="19" xfId="0" applyNumberFormat="1" applyFont="1" applyFill="1" applyBorder="1" applyAlignment="1">
      <alignment horizontal="center" vertical="center"/>
    </xf>
    <xf numFmtId="164" fontId="52" fillId="20" borderId="20" xfId="0" applyNumberFormat="1" applyFont="1" applyFill="1" applyBorder="1" applyAlignment="1">
      <alignment horizontal="center" vertical="center"/>
    </xf>
    <xf numFmtId="2" fontId="53" fillId="20" borderId="19" xfId="0" applyNumberFormat="1" applyFont="1" applyFill="1" applyBorder="1" applyAlignment="1">
      <alignment horizontal="center" vertical="center"/>
    </xf>
    <xf numFmtId="0" fontId="52" fillId="20" borderId="17" xfId="0" applyFont="1" applyFill="1" applyBorder="1" applyAlignment="1">
      <alignment horizontal="center" vertical="center"/>
    </xf>
    <xf numFmtId="0" fontId="52" fillId="20" borderId="21" xfId="0" applyFont="1" applyFill="1" applyBorder="1" applyAlignment="1">
      <alignment horizontal="center" vertical="center"/>
    </xf>
    <xf numFmtId="2" fontId="52" fillId="20" borderId="16" xfId="0" applyNumberFormat="1" applyFont="1" applyFill="1" applyBorder="1" applyAlignment="1">
      <alignment horizontal="center" vertical="center"/>
    </xf>
    <xf numFmtId="2" fontId="52" fillId="20" borderId="21" xfId="0" applyNumberFormat="1" applyFont="1" applyFill="1" applyBorder="1" applyAlignment="1">
      <alignment horizontal="center" vertical="center"/>
    </xf>
    <xf numFmtId="3" fontId="53" fillId="20" borderId="22" xfId="0" applyNumberFormat="1" applyFont="1" applyFill="1" applyBorder="1" applyAlignment="1">
      <alignment horizontal="center" vertical="center"/>
    </xf>
    <xf numFmtId="3" fontId="53" fillId="20" borderId="23" xfId="0" applyNumberFormat="1" applyFont="1" applyFill="1" applyBorder="1" applyAlignment="1">
      <alignment horizontal="center" vertical="center"/>
    </xf>
    <xf numFmtId="0" fontId="55" fillId="19" borderId="2" xfId="0" applyFont="1" applyFill="1" applyBorder="1" applyAlignment="1">
      <alignment vertical="center"/>
    </xf>
    <xf numFmtId="0" fontId="52" fillId="21" borderId="24" xfId="0" applyFont="1" applyFill="1" applyBorder="1" applyAlignment="1">
      <alignment horizontal="center" vertical="center"/>
    </xf>
    <xf numFmtId="0" fontId="53" fillId="22" borderId="26" xfId="0" applyFont="1" applyFill="1" applyBorder="1" applyAlignment="1">
      <alignment horizontal="center" vertical="center"/>
    </xf>
    <xf numFmtId="0" fontId="53" fillId="20" borderId="27" xfId="0" applyFont="1" applyFill="1" applyBorder="1" applyAlignment="1">
      <alignment horizontal="center" vertical="center"/>
    </xf>
    <xf numFmtId="0" fontId="52" fillId="20" borderId="28" xfId="0" applyFont="1" applyFill="1" applyBorder="1" applyAlignment="1">
      <alignment horizontal="center" vertical="center"/>
    </xf>
    <xf numFmtId="0" fontId="53" fillId="20" borderId="19" xfId="0" applyFont="1" applyFill="1" applyBorder="1" applyAlignment="1">
      <alignment horizontal="center" vertical="center"/>
    </xf>
    <xf numFmtId="1" fontId="52" fillId="20" borderId="14" xfId="0" applyNumberFormat="1" applyFont="1" applyFill="1" applyBorder="1" applyAlignment="1">
      <alignment horizontal="center" vertical="center"/>
    </xf>
    <xf numFmtId="2" fontId="52" fillId="20" borderId="19" xfId="0" applyNumberFormat="1" applyFont="1" applyFill="1" applyBorder="1" applyAlignment="1">
      <alignment horizontal="center" vertical="center"/>
    </xf>
    <xf numFmtId="2" fontId="52" fillId="20" borderId="18" xfId="0" applyNumberFormat="1" applyFont="1" applyFill="1" applyBorder="1" applyAlignment="1">
      <alignment horizontal="center" vertical="center"/>
    </xf>
    <xf numFmtId="0" fontId="53" fillId="20" borderId="14" xfId="0" applyFont="1" applyFill="1" applyBorder="1" applyAlignment="1">
      <alignment horizontal="center" vertical="center"/>
    </xf>
    <xf numFmtId="0" fontId="53" fillId="20" borderId="18" xfId="0" applyFont="1" applyFill="1" applyBorder="1" applyAlignment="1">
      <alignment horizontal="center" vertical="center"/>
    </xf>
    <xf numFmtId="0" fontId="56" fillId="24" borderId="29" xfId="0" applyFont="1" applyFill="1" applyBorder="1" applyAlignment="1">
      <alignment horizontal="center" vertical="center"/>
    </xf>
    <xf numFmtId="0" fontId="56" fillId="24" borderId="30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6" fillId="25" borderId="30" xfId="0" applyFont="1" applyFill="1" applyBorder="1" applyAlignment="1">
      <alignment horizontal="center" vertical="center"/>
    </xf>
    <xf numFmtId="0" fontId="56" fillId="26" borderId="29" xfId="0" applyFont="1" applyFill="1" applyBorder="1" applyAlignment="1">
      <alignment horizontal="center" vertical="center"/>
    </xf>
    <xf numFmtId="0" fontId="56" fillId="26" borderId="30" xfId="0" applyFont="1" applyFill="1" applyBorder="1" applyAlignment="1">
      <alignment horizontal="center" vertical="center"/>
    </xf>
    <xf numFmtId="0" fontId="56" fillId="26" borderId="31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57" fillId="24" borderId="32" xfId="0" applyFont="1" applyFill="1" applyBorder="1" applyAlignment="1">
      <alignment horizontal="center" vertical="center"/>
    </xf>
    <xf numFmtId="2" fontId="59" fillId="27" borderId="34" xfId="0" applyNumberFormat="1" applyFont="1" applyFill="1" applyBorder="1" applyAlignment="1">
      <alignment horizontal="center" vertical="center"/>
    </xf>
    <xf numFmtId="9" fontId="49" fillId="29" borderId="33" xfId="0" applyNumberFormat="1" applyFont="1" applyFill="1" applyBorder="1" applyAlignment="1">
      <alignment horizontal="center" vertical="center"/>
    </xf>
    <xf numFmtId="3" fontId="60" fillId="30" borderId="40" xfId="0" applyNumberFormat="1" applyFont="1" applyFill="1" applyBorder="1" applyAlignment="1">
      <alignment horizontal="right" vertical="center"/>
    </xf>
    <xf numFmtId="2" fontId="46" fillId="31" borderId="34" xfId="2" applyNumberFormat="1" applyFont="1" applyFill="1" applyBorder="1" applyAlignment="1">
      <alignment horizontal="center" vertical="center"/>
    </xf>
    <xf numFmtId="0" fontId="61" fillId="32" borderId="34" xfId="0" applyFont="1" applyFill="1" applyBorder="1" applyAlignment="1">
      <alignment horizontal="center" vertical="center"/>
    </xf>
    <xf numFmtId="1" fontId="62" fillId="33" borderId="34" xfId="0" applyNumberFormat="1" applyFont="1" applyFill="1" applyBorder="1" applyAlignment="1">
      <alignment horizontal="center" vertical="center"/>
    </xf>
    <xf numFmtId="4" fontId="46" fillId="34" borderId="34" xfId="0" applyNumberFormat="1" applyFont="1" applyFill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2" fontId="63" fillId="31" borderId="34" xfId="0" applyNumberFormat="1" applyFont="1" applyFill="1" applyBorder="1" applyAlignment="1">
      <alignment horizontal="center" vertical="center"/>
    </xf>
    <xf numFmtId="1" fontId="46" fillId="31" borderId="34" xfId="0" applyNumberFormat="1" applyFont="1" applyFill="1" applyBorder="1" applyAlignment="1">
      <alignment horizontal="center" vertical="center"/>
    </xf>
    <xf numFmtId="14" fontId="46" fillId="27" borderId="41" xfId="0" applyNumberFormat="1" applyFont="1" applyFill="1" applyBorder="1" applyAlignment="1">
      <alignment horizontal="center" vertical="center"/>
    </xf>
    <xf numFmtId="0" fontId="46" fillId="24" borderId="42" xfId="0" applyFont="1" applyFill="1" applyBorder="1" applyAlignment="1">
      <alignment horizontal="center" vertical="center"/>
    </xf>
    <xf numFmtId="0" fontId="64" fillId="27" borderId="37" xfId="0" applyFont="1" applyFill="1" applyBorder="1" applyAlignment="1">
      <alignment horizontal="center" vertical="center"/>
    </xf>
    <xf numFmtId="2" fontId="46" fillId="27" borderId="35" xfId="0" applyNumberFormat="1" applyFont="1" applyFill="1" applyBorder="1" applyAlignment="1">
      <alignment horizontal="center" vertical="center"/>
    </xf>
    <xf numFmtId="0" fontId="46" fillId="35" borderId="45" xfId="0" applyFont="1" applyFill="1" applyBorder="1" applyAlignment="1">
      <alignment horizontal="center" vertical="center"/>
    </xf>
    <xf numFmtId="0" fontId="59" fillId="27" borderId="35" xfId="0" applyFont="1" applyFill="1" applyBorder="1" applyAlignment="1">
      <alignment horizontal="center" vertical="center"/>
    </xf>
    <xf numFmtId="0" fontId="46" fillId="36" borderId="45" xfId="0" applyFont="1" applyFill="1" applyBorder="1" applyAlignment="1">
      <alignment horizontal="center" vertical="center"/>
    </xf>
    <xf numFmtId="2" fontId="50" fillId="25" borderId="47" xfId="0" applyNumberFormat="1" applyFont="1" applyFill="1" applyBorder="1" applyAlignment="1">
      <alignment horizontal="center" vertical="center"/>
    </xf>
    <xf numFmtId="1" fontId="47" fillId="25" borderId="2" xfId="0" applyNumberFormat="1" applyFont="1" applyFill="1" applyBorder="1" applyAlignment="1">
      <alignment vertical="center"/>
    </xf>
    <xf numFmtId="0" fontId="47" fillId="25" borderId="2" xfId="0" applyFont="1" applyFill="1" applyBorder="1" applyAlignment="1">
      <alignment horizontal="center" vertical="center"/>
    </xf>
    <xf numFmtId="1" fontId="47" fillId="25" borderId="2" xfId="0" applyNumberFormat="1" applyFont="1" applyFill="1" applyBorder="1" applyAlignment="1">
      <alignment horizontal="center" vertical="center"/>
    </xf>
    <xf numFmtId="4" fontId="50" fillId="26" borderId="47" xfId="0" applyNumberFormat="1" applyFont="1" applyFill="1" applyBorder="1" applyAlignment="1">
      <alignment horizontal="center" vertical="center"/>
    </xf>
    <xf numFmtId="0" fontId="47" fillId="26" borderId="2" xfId="0" applyFont="1" applyFill="1" applyBorder="1" applyAlignment="1">
      <alignment horizontal="center" vertical="center"/>
    </xf>
    <xf numFmtId="4" fontId="50" fillId="26" borderId="37" xfId="0" applyNumberFormat="1" applyFont="1" applyFill="1" applyBorder="1" applyAlignment="1">
      <alignment horizontal="center" vertical="center"/>
    </xf>
    <xf numFmtId="0" fontId="65" fillId="24" borderId="32" xfId="0" applyFont="1" applyFill="1" applyBorder="1" applyAlignment="1">
      <alignment horizontal="center" vertical="center"/>
    </xf>
    <xf numFmtId="2" fontId="64" fillId="19" borderId="2" xfId="0" applyNumberFormat="1" applyFont="1" applyFill="1" applyBorder="1" applyAlignment="1">
      <alignment horizontal="center" vertical="center"/>
    </xf>
    <xf numFmtId="2" fontId="64" fillId="19" borderId="48" xfId="0" applyNumberFormat="1" applyFont="1" applyFill="1" applyBorder="1" applyAlignment="1">
      <alignment horizontal="center" vertical="center"/>
    </xf>
    <xf numFmtId="10" fontId="64" fillId="19" borderId="2" xfId="2" applyNumberFormat="1" applyFont="1" applyFill="1" applyBorder="1" applyAlignment="1">
      <alignment horizontal="center" vertical="center"/>
    </xf>
    <xf numFmtId="164" fontId="64" fillId="19" borderId="2" xfId="2" applyNumberFormat="1" applyFont="1" applyFill="1" applyBorder="1" applyAlignment="1">
      <alignment horizontal="center" vertical="center"/>
    </xf>
    <xf numFmtId="3" fontId="60" fillId="30" borderId="50" xfId="0" applyNumberFormat="1" applyFont="1" applyFill="1" applyBorder="1" applyAlignment="1">
      <alignment horizontal="right" vertical="center"/>
    </xf>
    <xf numFmtId="0" fontId="46" fillId="24" borderId="45" xfId="0" applyFont="1" applyFill="1" applyBorder="1" applyAlignment="1">
      <alignment horizontal="center" vertical="center"/>
    </xf>
    <xf numFmtId="1" fontId="59" fillId="27" borderId="34" xfId="0" applyNumberFormat="1" applyFont="1" applyFill="1" applyBorder="1" applyAlignment="1">
      <alignment horizontal="center" vertical="center"/>
    </xf>
    <xf numFmtId="0" fontId="47" fillId="26" borderId="47" xfId="0" applyFont="1" applyFill="1" applyBorder="1" applyAlignment="1">
      <alignment horizontal="center" vertical="center"/>
    </xf>
    <xf numFmtId="0" fontId="66" fillId="24" borderId="32" xfId="0" applyFont="1" applyFill="1" applyBorder="1" applyAlignment="1">
      <alignment horizontal="center" vertical="center"/>
    </xf>
    <xf numFmtId="1" fontId="59" fillId="27" borderId="2" xfId="0" applyNumberFormat="1" applyFont="1" applyFill="1" applyBorder="1" applyAlignment="1">
      <alignment horizontal="center" vertical="center"/>
    </xf>
    <xf numFmtId="0" fontId="46" fillId="27" borderId="35" xfId="0" applyFont="1" applyFill="1" applyBorder="1" applyAlignment="1">
      <alignment horizontal="center" vertical="center"/>
    </xf>
    <xf numFmtId="3" fontId="60" fillId="30" borderId="51" xfId="0" applyNumberFormat="1" applyFont="1" applyFill="1" applyBorder="1" applyAlignment="1">
      <alignment horizontal="right" vertical="center"/>
    </xf>
    <xf numFmtId="2" fontId="59" fillId="27" borderId="2" xfId="0" applyNumberFormat="1" applyFont="1" applyFill="1" applyBorder="1" applyAlignment="1">
      <alignment horizontal="center" vertical="center"/>
    </xf>
    <xf numFmtId="9" fontId="64" fillId="29" borderId="33" xfId="0" applyNumberFormat="1" applyFont="1" applyFill="1" applyBorder="1" applyAlignment="1">
      <alignment horizontal="center" vertical="center"/>
    </xf>
    <xf numFmtId="9" fontId="64" fillId="24" borderId="52" xfId="0" applyNumberFormat="1" applyFont="1" applyFill="1" applyBorder="1" applyAlignment="1">
      <alignment horizontal="center" vertical="center"/>
    </xf>
    <xf numFmtId="9" fontId="64" fillId="24" borderId="33" xfId="0" applyNumberFormat="1" applyFont="1" applyFill="1" applyBorder="1" applyAlignment="1">
      <alignment horizontal="center" vertical="center"/>
    </xf>
    <xf numFmtId="9" fontId="64" fillId="37" borderId="52" xfId="0" applyNumberFormat="1" applyFont="1" applyFill="1" applyBorder="1" applyAlignment="1">
      <alignment horizontal="center" vertical="center"/>
    </xf>
    <xf numFmtId="9" fontId="64" fillId="37" borderId="33" xfId="0" applyNumberFormat="1" applyFont="1" applyFill="1" applyBorder="1" applyAlignment="1">
      <alignment horizontal="center" vertical="center"/>
    </xf>
    <xf numFmtId="2" fontId="62" fillId="33" borderId="34" xfId="0" applyNumberFormat="1" applyFont="1" applyFill="1" applyBorder="1" applyAlignment="1">
      <alignment horizontal="center" vertical="center"/>
    </xf>
    <xf numFmtId="9" fontId="64" fillId="38" borderId="52" xfId="0" applyNumberFormat="1" applyFont="1" applyFill="1" applyBorder="1" applyAlignment="1">
      <alignment horizontal="center" vertical="center"/>
    </xf>
    <xf numFmtId="4" fontId="68" fillId="26" borderId="37" xfId="0" applyNumberFormat="1" applyFont="1" applyFill="1" applyBorder="1" applyAlignment="1">
      <alignment horizontal="center" vertical="center"/>
    </xf>
    <xf numFmtId="9" fontId="64" fillId="24" borderId="53" xfId="0" applyNumberFormat="1" applyFont="1" applyFill="1" applyBorder="1" applyAlignment="1">
      <alignment horizontal="center" vertical="center"/>
    </xf>
    <xf numFmtId="9" fontId="49" fillId="29" borderId="54" xfId="0" applyNumberFormat="1" applyFont="1" applyFill="1" applyBorder="1" applyAlignment="1">
      <alignment horizontal="center" vertical="center"/>
    </xf>
    <xf numFmtId="3" fontId="60" fillId="30" borderId="56" xfId="0" applyNumberFormat="1" applyFont="1" applyFill="1" applyBorder="1" applyAlignment="1">
      <alignment horizontal="right" vertical="center"/>
    </xf>
    <xf numFmtId="0" fontId="70" fillId="19" borderId="2" xfId="0" applyFont="1" applyFill="1" applyBorder="1" applyAlignment="1">
      <alignment vertical="center"/>
    </xf>
    <xf numFmtId="0" fontId="47" fillId="26" borderId="57" xfId="0" applyFont="1" applyFill="1" applyBorder="1" applyAlignment="1">
      <alignment horizontal="center" vertical="center"/>
    </xf>
    <xf numFmtId="0" fontId="47" fillId="26" borderId="1" xfId="0" applyFont="1" applyFill="1" applyBorder="1" applyAlignment="1">
      <alignment horizontal="center" vertical="center"/>
    </xf>
    <xf numFmtId="4" fontId="50" fillId="26" borderId="58" xfId="0" applyNumberFormat="1" applyFont="1" applyFill="1" applyBorder="1" applyAlignment="1">
      <alignment horizontal="center" vertical="center"/>
    </xf>
    <xf numFmtId="0" fontId="48" fillId="39" borderId="0" xfId="0" applyFont="1" applyFill="1" applyAlignment="1">
      <alignment vertical="center"/>
    </xf>
    <xf numFmtId="0" fontId="50" fillId="35" borderId="47" xfId="0" applyFont="1" applyFill="1" applyBorder="1" applyAlignment="1">
      <alignment horizontal="center" vertical="center"/>
    </xf>
    <xf numFmtId="0" fontId="48" fillId="35" borderId="2" xfId="0" applyFont="1" applyFill="1" applyBorder="1" applyAlignment="1">
      <alignment vertical="center"/>
    </xf>
    <xf numFmtId="0" fontId="48" fillId="36" borderId="2" xfId="0" applyFont="1" applyFill="1" applyBorder="1" applyAlignment="1">
      <alignment vertical="center"/>
    </xf>
    <xf numFmtId="0" fontId="61" fillId="35" borderId="37" xfId="0" applyFont="1" applyFill="1" applyBorder="1" applyAlignment="1">
      <alignment horizontal="center" vertical="center"/>
    </xf>
    <xf numFmtId="0" fontId="46" fillId="24" borderId="32" xfId="0" applyFont="1" applyFill="1" applyBorder="1" applyAlignment="1">
      <alignment horizontal="center" vertical="center"/>
    </xf>
    <xf numFmtId="3" fontId="59" fillId="41" borderId="62" xfId="0" applyNumberFormat="1" applyFont="1" applyFill="1" applyBorder="1" applyAlignment="1">
      <alignment horizontal="right" vertical="center"/>
    </xf>
    <xf numFmtId="2" fontId="47" fillId="25" borderId="37" xfId="0" applyNumberFormat="1" applyFont="1" applyFill="1" applyBorder="1" applyAlignment="1">
      <alignment horizontal="center" vertical="center"/>
    </xf>
    <xf numFmtId="0" fontId="46" fillId="24" borderId="63" xfId="0" applyFont="1" applyFill="1" applyBorder="1" applyAlignment="1">
      <alignment horizontal="center" vertical="center"/>
    </xf>
    <xf numFmtId="0" fontId="49" fillId="19" borderId="69" xfId="0" applyFont="1" applyFill="1" applyBorder="1" applyAlignment="1">
      <alignment horizontal="center" vertical="center"/>
    </xf>
    <xf numFmtId="0" fontId="49" fillId="19" borderId="67" xfId="0" applyFont="1" applyFill="1" applyBorder="1" applyAlignment="1">
      <alignment horizontal="center" vertical="center"/>
    </xf>
    <xf numFmtId="0" fontId="49" fillId="19" borderId="70" xfId="0" applyFont="1" applyFill="1" applyBorder="1" applyAlignment="1">
      <alignment horizontal="center" vertical="center"/>
    </xf>
    <xf numFmtId="3" fontId="59" fillId="40" borderId="62" xfId="0" applyNumberFormat="1" applyFont="1" applyFill="1" applyBorder="1" applyAlignment="1">
      <alignment vertical="center"/>
    </xf>
    <xf numFmtId="0" fontId="57" fillId="35" borderId="32" xfId="0" applyFont="1" applyFill="1" applyBorder="1" applyAlignment="1">
      <alignment horizontal="center" vertical="center" wrapText="1"/>
    </xf>
    <xf numFmtId="0" fontId="64" fillId="27" borderId="33" xfId="0" applyFont="1" applyFill="1" applyBorder="1" applyAlignment="1">
      <alignment horizontal="center" vertical="center"/>
    </xf>
    <xf numFmtId="1" fontId="59" fillId="24" borderId="62" xfId="0" applyNumberFormat="1" applyFont="1" applyFill="1" applyBorder="1" applyAlignment="1">
      <alignment vertical="center"/>
    </xf>
    <xf numFmtId="14" fontId="46" fillId="27" borderId="41" xfId="0" applyNumberFormat="1" applyFont="1" applyFill="1" applyBorder="1" applyAlignment="1">
      <alignment horizontal="center" vertical="center" wrapText="1"/>
    </xf>
    <xf numFmtId="0" fontId="46" fillId="24" borderId="45" xfId="0" applyFont="1" applyFill="1" applyBorder="1" applyAlignment="1">
      <alignment horizontal="center" vertical="center" wrapText="1"/>
    </xf>
    <xf numFmtId="0" fontId="46" fillId="35" borderId="45" xfId="0" applyFont="1" applyFill="1" applyBorder="1" applyAlignment="1">
      <alignment horizontal="center" vertical="center" wrapText="1"/>
    </xf>
    <xf numFmtId="0" fontId="46" fillId="36" borderId="45" xfId="0" applyFont="1" applyFill="1" applyBorder="1" applyAlignment="1">
      <alignment horizontal="center" vertical="center" wrapText="1"/>
    </xf>
    <xf numFmtId="0" fontId="71" fillId="35" borderId="32" xfId="0" applyFont="1" applyFill="1" applyBorder="1" applyAlignment="1">
      <alignment horizontal="center" vertical="center" wrapText="1"/>
    </xf>
    <xf numFmtId="1" fontId="59" fillId="35" borderId="62" xfId="0" applyNumberFormat="1" applyFont="1" applyFill="1" applyBorder="1" applyAlignment="1">
      <alignment vertical="center"/>
    </xf>
    <xf numFmtId="0" fontId="63" fillId="35" borderId="32" xfId="0" applyFont="1" applyFill="1" applyBorder="1" applyAlignment="1">
      <alignment horizontal="center" vertical="center" wrapText="1"/>
    </xf>
    <xf numFmtId="1" fontId="59" fillId="36" borderId="62" xfId="0" applyNumberFormat="1" applyFont="1" applyFill="1" applyBorder="1" applyAlignment="1">
      <alignment vertical="center"/>
    </xf>
    <xf numFmtId="0" fontId="72" fillId="39" borderId="0" xfId="0" applyFont="1" applyFill="1" applyAlignment="1">
      <alignment vertical="center"/>
    </xf>
    <xf numFmtId="9" fontId="59" fillId="27" borderId="61" xfId="0" applyNumberFormat="1" applyFont="1" applyFill="1" applyBorder="1" applyAlignment="1">
      <alignment horizontal="center" vertical="center"/>
    </xf>
    <xf numFmtId="0" fontId="46" fillId="41" borderId="72" xfId="0" applyFont="1" applyFill="1" applyBorder="1" applyAlignment="1">
      <alignment horizontal="center" vertical="center"/>
    </xf>
    <xf numFmtId="0" fontId="59" fillId="28" borderId="62" xfId="0" applyFont="1" applyFill="1" applyBorder="1" applyAlignment="1">
      <alignment horizontal="center" vertical="center"/>
    </xf>
    <xf numFmtId="0" fontId="46" fillId="41" borderId="62" xfId="0" applyFont="1" applyFill="1" applyBorder="1" applyAlignment="1">
      <alignment horizontal="center" vertical="center"/>
    </xf>
    <xf numFmtId="3" fontId="59" fillId="27" borderId="62" xfId="0" applyNumberFormat="1" applyFont="1" applyFill="1" applyBorder="1" applyAlignment="1">
      <alignment horizontal="center" vertical="center"/>
    </xf>
    <xf numFmtId="4" fontId="59" fillId="27" borderId="62" xfId="0" applyNumberFormat="1" applyFont="1" applyFill="1" applyBorder="1" applyAlignment="1">
      <alignment horizontal="center" vertical="center"/>
    </xf>
    <xf numFmtId="0" fontId="49" fillId="19" borderId="0" xfId="0" applyFont="1" applyFill="1" applyAlignment="1">
      <alignment vertical="center"/>
    </xf>
    <xf numFmtId="0" fontId="48" fillId="19" borderId="0" xfId="0" applyFont="1" applyFill="1" applyAlignment="1">
      <alignment vertical="center"/>
    </xf>
    <xf numFmtId="0" fontId="51" fillId="19" borderId="0" xfId="0" applyFont="1" applyFill="1" applyAlignment="1">
      <alignment vertical="center"/>
    </xf>
    <xf numFmtId="10" fontId="59" fillId="27" borderId="62" xfId="0" applyNumberFormat="1" applyFont="1" applyFill="1" applyBorder="1" applyAlignment="1">
      <alignment horizontal="center" vertical="center"/>
    </xf>
    <xf numFmtId="14" fontId="46" fillId="40" borderId="62" xfId="0" applyNumberFormat="1" applyFont="1" applyFill="1" applyBorder="1" applyAlignment="1">
      <alignment horizontal="center" vertical="center"/>
    </xf>
    <xf numFmtId="3" fontId="46" fillId="40" borderId="62" xfId="0" applyNumberFormat="1" applyFont="1" applyFill="1" applyBorder="1" applyAlignment="1">
      <alignment horizontal="center" vertical="center"/>
    </xf>
    <xf numFmtId="169" fontId="46" fillId="40" borderId="62" xfId="0" applyNumberFormat="1" applyFont="1" applyFill="1" applyBorder="1" applyAlignment="1">
      <alignment horizontal="center" vertical="center"/>
    </xf>
    <xf numFmtId="10" fontId="59" fillId="27" borderId="76" xfId="0" applyNumberFormat="1" applyFont="1" applyFill="1" applyBorder="1" applyAlignment="1">
      <alignment horizontal="center" vertical="center"/>
    </xf>
    <xf numFmtId="0" fontId="47" fillId="19" borderId="0" xfId="0" applyFont="1" applyFill="1" applyAlignment="1">
      <alignment vertical="center"/>
    </xf>
    <xf numFmtId="2" fontId="50" fillId="25" borderId="57" xfId="0" applyNumberFormat="1" applyFont="1" applyFill="1" applyBorder="1" applyAlignment="1">
      <alignment horizontal="center" vertical="center"/>
    </xf>
    <xf numFmtId="1" fontId="47" fillId="25" borderId="1" xfId="0" applyNumberFormat="1" applyFont="1" applyFill="1" applyBorder="1" applyAlignment="1">
      <alignment vertical="center"/>
    </xf>
    <xf numFmtId="0" fontId="47" fillId="25" borderId="1" xfId="0" applyFont="1" applyFill="1" applyBorder="1" applyAlignment="1">
      <alignment horizontal="center" vertical="center"/>
    </xf>
    <xf numFmtId="2" fontId="47" fillId="25" borderId="58" xfId="0" applyNumberFormat="1" applyFont="1" applyFill="1" applyBorder="1" applyAlignment="1">
      <alignment horizontal="center" vertical="center"/>
    </xf>
    <xf numFmtId="0" fontId="73" fillId="0" borderId="0" xfId="0" applyFont="1" applyAlignment="1">
      <alignment vertical="center"/>
    </xf>
    <xf numFmtId="0" fontId="50" fillId="24" borderId="29" xfId="0" applyFont="1" applyFill="1" applyBorder="1" applyAlignment="1">
      <alignment horizontal="center" vertical="center"/>
    </xf>
    <xf numFmtId="0" fontId="48" fillId="24" borderId="30" xfId="0" applyFont="1" applyFill="1" applyBorder="1" applyAlignment="1">
      <alignment vertical="center"/>
    </xf>
    <xf numFmtId="0" fontId="73" fillId="24" borderId="30" xfId="0" applyFont="1" applyFill="1" applyBorder="1" applyAlignment="1">
      <alignment vertical="center"/>
    </xf>
    <xf numFmtId="0" fontId="61" fillId="24" borderId="31" xfId="0" applyFont="1" applyFill="1" applyBorder="1" applyAlignment="1">
      <alignment horizontal="center" vertical="center"/>
    </xf>
    <xf numFmtId="0" fontId="74" fillId="19" borderId="0" xfId="0" applyFont="1" applyFill="1" applyAlignment="1">
      <alignment vertical="center"/>
    </xf>
    <xf numFmtId="2" fontId="50" fillId="25" borderId="37" xfId="0" applyNumberFormat="1" applyFont="1" applyFill="1" applyBorder="1" applyAlignment="1">
      <alignment horizontal="center" vertical="center"/>
    </xf>
    <xf numFmtId="0" fontId="64" fillId="27" borderId="54" xfId="0" applyFont="1" applyFill="1" applyBorder="1" applyAlignment="1">
      <alignment horizontal="center" vertical="center"/>
    </xf>
    <xf numFmtId="0" fontId="64" fillId="27" borderId="80" xfId="0" applyFont="1" applyFill="1" applyBorder="1" applyAlignment="1">
      <alignment horizontal="center" vertical="center"/>
    </xf>
    <xf numFmtId="1" fontId="59" fillId="27" borderId="81" xfId="0" applyNumberFormat="1" applyFont="1" applyFill="1" applyBorder="1" applyAlignment="1">
      <alignment horizontal="center" vertical="center"/>
    </xf>
    <xf numFmtId="2" fontId="59" fillId="36" borderId="44" xfId="0" applyNumberFormat="1" applyFont="1" applyFill="1" applyBorder="1" applyAlignment="1">
      <alignment vertical="center"/>
    </xf>
    <xf numFmtId="164" fontId="59" fillId="36" borderId="43" xfId="0" applyNumberFormat="1" applyFont="1" applyFill="1" applyBorder="1" applyAlignment="1">
      <alignment vertical="center"/>
    </xf>
    <xf numFmtId="164" fontId="59" fillId="36" borderId="82" xfId="0" applyNumberFormat="1" applyFont="1" applyFill="1" applyBorder="1" applyAlignment="1">
      <alignment vertical="center"/>
    </xf>
    <xf numFmtId="1" fontId="59" fillId="36" borderId="34" xfId="0" applyNumberFormat="1" applyFont="1" applyFill="1" applyBorder="1" applyAlignment="1">
      <alignment vertical="center"/>
    </xf>
    <xf numFmtId="1" fontId="59" fillId="36" borderId="38" xfId="0" applyNumberFormat="1" applyFont="1" applyFill="1" applyBorder="1" applyAlignment="1">
      <alignment vertical="center"/>
    </xf>
    <xf numFmtId="2" fontId="59" fillId="36" borderId="35" xfId="0" applyNumberFormat="1" applyFont="1" applyFill="1" applyBorder="1" applyAlignment="1">
      <alignment vertical="center"/>
    </xf>
    <xf numFmtId="164" fontId="59" fillId="36" borderId="2" xfId="0" applyNumberFormat="1" applyFont="1" applyFill="1" applyBorder="1" applyAlignment="1">
      <alignment vertical="center"/>
    </xf>
    <xf numFmtId="164" fontId="59" fillId="36" borderId="36" xfId="0" applyNumberFormat="1" applyFont="1" applyFill="1" applyBorder="1" applyAlignment="1">
      <alignment vertical="center"/>
    </xf>
    <xf numFmtId="1" fontId="59" fillId="27" borderId="77" xfId="0" applyNumberFormat="1" applyFont="1" applyFill="1" applyBorder="1" applyAlignment="1">
      <alignment horizontal="center" vertical="center"/>
    </xf>
    <xf numFmtId="2" fontId="59" fillId="36" borderId="84" xfId="0" applyNumberFormat="1" applyFont="1" applyFill="1" applyBorder="1" applyAlignment="1">
      <alignment vertical="center"/>
    </xf>
    <xf numFmtId="164" fontId="59" fillId="36" borderId="15" xfId="0" applyNumberFormat="1" applyFont="1" applyFill="1" applyBorder="1" applyAlignment="1">
      <alignment vertical="center"/>
    </xf>
    <xf numFmtId="164" fontId="59" fillId="36" borderId="79" xfId="0" applyNumberFormat="1" applyFont="1" applyFill="1" applyBorder="1" applyAlignment="1">
      <alignment vertical="center"/>
    </xf>
    <xf numFmtId="1" fontId="59" fillId="36" borderId="65" xfId="0" applyNumberFormat="1" applyFont="1" applyFill="1" applyBorder="1" applyAlignment="1">
      <alignment vertical="center"/>
    </xf>
    <xf numFmtId="1" fontId="59" fillId="36" borderId="85" xfId="0" applyNumberFormat="1" applyFont="1" applyFill="1" applyBorder="1" applyAlignment="1">
      <alignment vertical="center"/>
    </xf>
    <xf numFmtId="0" fontId="59" fillId="40" borderId="86" xfId="0" applyFont="1" applyFill="1" applyBorder="1" applyAlignment="1">
      <alignment horizontal="center" vertical="center"/>
    </xf>
    <xf numFmtId="1" fontId="59" fillId="40" borderId="77" xfId="0" applyNumberFormat="1" applyFont="1" applyFill="1" applyBorder="1" applyAlignment="1">
      <alignment horizontal="center" vertical="center"/>
    </xf>
    <xf numFmtId="0" fontId="59" fillId="40" borderId="78" xfId="0" applyFont="1" applyFill="1" applyBorder="1" applyAlignment="1">
      <alignment horizontal="center" vertical="center"/>
    </xf>
    <xf numFmtId="164" fontId="59" fillId="40" borderId="88" xfId="0" applyNumberFormat="1" applyFont="1" applyFill="1" applyBorder="1" applyAlignment="1">
      <alignment horizontal="right" vertical="center"/>
    </xf>
    <xf numFmtId="164" fontId="59" fillId="40" borderId="89" xfId="0" applyNumberFormat="1" applyFont="1" applyFill="1" applyBorder="1" applyAlignment="1">
      <alignment horizontal="right" vertical="center"/>
    </xf>
    <xf numFmtId="2" fontId="59" fillId="40" borderId="87" xfId="0" applyNumberFormat="1" applyFont="1" applyFill="1" applyBorder="1" applyAlignment="1">
      <alignment vertical="center"/>
    </xf>
    <xf numFmtId="1" fontId="59" fillId="40" borderId="77" xfId="0" applyNumberFormat="1" applyFont="1" applyFill="1" applyBorder="1" applyAlignment="1">
      <alignment vertical="center"/>
    </xf>
    <xf numFmtId="164" fontId="59" fillId="40" borderId="89" xfId="0" applyNumberFormat="1" applyFont="1" applyFill="1" applyBorder="1" applyAlignment="1">
      <alignment horizontal="center" vertical="center"/>
    </xf>
    <xf numFmtId="0" fontId="48" fillId="35" borderId="0" xfId="0" applyFont="1" applyFill="1" applyAlignment="1">
      <alignment vertical="center"/>
    </xf>
    <xf numFmtId="2" fontId="50" fillId="25" borderId="58" xfId="0" applyNumberFormat="1" applyFont="1" applyFill="1" applyBorder="1" applyAlignment="1">
      <alignment horizontal="center" vertical="center"/>
    </xf>
    <xf numFmtId="1" fontId="63" fillId="31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2" fillId="33" borderId="34" xfId="55" applyNumberFormat="1" applyFont="1" applyFill="1" applyBorder="1" applyAlignment="1">
      <alignment horizontal="center" vertical="center"/>
    </xf>
    <xf numFmtId="0" fontId="52" fillId="23" borderId="91" xfId="0" applyFont="1" applyFill="1" applyBorder="1" applyAlignment="1">
      <alignment horizontal="center" vertical="center"/>
    </xf>
    <xf numFmtId="0" fontId="63" fillId="31" borderId="34" xfId="0" applyFont="1" applyFill="1" applyBorder="1" applyAlignment="1">
      <alignment horizontal="center" vertical="center"/>
    </xf>
    <xf numFmtId="0" fontId="50" fillId="27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6" fillId="31" borderId="34" xfId="2" applyNumberFormat="1" applyFont="1" applyFill="1" applyBorder="1" applyAlignment="1">
      <alignment horizontal="center" vertical="center"/>
    </xf>
    <xf numFmtId="0" fontId="46" fillId="31" borderId="37" xfId="0" applyFont="1" applyFill="1" applyBorder="1" applyAlignment="1">
      <alignment horizontal="center" vertical="center"/>
    </xf>
    <xf numFmtId="0" fontId="59" fillId="27" borderId="34" xfId="0" applyFont="1" applyFill="1" applyBorder="1" applyAlignment="1">
      <alignment horizontal="center" vertical="center"/>
    </xf>
    <xf numFmtId="0" fontId="59" fillId="27" borderId="35" xfId="0" applyFont="1" applyFill="1" applyBorder="1" applyAlignment="1">
      <alignment vertical="center"/>
    </xf>
    <xf numFmtId="0" fontId="59" fillId="35" borderId="2" xfId="0" applyFont="1" applyFill="1" applyBorder="1" applyAlignment="1">
      <alignment vertical="center"/>
    </xf>
    <xf numFmtId="0" fontId="59" fillId="35" borderId="36" xfId="0" applyFont="1" applyFill="1" applyBorder="1" applyAlignment="1">
      <alignment vertical="center"/>
    </xf>
    <xf numFmtId="0" fontId="59" fillId="28" borderId="37" xfId="0" applyFont="1" applyFill="1" applyBorder="1" applyAlignment="1">
      <alignment vertical="center"/>
    </xf>
    <xf numFmtId="0" fontId="59" fillId="35" borderId="37" xfId="0" applyFont="1" applyFill="1" applyBorder="1" applyAlignment="1">
      <alignment vertical="center"/>
    </xf>
    <xf numFmtId="0" fontId="59" fillId="35" borderId="38" xfId="0" applyFont="1" applyFill="1" applyBorder="1" applyAlignment="1">
      <alignment vertical="center"/>
    </xf>
    <xf numFmtId="0" fontId="58" fillId="27" borderId="33" xfId="0" applyFont="1" applyFill="1" applyBorder="1" applyAlignment="1">
      <alignment horizontal="center" vertical="center"/>
    </xf>
    <xf numFmtId="0" fontId="59" fillId="24" borderId="2" xfId="0" applyFont="1" applyFill="1" applyBorder="1" applyAlignment="1">
      <alignment vertical="center"/>
    </xf>
    <xf numFmtId="0" fontId="59" fillId="24" borderId="36" xfId="0" applyFont="1" applyFill="1" applyBorder="1" applyAlignment="1">
      <alignment vertical="center"/>
    </xf>
    <xf numFmtId="0" fontId="59" fillId="24" borderId="34" xfId="0" applyFont="1" applyFill="1" applyBorder="1" applyAlignment="1">
      <alignment vertical="center"/>
    </xf>
    <xf numFmtId="0" fontId="59" fillId="24" borderId="38" xfId="0" applyFont="1" applyFill="1" applyBorder="1" applyAlignment="1">
      <alignment vertical="center"/>
    </xf>
    <xf numFmtId="0" fontId="67" fillId="27" borderId="33" xfId="0" applyFont="1" applyFill="1" applyBorder="1" applyAlignment="1">
      <alignment horizontal="center" vertical="center"/>
    </xf>
    <xf numFmtId="0" fontId="69" fillId="27" borderId="33" xfId="0" applyFont="1" applyFill="1" applyBorder="1" applyAlignment="1">
      <alignment horizontal="center" vertical="center"/>
    </xf>
    <xf numFmtId="0" fontId="69" fillId="27" borderId="64" xfId="0" applyFont="1" applyFill="1" applyBorder="1" applyAlignment="1">
      <alignment horizontal="center" vertical="center"/>
    </xf>
    <xf numFmtId="0" fontId="59" fillId="27" borderId="65" xfId="0" applyFont="1" applyFill="1" applyBorder="1" applyAlignment="1">
      <alignment horizontal="center" vertical="center"/>
    </xf>
    <xf numFmtId="0" fontId="59" fillId="27" borderId="66" xfId="0" applyFont="1" applyFill="1" applyBorder="1" applyAlignment="1">
      <alignment vertical="center"/>
    </xf>
    <xf numFmtId="0" fontId="59" fillId="24" borderId="67" xfId="0" applyFont="1" applyFill="1" applyBorder="1" applyAlignment="1">
      <alignment vertical="center"/>
    </xf>
    <xf numFmtId="0" fontId="59" fillId="24" borderId="68" xfId="0" applyFont="1" applyFill="1" applyBorder="1" applyAlignment="1">
      <alignment vertical="center"/>
    </xf>
    <xf numFmtId="0" fontId="59" fillId="28" borderId="64" xfId="0" applyFont="1" applyFill="1" applyBorder="1" applyAlignment="1">
      <alignment vertical="center"/>
    </xf>
    <xf numFmtId="0" fontId="59" fillId="24" borderId="65" xfId="0" applyFont="1" applyFill="1" applyBorder="1" applyAlignment="1">
      <alignment vertical="center"/>
    </xf>
    <xf numFmtId="0" fontId="59" fillId="27" borderId="77" xfId="0" applyFont="1" applyFill="1" applyBorder="1" applyAlignment="1">
      <alignment horizontal="center" vertical="center"/>
    </xf>
    <xf numFmtId="0" fontId="59" fillId="27" borderId="78" xfId="0" applyFont="1" applyFill="1" applyBorder="1" applyAlignment="1">
      <alignment vertical="center"/>
    </xf>
    <xf numFmtId="0" fontId="59" fillId="35" borderId="15" xfId="0" applyFont="1" applyFill="1" applyBorder="1" applyAlignment="1">
      <alignment vertical="center"/>
    </xf>
    <xf numFmtId="0" fontId="59" fillId="35" borderId="79" xfId="0" applyFont="1" applyFill="1" applyBorder="1" applyAlignment="1">
      <alignment vertical="center"/>
    </xf>
    <xf numFmtId="0" fontId="59" fillId="35" borderId="65" xfId="0" applyFont="1" applyFill="1" applyBorder="1" applyAlignment="1">
      <alignment vertical="center"/>
    </xf>
    <xf numFmtId="0" fontId="59" fillId="35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8" fillId="18" borderId="3" xfId="55" applyNumberFormat="1" applyFont="1" applyFill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2" fillId="9" borderId="96" xfId="0" applyNumberFormat="1" applyFont="1" applyFill="1" applyBorder="1" applyAlignment="1">
      <alignment vertical="center"/>
    </xf>
    <xf numFmtId="0" fontId="30" fillId="13" borderId="98" xfId="0" applyFont="1" applyFill="1" applyBorder="1" applyAlignment="1">
      <alignment horizontal="center" vertical="center"/>
    </xf>
    <xf numFmtId="167" fontId="30" fillId="13" borderId="98" xfId="40" applyNumberFormat="1" applyFont="1" applyFill="1" applyBorder="1" applyAlignment="1">
      <alignment horizontal="center" vertical="center" wrapText="1"/>
    </xf>
    <xf numFmtId="2" fontId="38" fillId="13" borderId="98" xfId="0" applyNumberFormat="1" applyFont="1" applyFill="1" applyBorder="1" applyAlignment="1">
      <alignment horizontal="center" vertical="center"/>
    </xf>
    <xf numFmtId="167" fontId="13" fillId="13" borderId="98" xfId="40" applyNumberFormat="1" applyFont="1" applyFill="1" applyBorder="1" applyAlignment="1">
      <alignment horizontal="center" vertical="center"/>
    </xf>
    <xf numFmtId="0" fontId="13" fillId="14" borderId="98" xfId="0" applyFont="1" applyFill="1" applyBorder="1" applyAlignment="1">
      <alignment horizontal="center" vertical="center"/>
    </xf>
    <xf numFmtId="0" fontId="19" fillId="13" borderId="98" xfId="0" applyFont="1" applyFill="1" applyBorder="1" applyAlignment="1">
      <alignment horizontal="center" vertical="center"/>
    </xf>
    <xf numFmtId="0" fontId="13" fillId="13" borderId="98" xfId="0" applyFont="1" applyFill="1" applyBorder="1" applyAlignment="1">
      <alignment horizontal="center" vertical="center"/>
    </xf>
    <xf numFmtId="3" fontId="13" fillId="13" borderId="98" xfId="0" applyNumberFormat="1" applyFont="1" applyFill="1" applyBorder="1" applyAlignment="1">
      <alignment horizontal="center" vertical="center"/>
    </xf>
    <xf numFmtId="0" fontId="13" fillId="13" borderId="99" xfId="0" applyFont="1" applyFill="1" applyBorder="1" applyAlignment="1">
      <alignment horizontal="right" vertical="center"/>
    </xf>
    <xf numFmtId="166" fontId="13" fillId="13" borderId="98" xfId="0" applyNumberFormat="1" applyFont="1" applyFill="1" applyBorder="1" applyAlignment="1">
      <alignment horizontal="center" vertical="center" wrapText="1"/>
    </xf>
    <xf numFmtId="0" fontId="26" fillId="14" borderId="100" xfId="0" applyFont="1" applyFill="1" applyBorder="1" applyAlignment="1">
      <alignment horizontal="center" vertical="center"/>
    </xf>
    <xf numFmtId="0" fontId="59" fillId="36" borderId="37" xfId="0" applyFont="1" applyFill="1" applyBorder="1" applyAlignment="1">
      <alignment vertical="center"/>
    </xf>
    <xf numFmtId="0" fontId="59" fillId="36" borderId="64" xfId="0" applyFont="1" applyFill="1" applyBorder="1" applyAlignment="1">
      <alignment vertical="center"/>
    </xf>
    <xf numFmtId="0" fontId="75" fillId="28" borderId="87" xfId="0" applyFont="1" applyFill="1" applyBorder="1" applyAlignment="1">
      <alignment horizontal="center" vertical="center"/>
    </xf>
    <xf numFmtId="0" fontId="46" fillId="29" borderId="39" xfId="0" applyFont="1" applyFill="1" applyBorder="1" applyAlignment="1">
      <alignment horizontal="center" vertical="center"/>
    </xf>
    <xf numFmtId="0" fontId="46" fillId="29" borderId="49" xfId="0" applyFont="1" applyFill="1" applyBorder="1" applyAlignment="1">
      <alignment horizontal="center" vertical="center"/>
    </xf>
    <xf numFmtId="0" fontId="46" fillId="24" borderId="49" xfId="0" applyFont="1" applyFill="1" applyBorder="1" applyAlignment="1">
      <alignment horizontal="center" vertical="center"/>
    </xf>
    <xf numFmtId="0" fontId="46" fillId="37" borderId="49" xfId="0" applyFont="1" applyFill="1" applyBorder="1" applyAlignment="1">
      <alignment horizontal="center" vertical="center"/>
    </xf>
    <xf numFmtId="0" fontId="59" fillId="38" borderId="49" xfId="0" applyFont="1" applyFill="1" applyBorder="1" applyAlignment="1">
      <alignment horizontal="right" vertical="center"/>
    </xf>
    <xf numFmtId="0" fontId="49" fillId="29" borderId="49" xfId="0" applyFont="1" applyFill="1" applyBorder="1" applyAlignment="1">
      <alignment horizontal="center" vertical="center"/>
    </xf>
    <xf numFmtId="0" fontId="49" fillId="29" borderId="55" xfId="0" applyFont="1" applyFill="1" applyBorder="1" applyAlignment="1">
      <alignment horizontal="center" vertical="center"/>
    </xf>
    <xf numFmtId="0" fontId="59" fillId="24" borderId="43" xfId="0" applyFont="1" applyFill="1" applyBorder="1" applyAlignment="1">
      <alignment horizontal="right" vertical="center"/>
    </xf>
    <xf numFmtId="0" fontId="59" fillId="24" borderId="44" xfId="0" applyFont="1" applyFill="1" applyBorder="1" applyAlignment="1">
      <alignment horizontal="right" vertical="center"/>
    </xf>
    <xf numFmtId="0" fontId="59" fillId="24" borderId="2" xfId="0" applyFont="1" applyFill="1" applyBorder="1" applyAlignment="1">
      <alignment horizontal="right" vertical="center"/>
    </xf>
    <xf numFmtId="0" fontId="59" fillId="24" borderId="35" xfId="0" applyFont="1" applyFill="1" applyBorder="1" applyAlignment="1">
      <alignment horizontal="right" vertical="center"/>
    </xf>
    <xf numFmtId="0" fontId="46" fillId="31" borderId="93" xfId="0" applyFont="1" applyFill="1" applyBorder="1" applyAlignment="1">
      <alignment horizontal="center" vertical="center"/>
    </xf>
    <xf numFmtId="0" fontId="59" fillId="35" borderId="2" xfId="0" applyFont="1" applyFill="1" applyBorder="1" applyAlignment="1">
      <alignment horizontal="right" vertical="center"/>
    </xf>
    <xf numFmtId="0" fontId="59" fillId="35" borderId="46" xfId="0" applyFont="1" applyFill="1" applyBorder="1" applyAlignment="1">
      <alignment horizontal="right" vertical="center"/>
    </xf>
    <xf numFmtId="0" fontId="59" fillId="35" borderId="35" xfId="0" applyFont="1" applyFill="1" applyBorder="1" applyAlignment="1">
      <alignment horizontal="right" vertical="center"/>
    </xf>
    <xf numFmtId="0" fontId="59" fillId="36" borderId="2" xfId="0" applyFont="1" applyFill="1" applyBorder="1" applyAlignment="1">
      <alignment horizontal="right" vertical="center"/>
    </xf>
    <xf numFmtId="0" fontId="59" fillId="36" borderId="35" xfId="0" applyFont="1" applyFill="1" applyBorder="1" applyAlignment="1">
      <alignment horizontal="right" vertical="center"/>
    </xf>
    <xf numFmtId="0" fontId="62" fillId="33" borderId="34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3" fillId="23" borderId="25" xfId="0" applyFont="1" applyFill="1" applyBorder="1" applyAlignment="1">
      <alignment horizontal="center" vertical="center"/>
    </xf>
    <xf numFmtId="0" fontId="52" fillId="23" borderId="25" xfId="0" applyFont="1" applyFill="1" applyBorder="1" applyAlignment="1">
      <alignment horizontal="center" vertical="center"/>
    </xf>
    <xf numFmtId="2" fontId="42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39" fillId="10" borderId="110" xfId="55" applyNumberFormat="1" applyFont="1" applyFill="1" applyBorder="1" applyAlignment="1">
      <alignment horizontal="right" vertical="center"/>
    </xf>
    <xf numFmtId="0" fontId="41" fillId="10" borderId="103" xfId="0" applyFont="1" applyFill="1" applyBorder="1" applyAlignment="1">
      <alignment horizontal="right" vertical="center"/>
    </xf>
    <xf numFmtId="0" fontId="41" fillId="10" borderId="110" xfId="0" applyFont="1" applyFill="1" applyBorder="1" applyAlignment="1">
      <alignment horizontal="right" vertical="center"/>
    </xf>
    <xf numFmtId="0" fontId="41" fillId="10" borderId="112" xfId="0" applyFont="1" applyFill="1" applyBorder="1" applyAlignment="1">
      <alignment horizontal="right" vertical="center"/>
    </xf>
    <xf numFmtId="0" fontId="41" fillId="10" borderId="109" xfId="0" applyFont="1" applyFill="1" applyBorder="1" applyAlignment="1">
      <alignment horizontal="right" vertical="center"/>
    </xf>
    <xf numFmtId="0" fontId="39" fillId="10" borderId="103" xfId="0" applyFont="1" applyFill="1" applyBorder="1" applyAlignment="1">
      <alignment horizontal="right" vertical="center"/>
    </xf>
    <xf numFmtId="0" fontId="39" fillId="10" borderId="110" xfId="0" applyFont="1" applyFill="1" applyBorder="1" applyAlignment="1">
      <alignment horizontal="right" vertical="center"/>
    </xf>
    <xf numFmtId="0" fontId="39" fillId="10" borderId="112" xfId="0" applyFont="1" applyFill="1" applyBorder="1" applyAlignment="1">
      <alignment horizontal="right" vertical="center"/>
    </xf>
    <xf numFmtId="0" fontId="39" fillId="10" borderId="109" xfId="0" applyFont="1" applyFill="1" applyBorder="1" applyAlignment="1">
      <alignment horizontal="right" vertical="center"/>
    </xf>
    <xf numFmtId="3" fontId="39" fillId="10" borderId="110" xfId="0" applyNumberFormat="1" applyFont="1" applyFill="1" applyBorder="1" applyAlignment="1">
      <alignment horizontal="right" vertical="center"/>
    </xf>
    <xf numFmtId="0" fontId="41" fillId="10" borderId="104" xfId="0" applyFont="1" applyFill="1" applyBorder="1" applyAlignment="1">
      <alignment horizontal="right" vertical="center"/>
    </xf>
    <xf numFmtId="0" fontId="41" fillId="10" borderId="96" xfId="0" applyFont="1" applyFill="1" applyBorder="1" applyAlignment="1">
      <alignment horizontal="right" vertical="center"/>
    </xf>
    <xf numFmtId="0" fontId="41" fillId="10" borderId="3" xfId="0" applyFont="1" applyFill="1" applyBorder="1" applyAlignment="1">
      <alignment horizontal="right" vertical="center"/>
    </xf>
    <xf numFmtId="0" fontId="31" fillId="9" borderId="110" xfId="0" applyFont="1" applyFill="1" applyBorder="1" applyAlignment="1">
      <alignment horizontal="center" vertical="center"/>
    </xf>
    <xf numFmtId="167" fontId="39" fillId="10" borderId="109" xfId="55" applyNumberFormat="1" applyFont="1" applyFill="1" applyBorder="1" applyAlignment="1">
      <alignment horizontal="right" vertical="center"/>
    </xf>
    <xf numFmtId="0" fontId="76" fillId="10" borderId="110" xfId="0" applyFont="1" applyFill="1" applyBorder="1" applyAlignment="1">
      <alignment horizontal="right" vertical="center"/>
    </xf>
    <xf numFmtId="0" fontId="39" fillId="10" borderId="97" xfId="55" applyNumberFormat="1" applyFont="1" applyFill="1" applyBorder="1" applyAlignment="1">
      <alignment horizontal="right" vertical="center"/>
    </xf>
    <xf numFmtId="0" fontId="77" fillId="10" borderId="97" xfId="55" applyNumberFormat="1" applyFont="1" applyFill="1" applyBorder="1" applyAlignment="1">
      <alignment horizontal="right" vertical="center"/>
    </xf>
    <xf numFmtId="0" fontId="76" fillId="10" borderId="97" xfId="0" applyFont="1" applyFill="1" applyBorder="1" applyAlignment="1">
      <alignment horizontal="right" vertical="center"/>
    </xf>
    <xf numFmtId="0" fontId="31" fillId="9" borderId="97" xfId="0" applyFont="1" applyFill="1" applyBorder="1" applyAlignment="1">
      <alignment horizontal="center" vertical="center"/>
    </xf>
    <xf numFmtId="0" fontId="39" fillId="10" borderId="113" xfId="55" applyNumberFormat="1" applyFont="1" applyFill="1" applyBorder="1" applyAlignment="1">
      <alignment horizontal="right" vertical="center"/>
    </xf>
    <xf numFmtId="0" fontId="76" fillId="10" borderId="113" xfId="0" applyFont="1" applyFill="1" applyBorder="1" applyAlignment="1">
      <alignment horizontal="right" vertical="center"/>
    </xf>
    <xf numFmtId="0" fontId="41" fillId="10" borderId="114" xfId="0" applyFont="1" applyFill="1" applyBorder="1" applyAlignment="1">
      <alignment horizontal="right" vertical="center"/>
    </xf>
    <xf numFmtId="0" fontId="77" fillId="10" borderId="113" xfId="55" applyNumberFormat="1" applyFont="1" applyFill="1" applyBorder="1" applyAlignment="1">
      <alignment horizontal="right" vertical="center"/>
    </xf>
    <xf numFmtId="0" fontId="79" fillId="10" borderId="111" xfId="0" applyFont="1" applyFill="1" applyBorder="1" applyAlignment="1">
      <alignment horizontal="left" vertical="center"/>
    </xf>
    <xf numFmtId="0" fontId="39" fillId="10" borderId="116" xfId="0" applyFont="1" applyFill="1" applyBorder="1" applyAlignment="1">
      <alignment horizontal="right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19" xfId="0" applyNumberFormat="1" applyFont="1" applyFill="1" applyBorder="1" applyAlignment="1">
      <alignment horizontal="center" vertical="center"/>
    </xf>
    <xf numFmtId="0" fontId="41" fillId="10" borderId="121" xfId="0" applyFont="1" applyFill="1" applyBorder="1" applyAlignment="1">
      <alignment horizontal="right" vertical="center"/>
    </xf>
    <xf numFmtId="0" fontId="41" fillId="10" borderId="120" xfId="0" applyFont="1" applyFill="1" applyBorder="1" applyAlignment="1">
      <alignment horizontal="right" vertical="center"/>
    </xf>
    <xf numFmtId="0" fontId="39" fillId="10" borderId="120" xfId="0" applyFont="1" applyFill="1" applyBorder="1" applyAlignment="1">
      <alignment horizontal="right" vertical="center"/>
    </xf>
    <xf numFmtId="1" fontId="25" fillId="9" borderId="122" xfId="0" applyNumberFormat="1" applyFont="1" applyFill="1" applyBorder="1" applyAlignment="1">
      <alignment horizontal="center" vertical="center"/>
    </xf>
    <xf numFmtId="1" fontId="25" fillId="9" borderId="123" xfId="0" applyNumberFormat="1" applyFont="1" applyFill="1" applyBorder="1" applyAlignment="1">
      <alignment horizontal="center" vertical="center"/>
    </xf>
    <xf numFmtId="1" fontId="25" fillId="9" borderId="124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67" fontId="39" fillId="10" borderId="112" xfId="55" applyNumberFormat="1" applyFont="1" applyFill="1" applyBorder="1" applyAlignment="1">
      <alignment horizontal="right" vertical="center"/>
    </xf>
    <xf numFmtId="0" fontId="76" fillId="10" borderId="112" xfId="0" applyFont="1" applyFill="1" applyBorder="1" applyAlignment="1">
      <alignment horizontal="right" vertical="center"/>
    </xf>
    <xf numFmtId="0" fontId="31" fillId="9" borderId="112" xfId="0" applyFont="1" applyFill="1" applyBorder="1" applyAlignment="1">
      <alignment horizontal="center" vertical="center"/>
    </xf>
    <xf numFmtId="3" fontId="39" fillId="10" borderId="112" xfId="0" applyNumberFormat="1" applyFont="1" applyFill="1" applyBorder="1" applyAlignment="1">
      <alignment horizontal="right" vertical="center"/>
    </xf>
    <xf numFmtId="2" fontId="42" fillId="9" borderId="114" xfId="0" applyNumberFormat="1" applyFont="1" applyFill="1" applyBorder="1" applyAlignment="1">
      <alignment vertical="center"/>
    </xf>
    <xf numFmtId="170" fontId="3" fillId="0" borderId="0" xfId="55" applyNumberFormat="1" applyFont="1"/>
    <xf numFmtId="0" fontId="77" fillId="10" borderId="102" xfId="55" applyNumberFormat="1" applyFont="1" applyFill="1" applyBorder="1" applyAlignment="1">
      <alignment horizontal="right" vertical="center"/>
    </xf>
    <xf numFmtId="0" fontId="77" fillId="10" borderId="108" xfId="55" applyNumberFormat="1" applyFont="1" applyFill="1" applyBorder="1" applyAlignment="1">
      <alignment horizontal="right" vertical="center"/>
    </xf>
    <xf numFmtId="0" fontId="39" fillId="10" borderId="102" xfId="55" applyNumberFormat="1" applyFont="1" applyFill="1" applyBorder="1" applyAlignment="1">
      <alignment horizontal="right" vertical="center"/>
    </xf>
    <xf numFmtId="0" fontId="80" fillId="22" borderId="25" xfId="0" applyFont="1" applyFill="1" applyBorder="1" applyAlignment="1">
      <alignment horizontal="center" vertical="center"/>
    </xf>
    <xf numFmtId="0" fontId="80" fillId="22" borderId="9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0" fillId="0" borderId="129" xfId="0" applyBorder="1" applyAlignment="1">
      <alignment horizontal="center"/>
    </xf>
    <xf numFmtId="0" fontId="76" fillId="10" borderId="109" xfId="0" applyFont="1" applyFill="1" applyBorder="1" applyAlignment="1">
      <alignment horizontal="right" vertical="center"/>
    </xf>
    <xf numFmtId="0" fontId="31" fillId="9" borderId="109" xfId="0" applyFont="1" applyFill="1" applyBorder="1" applyAlignment="1">
      <alignment horizontal="center" vertical="center"/>
    </xf>
    <xf numFmtId="3" fontId="39" fillId="10" borderId="109" xfId="0" applyNumberFormat="1" applyFont="1" applyFill="1" applyBorder="1" applyAlignment="1">
      <alignment horizontal="right" vertical="center"/>
    </xf>
    <xf numFmtId="0" fontId="41" fillId="10" borderId="131" xfId="0" applyFont="1" applyFill="1" applyBorder="1" applyAlignment="1">
      <alignment horizontal="right" vertical="center"/>
    </xf>
    <xf numFmtId="0" fontId="41" fillId="10" borderId="130" xfId="0" applyFont="1" applyFill="1" applyBorder="1" applyAlignment="1">
      <alignment horizontal="right" vertical="center"/>
    </xf>
    <xf numFmtId="0" fontId="39" fillId="10" borderId="130" xfId="0" applyFont="1" applyFill="1" applyBorder="1" applyAlignment="1">
      <alignment horizontal="right" vertical="center"/>
    </xf>
    <xf numFmtId="1" fontId="25" fillId="9" borderId="133" xfId="0" applyNumberFormat="1" applyFont="1" applyFill="1" applyBorder="1" applyAlignment="1">
      <alignment horizontal="center" vertical="center"/>
    </xf>
    <xf numFmtId="0" fontId="76" fillId="10" borderId="102" xfId="0" applyFont="1" applyFill="1" applyBorder="1" applyAlignment="1">
      <alignment horizontal="right" vertical="center"/>
    </xf>
    <xf numFmtId="0" fontId="32" fillId="9" borderId="102" xfId="0" applyFont="1" applyFill="1" applyBorder="1" applyAlignment="1">
      <alignment horizontal="center" vertical="center"/>
    </xf>
    <xf numFmtId="3" fontId="39" fillId="10" borderId="130" xfId="0" applyNumberFormat="1" applyFont="1" applyFill="1" applyBorder="1" applyAlignment="1">
      <alignment horizontal="right" vertical="center"/>
    </xf>
    <xf numFmtId="1" fontId="25" fillId="9" borderId="135" xfId="0" applyNumberFormat="1" applyFont="1" applyFill="1" applyBorder="1" applyAlignment="1">
      <alignment horizontal="center" vertical="center"/>
    </xf>
    <xf numFmtId="0" fontId="31" fillId="9" borderId="136" xfId="0" applyFont="1" applyFill="1" applyBorder="1" applyAlignment="1">
      <alignment horizontal="center" vertical="center"/>
    </xf>
    <xf numFmtId="0" fontId="76" fillId="10" borderId="136" xfId="0" applyFont="1" applyFill="1" applyBorder="1" applyAlignment="1">
      <alignment horizontal="right" vertical="center"/>
    </xf>
    <xf numFmtId="0" fontId="76" fillId="10" borderId="9" xfId="0" applyFont="1" applyFill="1" applyBorder="1" applyAlignment="1">
      <alignment horizontal="left" vertical="center"/>
    </xf>
    <xf numFmtId="0" fontId="76" fillId="10" borderId="107" xfId="0" applyFont="1" applyFill="1" applyBorder="1" applyAlignment="1">
      <alignment horizontal="left" vertical="center"/>
    </xf>
    <xf numFmtId="0" fontId="76" fillId="10" borderId="115" xfId="0" applyFont="1" applyFill="1" applyBorder="1" applyAlignment="1">
      <alignment horizontal="left" vertical="center"/>
    </xf>
    <xf numFmtId="3" fontId="13" fillId="13" borderId="137" xfId="0" applyNumberFormat="1" applyFont="1" applyFill="1" applyBorder="1" applyAlignment="1">
      <alignment horizontal="center" vertical="center"/>
    </xf>
    <xf numFmtId="0" fontId="39" fillId="10" borderId="96" xfId="0" applyFont="1" applyFill="1" applyBorder="1" applyAlignment="1">
      <alignment horizontal="right" vertical="center"/>
    </xf>
    <xf numFmtId="3" fontId="39" fillId="10" borderId="103" xfId="0" applyNumberFormat="1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39" fillId="10" borderId="114" xfId="0" applyFont="1" applyFill="1" applyBorder="1" applyAlignment="1">
      <alignment horizontal="right" vertical="center"/>
    </xf>
    <xf numFmtId="3" fontId="39" fillId="10" borderId="120" xfId="0" applyNumberFormat="1" applyFont="1" applyFill="1" applyBorder="1" applyAlignment="1">
      <alignment horizontal="right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12" xfId="0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41" fillId="10" borderId="141" xfId="0" applyFont="1" applyFill="1" applyBorder="1" applyAlignment="1">
      <alignment horizontal="right" vertical="center"/>
    </xf>
    <xf numFmtId="0" fontId="41" fillId="10" borderId="140" xfId="0" applyFont="1" applyFill="1" applyBorder="1" applyAlignment="1">
      <alignment horizontal="right" vertical="center"/>
    </xf>
    <xf numFmtId="3" fontId="39" fillId="10" borderId="140" xfId="0" applyNumberFormat="1" applyFont="1" applyFill="1" applyBorder="1" applyAlignment="1">
      <alignment horizontal="right" vertical="center"/>
    </xf>
    <xf numFmtId="0" fontId="39" fillId="10" borderId="140" xfId="0" applyFont="1" applyFill="1" applyBorder="1" applyAlignment="1">
      <alignment horizontal="right" vertical="center"/>
    </xf>
    <xf numFmtId="1" fontId="25" fillId="9" borderId="143" xfId="0" applyNumberFormat="1" applyFont="1" applyFill="1" applyBorder="1" applyAlignment="1">
      <alignment horizontal="center" vertical="center"/>
    </xf>
    <xf numFmtId="167" fontId="39" fillId="10" borderId="140" xfId="55" applyNumberFormat="1" applyFont="1" applyFill="1" applyBorder="1" applyAlignment="1">
      <alignment horizontal="right" vertical="center"/>
    </xf>
    <xf numFmtId="0" fontId="76" fillId="10" borderId="142" xfId="0" applyFont="1" applyFill="1" applyBorder="1" applyAlignment="1">
      <alignment horizontal="left" vertical="center"/>
    </xf>
    <xf numFmtId="0" fontId="76" fillId="10" borderId="140" xfId="0" applyFont="1" applyFill="1" applyBorder="1" applyAlignment="1">
      <alignment horizontal="right" vertical="center"/>
    </xf>
    <xf numFmtId="0" fontId="31" fillId="9" borderId="140" xfId="0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0" fontId="39" fillId="10" borderId="136" xfId="55" applyNumberFormat="1" applyFont="1" applyFill="1" applyBorder="1" applyAlignment="1">
      <alignment horizontal="right" vertical="center"/>
    </xf>
    <xf numFmtId="0" fontId="42" fillId="9" borderId="147" xfId="0" applyFont="1" applyFill="1" applyBorder="1" applyAlignment="1">
      <alignment vertical="center"/>
    </xf>
    <xf numFmtId="0" fontId="82" fillId="12" borderId="127" xfId="55" applyNumberFormat="1" applyFont="1" applyFill="1" applyBorder="1" applyAlignment="1">
      <alignment horizontal="center" vertical="center"/>
    </xf>
    <xf numFmtId="0" fontId="82" fillId="12" borderId="126" xfId="55" applyNumberFormat="1" applyFont="1" applyFill="1" applyBorder="1" applyAlignment="1">
      <alignment horizontal="center" vertical="center"/>
    </xf>
    <xf numFmtId="1" fontId="23" fillId="11" borderId="148" xfId="77" applyNumberFormat="1" applyFont="1" applyFill="1" applyBorder="1" applyAlignment="1">
      <alignment horizontal="center" vertical="center"/>
    </xf>
    <xf numFmtId="1" fontId="23" fillId="11" borderId="150" xfId="77" applyNumberFormat="1" applyFont="1" applyFill="1" applyBorder="1" applyAlignment="1">
      <alignment horizontal="center" vertical="center"/>
    </xf>
    <xf numFmtId="168" fontId="34" fillId="15" borderId="149" xfId="0" applyNumberFormat="1" applyFont="1" applyFill="1" applyBorder="1" applyAlignment="1">
      <alignment horizontal="center" vertical="center" wrapText="1"/>
    </xf>
    <xf numFmtId="0" fontId="76" fillId="10" borderId="107" xfId="0" applyFont="1" applyFill="1" applyBorder="1" applyAlignment="1">
      <alignment horizontal="right" vertical="center"/>
    </xf>
    <xf numFmtId="0" fontId="76" fillId="10" borderId="139" xfId="0" applyFont="1" applyFill="1" applyBorder="1" applyAlignment="1">
      <alignment horizontal="right" vertical="center"/>
    </xf>
    <xf numFmtId="0" fontId="83" fillId="10" borderId="117" xfId="0" applyFont="1" applyFill="1" applyBorder="1" applyAlignment="1">
      <alignment horizontal="left" vertical="center"/>
    </xf>
    <xf numFmtId="1" fontId="23" fillId="9" borderId="102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3" xfId="0" applyNumberFormat="1" applyFont="1" applyFill="1" applyBorder="1" applyAlignment="1">
      <alignment horizontal="center" vertical="center"/>
    </xf>
    <xf numFmtId="1" fontId="23" fillId="9" borderId="159" xfId="0" applyNumberFormat="1" applyFont="1" applyFill="1" applyBorder="1" applyAlignment="1">
      <alignment horizontal="center" vertical="center"/>
    </xf>
    <xf numFmtId="1" fontId="23" fillId="9" borderId="136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60" xfId="0" applyNumberFormat="1" applyFont="1" applyFill="1" applyBorder="1" applyAlignment="1">
      <alignment horizontal="center" vertical="center"/>
    </xf>
    <xf numFmtId="1" fontId="25" fillId="9" borderId="161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0" fontId="42" fillId="9" borderId="164" xfId="0" applyFont="1" applyFill="1" applyBorder="1" applyAlignment="1">
      <alignment vertical="center"/>
    </xf>
    <xf numFmtId="2" fontId="42" fillId="9" borderId="144" xfId="0" applyNumberFormat="1" applyFont="1" applyFill="1" applyBorder="1" applyAlignment="1">
      <alignment vertical="center"/>
    </xf>
    <xf numFmtId="0" fontId="31" fillId="9" borderId="103" xfId="0" applyFont="1" applyFill="1" applyBorder="1" applyAlignment="1">
      <alignment horizontal="center" vertical="center"/>
    </xf>
    <xf numFmtId="0" fontId="42" fillId="9" borderId="165" xfId="0" applyFont="1" applyFill="1" applyBorder="1" applyAlignment="1">
      <alignment vertical="center"/>
    </xf>
    <xf numFmtId="0" fontId="86" fillId="16" borderId="8" xfId="15" applyFont="1" applyFill="1" applyBorder="1" applyAlignment="1">
      <alignment horizontal="center" vertical="center"/>
    </xf>
    <xf numFmtId="0" fontId="87" fillId="16" borderId="8" xfId="15" applyFont="1" applyFill="1" applyBorder="1" applyAlignment="1">
      <alignment horizontal="center" vertical="center"/>
    </xf>
    <xf numFmtId="0" fontId="88" fillId="16" borderId="8" xfId="15" applyFont="1" applyFill="1" applyBorder="1" applyAlignment="1">
      <alignment horizontal="center" vertical="center"/>
    </xf>
    <xf numFmtId="166" fontId="39" fillId="10" borderId="97" xfId="0" applyNumberFormat="1" applyFont="1" applyFill="1" applyBorder="1" applyAlignment="1">
      <alignment horizontal="center" vertical="center"/>
    </xf>
    <xf numFmtId="166" fontId="39" fillId="10" borderId="167" xfId="0" applyNumberFormat="1" applyFont="1" applyFill="1" applyBorder="1" applyAlignment="1">
      <alignment horizontal="center" vertical="center"/>
    </xf>
    <xf numFmtId="166" fontId="39" fillId="10" borderId="159" xfId="0" applyNumberFormat="1" applyFont="1" applyFill="1" applyBorder="1" applyAlignment="1">
      <alignment horizontal="center" vertical="center"/>
    </xf>
    <xf numFmtId="166" fontId="39" fillId="10" borderId="102" xfId="0" applyNumberFormat="1" applyFont="1" applyFill="1" applyBorder="1" applyAlignment="1">
      <alignment horizontal="center" vertical="center"/>
    </xf>
    <xf numFmtId="166" fontId="39" fillId="10" borderId="168" xfId="0" applyNumberFormat="1" applyFont="1" applyFill="1" applyBorder="1" applyAlignment="1">
      <alignment horizontal="center" vertical="center"/>
    </xf>
    <xf numFmtId="166" fontId="39" fillId="10" borderId="3" xfId="0" applyNumberFormat="1" applyFont="1" applyFill="1" applyBorder="1" applyAlignment="1">
      <alignment horizontal="center" vertical="center"/>
    </xf>
    <xf numFmtId="166" fontId="39" fillId="10" borderId="96" xfId="0" applyNumberFormat="1" applyFont="1" applyFill="1" applyBorder="1" applyAlignment="1">
      <alignment horizontal="center" vertical="center"/>
    </xf>
    <xf numFmtId="166" fontId="39" fillId="10" borderId="141" xfId="0" applyNumberFormat="1" applyFont="1" applyFill="1" applyBorder="1" applyAlignment="1">
      <alignment horizontal="center" vertical="center"/>
    </xf>
    <xf numFmtId="166" fontId="39" fillId="10" borderId="114" xfId="0" applyNumberFormat="1" applyFont="1" applyFill="1" applyBorder="1" applyAlignment="1">
      <alignment horizontal="center" vertical="center"/>
    </xf>
    <xf numFmtId="166" fontId="39" fillId="10" borderId="131" xfId="0" applyNumberFormat="1" applyFont="1" applyFill="1" applyBorder="1" applyAlignment="1">
      <alignment horizontal="center" vertical="center"/>
    </xf>
    <xf numFmtId="0" fontId="41" fillId="10" borderId="97" xfId="0" applyFont="1" applyFill="1" applyBorder="1" applyAlignment="1">
      <alignment horizontal="right" vertical="center"/>
    </xf>
    <xf numFmtId="0" fontId="41" fillId="10" borderId="167" xfId="0" applyFont="1" applyFill="1" applyBorder="1" applyAlignment="1">
      <alignment horizontal="right" vertical="center"/>
    </xf>
    <xf numFmtId="0" fontId="41" fillId="10" borderId="159" xfId="0" applyFont="1" applyFill="1" applyBorder="1" applyAlignment="1">
      <alignment horizontal="right" vertical="center"/>
    </xf>
    <xf numFmtId="0" fontId="41" fillId="10" borderId="102" xfId="0" applyFont="1" applyFill="1" applyBorder="1" applyAlignment="1">
      <alignment horizontal="right" vertical="center"/>
    </xf>
    <xf numFmtId="0" fontId="41" fillId="10" borderId="168" xfId="0" applyFont="1" applyFill="1" applyBorder="1" applyAlignment="1">
      <alignment horizontal="right" vertical="center"/>
    </xf>
    <xf numFmtId="0" fontId="41" fillId="10" borderId="136" xfId="0" applyFont="1" applyFill="1" applyBorder="1" applyAlignment="1">
      <alignment horizontal="right" vertical="center"/>
    </xf>
    <xf numFmtId="0" fontId="41" fillId="10" borderId="113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67" xfId="0" applyFont="1" applyFill="1" applyBorder="1" applyAlignment="1">
      <alignment horizontal="center" vertical="center"/>
    </xf>
    <xf numFmtId="0" fontId="23" fillId="9" borderId="140" xfId="0" applyFont="1" applyFill="1" applyBorder="1" applyAlignment="1">
      <alignment horizontal="center" vertical="center"/>
    </xf>
    <xf numFmtId="0" fontId="78" fillId="10" borderId="107" xfId="0" applyFont="1" applyFill="1" applyBorder="1" applyAlignment="1">
      <alignment horizontal="right" vertical="center"/>
    </xf>
    <xf numFmtId="0" fontId="76" fillId="10" borderId="138" xfId="0" applyFont="1" applyFill="1" applyBorder="1" applyAlignment="1">
      <alignment horizontal="right" vertical="center"/>
    </xf>
    <xf numFmtId="0" fontId="39" fillId="10" borderId="159" xfId="55" applyNumberFormat="1" applyFont="1" applyFill="1" applyBorder="1" applyAlignment="1">
      <alignment horizontal="right" vertical="center"/>
    </xf>
    <xf numFmtId="0" fontId="31" fillId="9" borderId="159" xfId="0" applyFont="1" applyFill="1" applyBorder="1" applyAlignment="1">
      <alignment horizontal="center" vertical="center"/>
    </xf>
    <xf numFmtId="166" fontId="39" fillId="10" borderId="169" xfId="0" applyNumberFormat="1" applyFont="1" applyFill="1" applyBorder="1" applyAlignment="1">
      <alignment horizontal="center" vertical="center"/>
    </xf>
    <xf numFmtId="0" fontId="42" fillId="9" borderId="169" xfId="0" applyFont="1" applyFill="1" applyBorder="1" applyAlignment="1">
      <alignment vertical="center"/>
    </xf>
    <xf numFmtId="167" fontId="39" fillId="10" borderId="173" xfId="55" applyNumberFormat="1" applyFont="1" applyFill="1" applyBorder="1" applyAlignment="1">
      <alignment horizontal="right" vertical="center"/>
    </xf>
    <xf numFmtId="10" fontId="31" fillId="10" borderId="173" xfId="114" applyNumberFormat="1" applyFont="1" applyFill="1" applyBorder="1" applyAlignment="1">
      <alignment horizontal="right" vertical="center"/>
    </xf>
    <xf numFmtId="0" fontId="13" fillId="17" borderId="174" xfId="15" applyFont="1" applyFill="1" applyBorder="1" applyAlignment="1">
      <alignment horizontal="center" vertical="center"/>
    </xf>
    <xf numFmtId="167" fontId="39" fillId="10" borderId="175" xfId="55" applyNumberFormat="1" applyFont="1" applyFill="1" applyBorder="1" applyAlignment="1">
      <alignment horizontal="right" vertical="center"/>
    </xf>
    <xf numFmtId="10" fontId="31" fillId="10" borderId="175" xfId="114" applyNumberFormat="1" applyFont="1" applyFill="1" applyBorder="1" applyAlignment="1">
      <alignment horizontal="right" vertical="center"/>
    </xf>
    <xf numFmtId="10" fontId="86" fillId="10" borderId="173" xfId="114" applyNumberFormat="1" applyFont="1" applyFill="1" applyBorder="1" applyAlignment="1">
      <alignment horizontal="right" vertical="center"/>
    </xf>
    <xf numFmtId="10" fontId="86" fillId="10" borderId="10" xfId="114" applyNumberFormat="1" applyFont="1" applyFill="1" applyBorder="1" applyAlignment="1">
      <alignment horizontal="right" vertical="center"/>
    </xf>
    <xf numFmtId="10" fontId="86" fillId="10" borderId="175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7" fillId="10" borderId="97" xfId="55" applyNumberFormat="1" applyFont="1" applyFill="1" applyBorder="1" applyAlignment="1">
      <alignment horizontal="right" vertical="center"/>
    </xf>
    <xf numFmtId="43" fontId="34" fillId="15" borderId="128" xfId="55" applyFont="1" applyFill="1" applyBorder="1" applyAlignment="1">
      <alignment horizontal="center" vertical="center" wrapText="1"/>
    </xf>
    <xf numFmtId="1" fontId="89" fillId="11" borderId="150" xfId="77" applyNumberFormat="1" applyFont="1" applyFill="1" applyBorder="1" applyAlignment="1">
      <alignment horizontal="center" vertical="center"/>
    </xf>
    <xf numFmtId="1" fontId="89" fillId="11" borderId="148" xfId="77" applyNumberFormat="1" applyFont="1" applyFill="1" applyBorder="1" applyAlignment="1">
      <alignment horizontal="center" vertical="center"/>
    </xf>
    <xf numFmtId="1" fontId="90" fillId="11" borderId="150" xfId="77" applyNumberFormat="1" applyFont="1" applyFill="1" applyBorder="1" applyAlignment="1">
      <alignment horizontal="center" vertical="center"/>
    </xf>
    <xf numFmtId="1" fontId="91" fillId="11" borderId="148" xfId="77" applyNumberFormat="1" applyFont="1" applyFill="1" applyBorder="1" applyAlignment="1">
      <alignment horizontal="center" vertical="center"/>
    </xf>
    <xf numFmtId="1" fontId="92" fillId="11" borderId="148" xfId="77" applyNumberFormat="1" applyFont="1" applyFill="1" applyBorder="1" applyAlignment="1">
      <alignment horizontal="center" vertical="center"/>
    </xf>
    <xf numFmtId="1" fontId="93" fillId="11" borderId="150" xfId="77" applyNumberFormat="1" applyFont="1" applyFill="1" applyBorder="1" applyAlignment="1">
      <alignment horizontal="center" vertical="center"/>
    </xf>
    <xf numFmtId="0" fontId="42" fillId="9" borderId="3" xfId="0" applyNumberFormat="1" applyFont="1" applyFill="1" applyBorder="1" applyAlignment="1">
      <alignment vertical="center"/>
    </xf>
    <xf numFmtId="1" fontId="94" fillId="11" borderId="150" xfId="77" applyNumberFormat="1" applyFont="1" applyFill="1" applyBorder="1" applyAlignment="1">
      <alignment horizontal="center" vertical="center"/>
    </xf>
    <xf numFmtId="1" fontId="94" fillId="11" borderId="148" xfId="77" applyNumberFormat="1" applyFont="1" applyFill="1" applyBorder="1" applyAlignment="1">
      <alignment horizontal="center" vertical="center"/>
    </xf>
    <xf numFmtId="0" fontId="95" fillId="9" borderId="156" xfId="55" applyNumberFormat="1" applyFont="1" applyFill="1" applyBorder="1" applyAlignment="1">
      <alignment horizontal="center" vertical="center"/>
    </xf>
    <xf numFmtId="0" fontId="95" fillId="9" borderId="151" xfId="0" applyNumberFormat="1" applyFont="1" applyFill="1" applyBorder="1" applyAlignment="1">
      <alignment horizontal="center" vertical="center"/>
    </xf>
    <xf numFmtId="0" fontId="95" fillId="9" borderId="157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2" fillId="9" borderId="151" xfId="0" applyNumberFormat="1" applyFont="1" applyFill="1" applyBorder="1" applyAlignment="1">
      <alignment horizontal="center" vertical="center"/>
    </xf>
    <xf numFmtId="2" fontId="42" fillId="9" borderId="152" xfId="0" applyNumberFormat="1" applyFont="1" applyFill="1" applyBorder="1" applyAlignment="1">
      <alignment horizontal="center" vertical="center"/>
    </xf>
    <xf numFmtId="2" fontId="42" fillId="9" borderId="15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2" fillId="9" borderId="96" xfId="0" applyNumberFormat="1" applyFont="1" applyFill="1" applyBorder="1" applyAlignment="1">
      <alignment horizontal="center" vertical="center"/>
    </xf>
    <xf numFmtId="2" fontId="42" fillId="9" borderId="114" xfId="0" applyNumberFormat="1" applyFont="1" applyFill="1" applyBorder="1" applyAlignment="1">
      <alignment horizontal="center" vertical="center"/>
    </xf>
    <xf numFmtId="2" fontId="42" fillId="9" borderId="163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96" fillId="10" borderId="109" xfId="114" applyNumberFormat="1" applyFont="1" applyFill="1" applyBorder="1" applyAlignment="1">
      <alignment horizontal="center" vertical="center"/>
    </xf>
    <xf numFmtId="10" fontId="96" fillId="10" borderId="140" xfId="114" applyNumberFormat="1" applyFont="1" applyFill="1" applyBorder="1" applyAlignment="1">
      <alignment horizontal="center" vertical="center"/>
    </xf>
    <xf numFmtId="10" fontId="96" fillId="10" borderId="110" xfId="114" applyNumberFormat="1" applyFont="1" applyFill="1" applyBorder="1" applyAlignment="1">
      <alignment horizontal="center" vertical="center"/>
    </xf>
    <xf numFmtId="10" fontId="96" fillId="10" borderId="112" xfId="114" applyNumberFormat="1" applyFont="1" applyFill="1" applyBorder="1" applyAlignment="1">
      <alignment horizontal="center" vertical="center"/>
    </xf>
    <xf numFmtId="2" fontId="85" fillId="9" borderId="109" xfId="55" applyNumberFormat="1" applyFont="1" applyFill="1" applyBorder="1" applyAlignment="1">
      <alignment horizontal="center" vertical="center"/>
    </xf>
    <xf numFmtId="2" fontId="85" fillId="9" borderId="108" xfId="55" applyNumberFormat="1" applyFont="1" applyFill="1" applyBorder="1" applyAlignment="1">
      <alignment horizontal="center" vertical="center"/>
    </xf>
    <xf numFmtId="2" fontId="85" fillId="9" borderId="112" xfId="55" applyNumberFormat="1" applyFont="1" applyFill="1" applyBorder="1" applyAlignment="1">
      <alignment horizontal="center" vertical="center"/>
    </xf>
    <xf numFmtId="0" fontId="95" fillId="9" borderId="156" xfId="55" applyNumberFormat="1" applyFont="1" applyFill="1" applyBorder="1" applyAlignment="1">
      <alignment horizontal="left" vertical="center"/>
    </xf>
    <xf numFmtId="0" fontId="76" fillId="10" borderId="103" xfId="0" applyFont="1" applyFill="1" applyBorder="1" applyAlignment="1">
      <alignment horizontal="right" vertical="center"/>
    </xf>
    <xf numFmtId="0" fontId="76" fillId="10" borderId="120" xfId="0" applyFont="1" applyFill="1" applyBorder="1" applyAlignment="1">
      <alignment horizontal="right" vertical="center"/>
    </xf>
    <xf numFmtId="0" fontId="77" fillId="10" borderId="109" xfId="55" applyNumberFormat="1" applyFont="1" applyFill="1" applyBorder="1" applyAlignment="1">
      <alignment horizontal="right" vertical="center"/>
    </xf>
    <xf numFmtId="0" fontId="85" fillId="9" borderId="156" xfId="55" applyNumberFormat="1" applyFont="1" applyFill="1" applyBorder="1" applyAlignment="1">
      <alignment horizontal="right" vertical="center"/>
    </xf>
    <xf numFmtId="0" fontId="77" fillId="10" borderId="120" xfId="55" applyNumberFormat="1" applyFont="1" applyFill="1" applyBorder="1" applyAlignment="1">
      <alignment horizontal="right" vertical="center"/>
    </xf>
    <xf numFmtId="0" fontId="85" fillId="9" borderId="108" xfId="55" applyNumberFormat="1" applyFont="1" applyFill="1" applyBorder="1" applyAlignment="1">
      <alignment horizontal="right" vertical="center"/>
    </xf>
    <xf numFmtId="0" fontId="77" fillId="10" borderId="103" xfId="55" applyNumberFormat="1" applyFont="1" applyFill="1" applyBorder="1" applyAlignment="1">
      <alignment horizontal="right" vertical="center"/>
    </xf>
    <xf numFmtId="0" fontId="77" fillId="10" borderId="140" xfId="55" applyNumberFormat="1" applyFont="1" applyFill="1" applyBorder="1" applyAlignment="1">
      <alignment horizontal="right" vertical="center"/>
    </xf>
    <xf numFmtId="0" fontId="85" fillId="9" borderId="176" xfId="55" applyNumberFormat="1" applyFont="1" applyFill="1" applyBorder="1" applyAlignment="1">
      <alignment horizontal="right" vertical="center"/>
    </xf>
    <xf numFmtId="0" fontId="97" fillId="9" borderId="108" xfId="55" applyNumberFormat="1" applyFont="1" applyFill="1" applyBorder="1" applyAlignment="1">
      <alignment horizontal="right" vertical="center"/>
    </xf>
    <xf numFmtId="0" fontId="97" fillId="9" borderId="176" xfId="55" applyNumberFormat="1" applyFont="1" applyFill="1" applyBorder="1" applyAlignment="1">
      <alignment horizontal="right" vertical="center"/>
    </xf>
    <xf numFmtId="0" fontId="97" fillId="9" borderId="156" xfId="55" applyNumberFormat="1" applyFont="1" applyFill="1" applyBorder="1" applyAlignment="1">
      <alignment horizontal="right" vertical="center"/>
    </xf>
    <xf numFmtId="0" fontId="31" fillId="9" borderId="176" xfId="0" applyFont="1" applyFill="1" applyBorder="1" applyAlignment="1">
      <alignment horizontal="center" vertical="center"/>
    </xf>
    <xf numFmtId="10" fontId="98" fillId="10" borderId="109" xfId="114" applyNumberFormat="1" applyFont="1" applyFill="1" applyBorder="1" applyAlignment="1">
      <alignment horizontal="center" vertical="center"/>
    </xf>
    <xf numFmtId="10" fontId="98" fillId="10" borderId="108" xfId="114" applyNumberFormat="1" applyFont="1" applyFill="1" applyBorder="1" applyAlignment="1">
      <alignment horizontal="center" vertical="center"/>
    </xf>
    <xf numFmtId="10" fontId="98" fillId="10" borderId="145" xfId="114" applyNumberFormat="1" applyFont="1" applyFill="1" applyBorder="1" applyAlignment="1">
      <alignment horizontal="center" vertical="center"/>
    </xf>
    <xf numFmtId="10" fontId="98" fillId="10" borderId="110" xfId="114" applyNumberFormat="1" applyFont="1" applyFill="1" applyBorder="1" applyAlignment="1">
      <alignment horizontal="center" vertical="center"/>
    </xf>
    <xf numFmtId="10" fontId="98" fillId="10" borderId="112" xfId="114" applyNumberFormat="1" applyFont="1" applyFill="1" applyBorder="1" applyAlignment="1">
      <alignment horizontal="center" vertical="center"/>
    </xf>
    <xf numFmtId="10" fontId="98" fillId="10" borderId="130" xfId="114" applyNumberFormat="1" applyFont="1" applyFill="1" applyBorder="1" applyAlignment="1">
      <alignment horizontal="center" vertical="center"/>
    </xf>
    <xf numFmtId="0" fontId="95" fillId="9" borderId="3" xfId="55" applyNumberFormat="1" applyFont="1" applyFill="1" applyBorder="1" applyAlignment="1">
      <alignment vertical="center"/>
    </xf>
    <xf numFmtId="0" fontId="95" fillId="9" borderId="105" xfId="55" applyNumberFormat="1" applyFont="1" applyFill="1" applyBorder="1" applyAlignment="1">
      <alignment vertical="center"/>
    </xf>
    <xf numFmtId="0" fontId="95" fillId="9" borderId="114" xfId="55" applyNumberFormat="1" applyFont="1" applyFill="1" applyBorder="1" applyAlignment="1">
      <alignment vertical="center"/>
    </xf>
    <xf numFmtId="0" fontId="95" fillId="9" borderId="3" xfId="0" applyNumberFormat="1" applyFont="1" applyFill="1" applyBorder="1" applyAlignment="1">
      <alignment vertical="center"/>
    </xf>
    <xf numFmtId="0" fontId="95" fillId="9" borderId="96" xfId="0" applyNumberFormat="1" applyFont="1" applyFill="1" applyBorder="1" applyAlignment="1">
      <alignment vertical="center"/>
    </xf>
    <xf numFmtId="0" fontId="99" fillId="9" borderId="102" xfId="55" applyNumberFormat="1" applyFont="1" applyFill="1" applyBorder="1" applyAlignment="1">
      <alignment vertical="top"/>
    </xf>
    <xf numFmtId="0" fontId="99" fillId="9" borderId="106" xfId="55" applyNumberFormat="1" applyFont="1" applyFill="1" applyBorder="1" applyAlignment="1">
      <alignment vertical="top"/>
    </xf>
    <xf numFmtId="0" fontId="99" fillId="9" borderId="113" xfId="55" applyNumberFormat="1" applyFont="1" applyFill="1" applyBorder="1" applyAlignment="1">
      <alignment vertical="top"/>
    </xf>
    <xf numFmtId="0" fontId="99" fillId="9" borderId="3" xfId="55" applyNumberFormat="1" applyFont="1" applyFill="1" applyBorder="1" applyAlignment="1">
      <alignment vertical="top"/>
    </xf>
    <xf numFmtId="0" fontId="99" fillId="9" borderId="105" xfId="55" applyNumberFormat="1" applyFont="1" applyFill="1" applyBorder="1" applyAlignment="1">
      <alignment vertical="top"/>
    </xf>
    <xf numFmtId="0" fontId="99" fillId="9" borderId="114" xfId="55" applyNumberFormat="1" applyFont="1" applyFill="1" applyBorder="1" applyAlignment="1">
      <alignment vertical="top"/>
    </xf>
    <xf numFmtId="2" fontId="100" fillId="9" borderId="3" xfId="0" applyNumberFormat="1" applyFont="1" applyFill="1" applyBorder="1" applyAlignment="1">
      <alignment vertical="top"/>
    </xf>
    <xf numFmtId="2" fontId="100" fillId="9" borderId="96" xfId="0" applyNumberFormat="1" applyFont="1" applyFill="1" applyBorder="1" applyAlignment="1">
      <alignment vertical="top"/>
    </xf>
    <xf numFmtId="2" fontId="100" fillId="9" borderId="114" xfId="0" applyNumberFormat="1" applyFont="1" applyFill="1" applyBorder="1" applyAlignment="1">
      <alignment vertical="top"/>
    </xf>
    <xf numFmtId="2" fontId="100" fillId="9" borderId="144" xfId="0" applyNumberFormat="1" applyFont="1" applyFill="1" applyBorder="1" applyAlignment="1">
      <alignment vertical="top"/>
    </xf>
    <xf numFmtId="2" fontId="100" fillId="9" borderId="131" xfId="0" applyNumberFormat="1" applyFont="1" applyFill="1" applyBorder="1" applyAlignment="1">
      <alignment vertical="top"/>
    </xf>
    <xf numFmtId="2" fontId="100" fillId="9" borderId="166" xfId="0" applyNumberFormat="1" applyFont="1" applyFill="1" applyBorder="1" applyAlignment="1">
      <alignment vertical="top"/>
    </xf>
    <xf numFmtId="0" fontId="101" fillId="0" borderId="0" xfId="0" applyFont="1" applyAlignment="1">
      <alignment vertical="top"/>
    </xf>
    <xf numFmtId="0" fontId="95" fillId="9" borderId="114" xfId="0" applyNumberFormat="1" applyFont="1" applyFill="1" applyBorder="1" applyAlignment="1">
      <alignment vertical="center"/>
    </xf>
    <xf numFmtId="0" fontId="38" fillId="9" borderId="172" xfId="0" applyFont="1" applyFill="1" applyBorder="1" applyAlignment="1">
      <alignment vertical="center"/>
    </xf>
    <xf numFmtId="0" fontId="38" fillId="9" borderId="110" xfId="0" applyFont="1" applyFill="1" applyBorder="1" applyAlignment="1">
      <alignment vertical="center"/>
    </xf>
    <xf numFmtId="0" fontId="95" fillId="9" borderId="156" xfId="55" applyNumberFormat="1" applyFont="1" applyFill="1" applyBorder="1" applyAlignment="1">
      <alignment horizontal="right" vertical="center"/>
    </xf>
    <xf numFmtId="2" fontId="42" fillId="9" borderId="154" xfId="0" applyNumberFormat="1" applyFont="1" applyFill="1" applyBorder="1" applyAlignment="1">
      <alignment horizontal="center" vertical="center"/>
    </xf>
    <xf numFmtId="2" fontId="42" fillId="9" borderId="3" xfId="0" applyNumberFormat="1" applyFont="1" applyFill="1" applyBorder="1" applyAlignment="1">
      <alignment horizontal="center" vertical="center"/>
    </xf>
    <xf numFmtId="0" fontId="77" fillId="10" borderId="130" xfId="55" applyNumberFormat="1" applyFont="1" applyFill="1" applyBorder="1" applyAlignment="1">
      <alignment horizontal="right" vertical="center"/>
    </xf>
    <xf numFmtId="0" fontId="76" fillId="10" borderId="130" xfId="0" applyFont="1" applyFill="1" applyBorder="1" applyAlignment="1">
      <alignment horizontal="right" vertical="center"/>
    </xf>
    <xf numFmtId="0" fontId="85" fillId="9" borderId="186" xfId="55" applyNumberFormat="1" applyFont="1" applyFill="1" applyBorder="1" applyAlignment="1">
      <alignment horizontal="right" vertical="center"/>
    </xf>
    <xf numFmtId="0" fontId="97" fillId="9" borderId="186" xfId="55" applyNumberFormat="1" applyFont="1" applyFill="1" applyBorder="1" applyAlignment="1">
      <alignment horizontal="right" vertical="center"/>
    </xf>
    <xf numFmtId="0" fontId="31" fillId="9" borderId="186" xfId="0" applyFont="1" applyFill="1" applyBorder="1" applyAlignment="1">
      <alignment horizontal="center" vertical="center"/>
    </xf>
    <xf numFmtId="10" fontId="98" fillId="10" borderId="134" xfId="114" applyNumberFormat="1" applyFont="1" applyFill="1" applyBorder="1" applyAlignment="1">
      <alignment horizontal="center" vertical="center"/>
    </xf>
    <xf numFmtId="166" fontId="39" fillId="10" borderId="136" xfId="0" applyNumberFormat="1" applyFont="1" applyFill="1" applyBorder="1" applyAlignment="1">
      <alignment horizontal="center" vertical="center"/>
    </xf>
    <xf numFmtId="0" fontId="26" fillId="9" borderId="136" xfId="0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2" fontId="95" fillId="9" borderId="185" xfId="0" applyNumberFormat="1" applyFont="1" applyFill="1" applyBorder="1" applyAlignment="1">
      <alignment horizontal="center" vertical="center"/>
    </xf>
    <xf numFmtId="2" fontId="85" fillId="9" borderId="134" xfId="55" applyNumberFormat="1" applyFont="1" applyFill="1" applyBorder="1" applyAlignment="1">
      <alignment horizontal="center" vertical="center"/>
    </xf>
    <xf numFmtId="2" fontId="95" fillId="9" borderId="156" xfId="55" applyNumberFormat="1" applyFont="1" applyFill="1" applyBorder="1" applyAlignment="1">
      <alignment horizontal="right" vertical="center"/>
    </xf>
    <xf numFmtId="2" fontId="95" fillId="9" borderId="158" xfId="55" applyNumberFormat="1" applyFont="1" applyFill="1" applyBorder="1" applyAlignment="1">
      <alignment horizontal="right" vertical="center"/>
    </xf>
    <xf numFmtId="164" fontId="95" fillId="9" borderId="158" xfId="55" applyNumberFormat="1" applyFont="1" applyFill="1" applyBorder="1" applyAlignment="1">
      <alignment horizontal="right" vertical="center"/>
    </xf>
    <xf numFmtId="0" fontId="95" fillId="9" borderId="191" xfId="0" applyNumberFormat="1" applyFont="1" applyFill="1" applyBorder="1" applyAlignment="1">
      <alignment vertical="center"/>
    </xf>
    <xf numFmtId="0" fontId="95" fillId="9" borderId="132" xfId="55" applyNumberFormat="1" applyFont="1" applyFill="1" applyBorder="1" applyAlignment="1">
      <alignment vertical="center"/>
    </xf>
    <xf numFmtId="0" fontId="102" fillId="9" borderId="156" xfId="55" applyNumberFormat="1" applyFont="1" applyFill="1" applyBorder="1" applyAlignment="1">
      <alignment horizontal="left" vertical="center"/>
    </xf>
    <xf numFmtId="0" fontId="102" fillId="9" borderId="158" xfId="55" applyNumberFormat="1" applyFont="1" applyFill="1" applyBorder="1" applyAlignment="1">
      <alignment horizontal="right" vertical="center"/>
    </xf>
    <xf numFmtId="0" fontId="103" fillId="9" borderId="156" xfId="55" applyNumberFormat="1" applyFont="1" applyFill="1" applyBorder="1" applyAlignment="1">
      <alignment horizontal="left" vertical="center"/>
    </xf>
    <xf numFmtId="0" fontId="104" fillId="9" borderId="156" xfId="55" applyNumberFormat="1" applyFont="1" applyFill="1" applyBorder="1" applyAlignment="1">
      <alignment horizontal="left" vertical="center"/>
    </xf>
    <xf numFmtId="0" fontId="104" fillId="9" borderId="158" xfId="55" applyNumberFormat="1" applyFont="1" applyFill="1" applyBorder="1" applyAlignment="1">
      <alignment horizontal="right" vertical="center"/>
    </xf>
    <xf numFmtId="0" fontId="105" fillId="9" borderId="156" xfId="55" applyNumberFormat="1" applyFont="1" applyFill="1" applyBorder="1" applyAlignment="1">
      <alignment horizontal="right" vertical="center"/>
    </xf>
    <xf numFmtId="0" fontId="106" fillId="9" borderId="156" xfId="55" applyNumberFormat="1" applyFont="1" applyFill="1" applyBorder="1" applyAlignment="1">
      <alignment horizontal="right" vertical="center"/>
    </xf>
    <xf numFmtId="0" fontId="106" fillId="10" borderId="109" xfId="0" applyFont="1" applyFill="1" applyBorder="1" applyAlignment="1">
      <alignment horizontal="right" vertical="center"/>
    </xf>
    <xf numFmtId="0" fontId="105" fillId="10" borderId="109" xfId="55" applyNumberFormat="1" applyFont="1" applyFill="1" applyBorder="1" applyAlignment="1">
      <alignment horizontal="right" vertical="center"/>
    </xf>
    <xf numFmtId="0" fontId="107" fillId="9" borderId="103" xfId="0" applyFont="1" applyFill="1" applyBorder="1" applyAlignment="1">
      <alignment horizontal="center" vertical="center"/>
    </xf>
    <xf numFmtId="10" fontId="108" fillId="10" borderId="109" xfId="114" applyNumberFormat="1" applyFont="1" applyFill="1" applyBorder="1" applyAlignment="1">
      <alignment horizontal="center" vertical="center"/>
    </xf>
    <xf numFmtId="0" fontId="109" fillId="10" borderId="3" xfId="0" applyFont="1" applyFill="1" applyBorder="1" applyAlignment="1">
      <alignment horizontal="right" vertical="center"/>
    </xf>
    <xf numFmtId="0" fontId="109" fillId="10" borderId="109" xfId="0" applyFont="1" applyFill="1" applyBorder="1" applyAlignment="1">
      <alignment horizontal="right" vertical="center"/>
    </xf>
    <xf numFmtId="0" fontId="109" fillId="10" borderId="102" xfId="0" applyFont="1" applyFill="1" applyBorder="1" applyAlignment="1">
      <alignment horizontal="right" vertical="center"/>
    </xf>
    <xf numFmtId="0" fontId="110" fillId="10" borderId="109" xfId="0" applyFont="1" applyFill="1" applyBorder="1" applyAlignment="1">
      <alignment horizontal="right" vertical="center"/>
    </xf>
    <xf numFmtId="3" fontId="110" fillId="10" borderId="109" xfId="0" applyNumberFormat="1" applyFont="1" applyFill="1" applyBorder="1" applyAlignment="1">
      <alignment horizontal="right" vertical="center"/>
    </xf>
    <xf numFmtId="0" fontId="105" fillId="10" borderId="120" xfId="55" applyNumberFormat="1" applyFont="1" applyFill="1" applyBorder="1" applyAlignment="1">
      <alignment horizontal="right" vertical="center"/>
    </xf>
    <xf numFmtId="0" fontId="106" fillId="10" borderId="120" xfId="0" applyFont="1" applyFill="1" applyBorder="1" applyAlignment="1">
      <alignment horizontal="right" vertical="center"/>
    </xf>
    <xf numFmtId="0" fontId="106" fillId="9" borderId="108" xfId="55" applyNumberFormat="1" applyFont="1" applyFill="1" applyBorder="1" applyAlignment="1">
      <alignment horizontal="right" vertical="center"/>
    </xf>
    <xf numFmtId="0" fontId="105" fillId="9" borderId="108" xfId="55" applyNumberFormat="1" applyFont="1" applyFill="1" applyBorder="1" applyAlignment="1">
      <alignment horizontal="right" vertical="center"/>
    </xf>
    <xf numFmtId="0" fontId="107" fillId="9" borderId="97" xfId="0" applyFont="1" applyFill="1" applyBorder="1" applyAlignment="1">
      <alignment horizontal="center" vertical="center"/>
    </xf>
    <xf numFmtId="10" fontId="108" fillId="10" borderId="108" xfId="114" applyNumberFormat="1" applyFont="1" applyFill="1" applyBorder="1" applyAlignment="1">
      <alignment horizontal="center" vertical="center"/>
    </xf>
    <xf numFmtId="0" fontId="109" fillId="10" borderId="121" xfId="0" applyFont="1" applyFill="1" applyBorder="1" applyAlignment="1">
      <alignment horizontal="right" vertical="center"/>
    </xf>
    <xf numFmtId="0" fontId="109" fillId="10" borderId="120" xfId="0" applyFont="1" applyFill="1" applyBorder="1" applyAlignment="1">
      <alignment horizontal="right" vertical="center"/>
    </xf>
    <xf numFmtId="0" fontId="109" fillId="10" borderId="168" xfId="0" applyFont="1" applyFill="1" applyBorder="1" applyAlignment="1">
      <alignment horizontal="right" vertical="center"/>
    </xf>
    <xf numFmtId="0" fontId="110" fillId="10" borderId="120" xfId="0" applyFont="1" applyFill="1" applyBorder="1" applyAlignment="1">
      <alignment horizontal="right" vertical="center"/>
    </xf>
    <xf numFmtId="3" fontId="110" fillId="10" borderId="120" xfId="0" applyNumberFormat="1" applyFont="1" applyFill="1" applyBorder="1" applyAlignment="1">
      <alignment horizontal="right" vertical="center"/>
    </xf>
    <xf numFmtId="0" fontId="106" fillId="10" borderId="103" xfId="0" applyFont="1" applyFill="1" applyBorder="1" applyAlignment="1">
      <alignment horizontal="right" vertical="center"/>
    </xf>
    <xf numFmtId="0" fontId="105" fillId="10" borderId="103" xfId="55" applyNumberFormat="1" applyFont="1" applyFill="1" applyBorder="1" applyAlignment="1">
      <alignment horizontal="right" vertical="center"/>
    </xf>
    <xf numFmtId="0" fontId="109" fillId="10" borderId="104" xfId="0" applyFont="1" applyFill="1" applyBorder="1" applyAlignment="1">
      <alignment horizontal="right" vertical="center"/>
    </xf>
    <xf numFmtId="0" fontId="109" fillId="10" borderId="103" xfId="0" applyFont="1" applyFill="1" applyBorder="1" applyAlignment="1">
      <alignment horizontal="right" vertical="center"/>
    </xf>
    <xf numFmtId="0" fontId="109" fillId="10" borderId="167" xfId="0" applyFont="1" applyFill="1" applyBorder="1" applyAlignment="1">
      <alignment horizontal="right" vertical="center"/>
    </xf>
    <xf numFmtId="0" fontId="110" fillId="10" borderId="103" xfId="0" applyFont="1" applyFill="1" applyBorder="1" applyAlignment="1">
      <alignment horizontal="right" vertical="center"/>
    </xf>
    <xf numFmtId="3" fontId="110" fillId="10" borderId="103" xfId="0" applyNumberFormat="1" applyFont="1" applyFill="1" applyBorder="1" applyAlignment="1">
      <alignment horizontal="right" vertical="center"/>
    </xf>
    <xf numFmtId="0" fontId="109" fillId="10" borderId="96" xfId="0" applyFont="1" applyFill="1" applyBorder="1" applyAlignment="1">
      <alignment horizontal="right" vertical="center"/>
    </xf>
    <xf numFmtId="0" fontId="109" fillId="10" borderId="110" xfId="0" applyFont="1" applyFill="1" applyBorder="1" applyAlignment="1">
      <alignment horizontal="right" vertical="center"/>
    </xf>
    <xf numFmtId="0" fontId="109" fillId="10" borderId="97" xfId="0" applyFont="1" applyFill="1" applyBorder="1" applyAlignment="1">
      <alignment horizontal="right" vertical="center"/>
    </xf>
    <xf numFmtId="0" fontId="110" fillId="10" borderId="110" xfId="0" applyFont="1" applyFill="1" applyBorder="1" applyAlignment="1">
      <alignment horizontal="right" vertical="center"/>
    </xf>
    <xf numFmtId="3" fontId="110" fillId="10" borderId="110" xfId="0" applyNumberFormat="1" applyFont="1" applyFill="1" applyBorder="1" applyAlignment="1">
      <alignment horizontal="right" vertical="center"/>
    </xf>
    <xf numFmtId="2" fontId="102" fillId="9" borderId="156" xfId="55" applyNumberFormat="1" applyFont="1" applyFill="1" applyBorder="1" applyAlignment="1">
      <alignment horizontal="left" vertical="center"/>
    </xf>
    <xf numFmtId="2" fontId="111" fillId="9" borderId="109" xfId="55" applyNumberFormat="1" applyFont="1" applyFill="1" applyBorder="1" applyAlignment="1">
      <alignment horizontal="left" vertical="center"/>
    </xf>
    <xf numFmtId="164" fontId="112" fillId="9" borderId="109" xfId="55" applyNumberFormat="1" applyFont="1" applyFill="1" applyBorder="1" applyAlignment="1">
      <alignment horizontal="left" vertical="center"/>
    </xf>
    <xf numFmtId="2" fontId="102" fillId="9" borderId="151" xfId="0" applyNumberFormat="1" applyFont="1" applyFill="1" applyBorder="1" applyAlignment="1">
      <alignment horizontal="right" vertical="center"/>
    </xf>
    <xf numFmtId="2" fontId="111" fillId="9" borderId="108" xfId="55" applyNumberFormat="1" applyFont="1" applyFill="1" applyBorder="1" applyAlignment="1">
      <alignment horizontal="right" vertical="center"/>
    </xf>
    <xf numFmtId="164" fontId="112" fillId="9" borderId="108" xfId="55" applyNumberFormat="1" applyFont="1" applyFill="1" applyBorder="1" applyAlignment="1">
      <alignment horizontal="right" vertical="center"/>
    </xf>
    <xf numFmtId="2" fontId="103" fillId="9" borderId="157" xfId="0" applyNumberFormat="1" applyFont="1" applyFill="1" applyBorder="1" applyAlignment="1">
      <alignment horizontal="left" vertical="center"/>
    </xf>
    <xf numFmtId="164" fontId="113" fillId="9" borderId="109" xfId="55" applyNumberFormat="1" applyFont="1" applyFill="1" applyBorder="1" applyAlignment="1">
      <alignment horizontal="left" vertical="center"/>
    </xf>
    <xf numFmtId="1" fontId="104" fillId="9" borderId="156" xfId="55" applyNumberFormat="1" applyFont="1" applyFill="1" applyBorder="1" applyAlignment="1">
      <alignment horizontal="left" vertical="center"/>
    </xf>
    <xf numFmtId="2" fontId="113" fillId="9" borderId="109" xfId="55" applyNumberFormat="1" applyFont="1" applyFill="1" applyBorder="1" applyAlignment="1">
      <alignment horizontal="left" vertical="center"/>
    </xf>
    <xf numFmtId="165" fontId="112" fillId="9" borderId="109" xfId="55" applyNumberFormat="1" applyFont="1" applyFill="1" applyBorder="1" applyAlignment="1">
      <alignment horizontal="left" vertical="center"/>
    </xf>
    <xf numFmtId="1" fontId="104" fillId="9" borderId="151" xfId="0" applyNumberFormat="1" applyFont="1" applyFill="1" applyBorder="1" applyAlignment="1">
      <alignment horizontal="right" vertical="center"/>
    </xf>
    <xf numFmtId="2" fontId="113" fillId="9" borderId="108" xfId="55" applyNumberFormat="1" applyFont="1" applyFill="1" applyBorder="1" applyAlignment="1">
      <alignment horizontal="right" vertical="center"/>
    </xf>
    <xf numFmtId="165" fontId="112" fillId="9" borderId="108" xfId="55" applyNumberFormat="1" applyFont="1" applyFill="1" applyBorder="1" applyAlignment="1">
      <alignment horizontal="right" vertical="center"/>
    </xf>
    <xf numFmtId="1" fontId="104" fillId="9" borderId="157" xfId="0" applyNumberFormat="1" applyFont="1" applyFill="1" applyBorder="1" applyAlignment="1">
      <alignment horizontal="left" vertical="center"/>
    </xf>
    <xf numFmtId="2" fontId="112" fillId="9" borderId="112" xfId="55" applyNumberFormat="1" applyFont="1" applyFill="1" applyBorder="1" applyAlignment="1">
      <alignment vertical="center"/>
    </xf>
    <xf numFmtId="165" fontId="113" fillId="9" borderId="109" xfId="55" applyNumberFormat="1" applyFont="1" applyFill="1" applyBorder="1" applyAlignment="1">
      <alignment vertical="center"/>
    </xf>
    <xf numFmtId="0" fontId="8" fillId="4" borderId="101" xfId="65" applyFont="1" applyFill="1" applyBorder="1" applyAlignment="1">
      <alignment horizontal="center"/>
    </xf>
    <xf numFmtId="0" fontId="114" fillId="31" borderId="34" xfId="0" applyFont="1" applyFill="1" applyBorder="1" applyAlignment="1">
      <alignment horizontal="center" vertical="center"/>
    </xf>
    <xf numFmtId="4" fontId="114" fillId="34" borderId="34" xfId="0" applyNumberFormat="1" applyFont="1" applyFill="1" applyBorder="1" applyAlignment="1">
      <alignment horizontal="center" vertical="center"/>
    </xf>
    <xf numFmtId="0" fontId="114" fillId="27" borderId="34" xfId="0" applyFont="1" applyFill="1" applyBorder="1" applyAlignment="1">
      <alignment horizontal="center" vertical="center"/>
    </xf>
    <xf numFmtId="0" fontId="114" fillId="31" borderId="93" xfId="0" applyFont="1" applyFill="1" applyBorder="1" applyAlignment="1">
      <alignment horizontal="center" vertical="center"/>
    </xf>
    <xf numFmtId="1" fontId="114" fillId="31" borderId="34" xfId="0" applyNumberFormat="1" applyFont="1" applyFill="1" applyBorder="1" applyAlignment="1">
      <alignment horizontal="center" vertical="center"/>
    </xf>
    <xf numFmtId="165" fontId="85" fillId="9" borderId="109" xfId="55" applyNumberFormat="1" applyFont="1" applyFill="1" applyBorder="1" applyAlignment="1">
      <alignment horizontal="center" vertical="center"/>
    </xf>
    <xf numFmtId="165" fontId="85" fillId="9" borderId="108" xfId="55" applyNumberFormat="1" applyFont="1" applyFill="1" applyBorder="1" applyAlignment="1">
      <alignment horizontal="center" vertical="center"/>
    </xf>
    <xf numFmtId="2" fontId="76" fillId="9" borderId="112" xfId="0" applyNumberFormat="1" applyFont="1" applyFill="1" applyBorder="1" applyAlignment="1">
      <alignment horizontal="center" vertical="center"/>
    </xf>
    <xf numFmtId="2" fontId="76" fillId="9" borderId="109" xfId="0" applyNumberFormat="1" applyFont="1" applyFill="1" applyBorder="1" applyAlignment="1">
      <alignment horizontal="center" vertical="center"/>
    </xf>
    <xf numFmtId="2" fontId="76" fillId="9" borderId="108" xfId="0" applyNumberFormat="1" applyFont="1" applyFill="1" applyBorder="1" applyAlignment="1">
      <alignment horizontal="center" vertical="center"/>
    </xf>
    <xf numFmtId="0" fontId="26" fillId="9" borderId="159" xfId="0" applyFont="1" applyFill="1" applyBorder="1" applyAlignment="1">
      <alignment horizontal="center" vertical="center"/>
    </xf>
    <xf numFmtId="2" fontId="95" fillId="9" borderId="155" xfId="0" applyNumberFormat="1" applyFont="1" applyFill="1" applyBorder="1" applyAlignment="1">
      <alignment horizontal="center" vertical="center"/>
    </xf>
    <xf numFmtId="2" fontId="85" fillId="9" borderId="145" xfId="55" applyNumberFormat="1" applyFont="1" applyFill="1" applyBorder="1" applyAlignment="1">
      <alignment horizontal="center" vertical="center"/>
    </xf>
    <xf numFmtId="0" fontId="85" fillId="9" borderId="164" xfId="55" applyNumberFormat="1" applyFont="1" applyFill="1" applyBorder="1" applyAlignment="1">
      <alignment horizontal="right" vertical="center"/>
    </xf>
    <xf numFmtId="164" fontId="95" fillId="9" borderId="184" xfId="0" applyNumberFormat="1" applyFont="1" applyFill="1" applyBorder="1" applyAlignment="1">
      <alignment horizontal="left" vertical="center"/>
    </xf>
    <xf numFmtId="0" fontId="99" fillId="9" borderId="144" xfId="55" applyNumberFormat="1" applyFont="1" applyFill="1" applyBorder="1" applyAlignment="1">
      <alignment vertical="top"/>
    </xf>
    <xf numFmtId="0" fontId="103" fillId="9" borderId="185" xfId="0" applyNumberFormat="1" applyFont="1" applyFill="1" applyBorder="1" applyAlignment="1">
      <alignment horizontal="right" vertical="center"/>
    </xf>
    <xf numFmtId="0" fontId="105" fillId="10" borderId="130" xfId="55" applyNumberFormat="1" applyFont="1" applyFill="1" applyBorder="1" applyAlignment="1">
      <alignment horizontal="right" vertical="center"/>
    </xf>
    <xf numFmtId="0" fontId="106" fillId="10" borderId="130" xfId="0" applyFont="1" applyFill="1" applyBorder="1" applyAlignment="1">
      <alignment horizontal="right" vertical="center"/>
    </xf>
    <xf numFmtId="0" fontId="106" fillId="9" borderId="134" xfId="55" applyNumberFormat="1" applyFont="1" applyFill="1" applyBorder="1" applyAlignment="1">
      <alignment horizontal="right" vertical="center"/>
    </xf>
    <xf numFmtId="0" fontId="105" fillId="9" borderId="134" xfId="55" applyNumberFormat="1" applyFont="1" applyFill="1" applyBorder="1" applyAlignment="1">
      <alignment horizontal="right" vertical="center"/>
    </xf>
    <xf numFmtId="0" fontId="107" fillId="9" borderId="186" xfId="0" applyFont="1" applyFill="1" applyBorder="1" applyAlignment="1">
      <alignment horizontal="center" vertical="center"/>
    </xf>
    <xf numFmtId="10" fontId="108" fillId="10" borderId="134" xfId="114" applyNumberFormat="1" applyFont="1" applyFill="1" applyBorder="1" applyAlignment="1">
      <alignment horizontal="center" vertical="center"/>
    </xf>
    <xf numFmtId="0" fontId="109" fillId="10" borderId="131" xfId="0" applyFont="1" applyFill="1" applyBorder="1" applyAlignment="1">
      <alignment horizontal="right" vertical="center"/>
    </xf>
    <xf numFmtId="0" fontId="109" fillId="10" borderId="130" xfId="0" applyFont="1" applyFill="1" applyBorder="1" applyAlignment="1">
      <alignment horizontal="right" vertical="center"/>
    </xf>
    <xf numFmtId="0" fontId="109" fillId="10" borderId="136" xfId="0" applyFont="1" applyFill="1" applyBorder="1" applyAlignment="1">
      <alignment horizontal="right" vertical="center"/>
    </xf>
    <xf numFmtId="0" fontId="110" fillId="10" borderId="130" xfId="0" applyFont="1" applyFill="1" applyBorder="1" applyAlignment="1">
      <alignment horizontal="right" vertical="center"/>
    </xf>
    <xf numFmtId="3" fontId="110" fillId="10" borderId="130" xfId="0" applyNumberFormat="1" applyFont="1" applyFill="1" applyBorder="1" applyAlignment="1">
      <alignment horizontal="right" vertical="center"/>
    </xf>
    <xf numFmtId="0" fontId="99" fillId="9" borderId="193" xfId="55" applyNumberFormat="1" applyFont="1" applyFill="1" applyBorder="1" applyAlignment="1">
      <alignment vertical="top"/>
    </xf>
    <xf numFmtId="2" fontId="103" fillId="9" borderId="190" xfId="0" applyNumberFormat="1" applyFont="1" applyFill="1" applyBorder="1" applyAlignment="1">
      <alignment horizontal="right" vertical="center"/>
    </xf>
    <xf numFmtId="2" fontId="111" fillId="9" borderId="134" xfId="55" applyNumberFormat="1" applyFont="1" applyFill="1" applyBorder="1" applyAlignment="1">
      <alignment horizontal="right" vertical="center"/>
    </xf>
    <xf numFmtId="164" fontId="113" fillId="9" borderId="134" xfId="55" applyNumberFormat="1" applyFont="1" applyFill="1" applyBorder="1" applyAlignment="1">
      <alignment horizontal="right" vertical="center"/>
    </xf>
    <xf numFmtId="0" fontId="115" fillId="9" borderId="156" xfId="55" applyNumberFormat="1" applyFont="1" applyFill="1" applyBorder="1" applyAlignment="1">
      <alignment horizontal="left" vertical="center"/>
    </xf>
    <xf numFmtId="0" fontId="115" fillId="9" borderId="158" xfId="55" applyNumberFormat="1" applyFont="1" applyFill="1" applyBorder="1" applyAlignment="1">
      <alignment horizontal="right" vertical="center"/>
    </xf>
    <xf numFmtId="0" fontId="116" fillId="9" borderId="156" xfId="55" applyNumberFormat="1" applyFont="1" applyFill="1" applyBorder="1" applyAlignment="1">
      <alignment horizontal="center" vertical="center"/>
    </xf>
    <xf numFmtId="0" fontId="116" fillId="9" borderId="158" xfId="55" applyNumberFormat="1" applyFont="1" applyFill="1" applyBorder="1" applyAlignment="1">
      <alignment horizontal="center" vertical="center"/>
    </xf>
    <xf numFmtId="0" fontId="85" fillId="9" borderId="156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4" xfId="0" applyNumberFormat="1" applyFont="1" applyFill="1" applyBorder="1" applyAlignment="1">
      <alignment horizontal="center" vertical="center"/>
    </xf>
    <xf numFmtId="1" fontId="23" fillId="9" borderId="131" xfId="0" applyNumberFormat="1" applyFont="1" applyFill="1" applyBorder="1" applyAlignment="1">
      <alignment horizontal="center" vertical="center"/>
    </xf>
    <xf numFmtId="1" fontId="23" fillId="9" borderId="121" xfId="0" applyNumberFormat="1" applyFont="1" applyFill="1" applyBorder="1" applyAlignment="1">
      <alignment horizontal="center" vertical="center"/>
    </xf>
    <xf numFmtId="1" fontId="23" fillId="9" borderId="141" xfId="0" applyNumberFormat="1" applyFont="1" applyFill="1" applyBorder="1" applyAlignment="1">
      <alignment horizontal="center" vertical="center"/>
    </xf>
    <xf numFmtId="1" fontId="81" fillId="9" borderId="194" xfId="0" applyNumberFormat="1" applyFont="1" applyFill="1" applyBorder="1" applyAlignment="1">
      <alignment horizontal="center" vertical="center"/>
    </xf>
    <xf numFmtId="0" fontId="23" fillId="9" borderId="195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20" xfId="0" applyFont="1" applyFill="1" applyBorder="1" applyAlignment="1">
      <alignment horizontal="center" vertical="center"/>
    </xf>
    <xf numFmtId="0" fontId="23" fillId="9" borderId="196" xfId="0" applyFont="1" applyFill="1" applyBorder="1" applyAlignment="1">
      <alignment horizontal="center" vertical="center"/>
    </xf>
    <xf numFmtId="1" fontId="85" fillId="9" borderId="158" xfId="55" applyNumberFormat="1" applyFont="1" applyFill="1" applyBorder="1" applyAlignment="1">
      <alignment horizontal="center" vertical="center"/>
    </xf>
    <xf numFmtId="167" fontId="77" fillId="10" borderId="102" xfId="55" applyNumberFormat="1" applyFont="1" applyFill="1" applyBorder="1" applyAlignment="1">
      <alignment horizontal="right" vertical="center"/>
    </xf>
    <xf numFmtId="167" fontId="77" fillId="10" borderId="109" xfId="55" applyNumberFormat="1" applyFont="1" applyFill="1" applyBorder="1" applyAlignment="1">
      <alignment horizontal="right" vertical="center"/>
    </xf>
    <xf numFmtId="167" fontId="77" fillId="10" borderId="112" xfId="55" applyNumberFormat="1" applyFont="1" applyFill="1" applyBorder="1" applyAlignment="1">
      <alignment horizontal="right" vertical="center"/>
    </xf>
    <xf numFmtId="2" fontId="95" fillId="9" borderId="200" xfId="55" applyNumberFormat="1" applyFont="1" applyFill="1" applyBorder="1" applyAlignment="1">
      <alignment horizontal="center" vertical="center"/>
    </xf>
    <xf numFmtId="1" fontId="95" fillId="9" borderId="198" xfId="55" applyNumberFormat="1" applyFont="1" applyFill="1" applyBorder="1" applyAlignment="1">
      <alignment vertical="center"/>
    </xf>
    <xf numFmtId="0" fontId="95" fillId="9" borderId="197" xfId="55" applyNumberFormat="1" applyFont="1" applyFill="1" applyBorder="1" applyAlignment="1">
      <alignment horizontal="center" vertical="center"/>
    </xf>
    <xf numFmtId="2" fontId="95" fillId="9" borderId="199" xfId="55" applyNumberFormat="1" applyFont="1" applyFill="1" applyBorder="1" applyAlignment="1">
      <alignment horizontal="center" vertical="center"/>
    </xf>
    <xf numFmtId="2" fontId="95" fillId="9" borderId="201" xfId="55" applyNumberFormat="1" applyFont="1" applyFill="1" applyBorder="1" applyAlignment="1">
      <alignment horizontal="center" vertical="center"/>
    </xf>
    <xf numFmtId="2" fontId="95" fillId="9" borderId="202" xfId="55" applyNumberFormat="1" applyFont="1" applyFill="1" applyBorder="1" applyAlignment="1">
      <alignment horizontal="center" vertical="center"/>
    </xf>
    <xf numFmtId="0" fontId="95" fillId="9" borderId="203" xfId="55" applyNumberFormat="1" applyFont="1" applyFill="1" applyBorder="1" applyAlignment="1">
      <alignment horizontal="center" vertical="center"/>
    </xf>
    <xf numFmtId="1" fontId="95" fillId="9" borderId="204" xfId="55" applyNumberFormat="1" applyFont="1" applyFill="1" applyBorder="1" applyAlignment="1">
      <alignment vertical="center"/>
    </xf>
    <xf numFmtId="10" fontId="98" fillId="10" borderId="140" xfId="114" applyNumberFormat="1" applyFont="1" applyFill="1" applyBorder="1" applyAlignment="1">
      <alignment horizontal="center" vertical="center"/>
    </xf>
    <xf numFmtId="0" fontId="76" fillId="10" borderId="159" xfId="0" applyFont="1" applyFill="1" applyBorder="1" applyAlignment="1">
      <alignment horizontal="right" vertical="center"/>
    </xf>
    <xf numFmtId="164" fontId="116" fillId="9" borderId="158" xfId="55" applyNumberFormat="1" applyFont="1" applyFill="1" applyBorder="1" applyAlignment="1">
      <alignment horizontal="center" vertical="center"/>
    </xf>
    <xf numFmtId="164" fontId="116" fillId="9" borderId="109" xfId="55" applyNumberFormat="1" applyFont="1" applyFill="1" applyBorder="1" applyAlignment="1">
      <alignment horizontal="center" vertical="center"/>
    </xf>
    <xf numFmtId="164" fontId="116" fillId="9" borderId="112" xfId="55" applyNumberFormat="1" applyFont="1" applyFill="1" applyBorder="1" applyAlignment="1">
      <alignment horizontal="center" vertical="center"/>
    </xf>
    <xf numFmtId="0" fontId="82" fillId="12" borderId="182" xfId="55" applyNumberFormat="1" applyFont="1" applyFill="1" applyBorder="1" applyAlignment="1">
      <alignment horizontal="center" vertical="center"/>
    </xf>
    <xf numFmtId="0" fontId="82" fillId="12" borderId="183" xfId="55" applyNumberFormat="1" applyFont="1" applyFill="1" applyBorder="1" applyAlignment="1">
      <alignment horizontal="center" vertical="center"/>
    </xf>
    <xf numFmtId="167" fontId="13" fillId="42" borderId="3" xfId="183" applyNumberFormat="1" applyFont="1" applyBorder="1" applyAlignment="1">
      <alignment horizontal="center" vertical="center"/>
    </xf>
    <xf numFmtId="0" fontId="38" fillId="44" borderId="0" xfId="185" applyFont="1" applyAlignment="1">
      <alignment horizontal="center" vertical="center"/>
    </xf>
    <xf numFmtId="0" fontId="118" fillId="10" borderId="111" xfId="0" applyFont="1" applyFill="1" applyBorder="1" applyAlignment="1">
      <alignment horizontal="left" vertical="center"/>
    </xf>
    <xf numFmtId="0" fontId="104" fillId="9" borderId="205" xfId="0" applyNumberFormat="1" applyFont="1" applyFill="1" applyBorder="1" applyAlignment="1">
      <alignment horizontal="right" vertical="center"/>
    </xf>
    <xf numFmtId="0" fontId="105" fillId="10" borderId="206" xfId="55" applyNumberFormat="1" applyFont="1" applyFill="1" applyBorder="1" applyAlignment="1">
      <alignment horizontal="right" vertical="center"/>
    </xf>
    <xf numFmtId="0" fontId="106" fillId="10" borderId="206" xfId="0" applyFont="1" applyFill="1" applyBorder="1" applyAlignment="1">
      <alignment horizontal="right" vertical="center"/>
    </xf>
    <xf numFmtId="0" fontId="106" fillId="9" borderId="207" xfId="55" applyNumberFormat="1" applyFont="1" applyFill="1" applyBorder="1" applyAlignment="1">
      <alignment horizontal="right" vertical="center"/>
    </xf>
    <xf numFmtId="0" fontId="105" fillId="9" borderId="207" xfId="55" applyNumberFormat="1" applyFont="1" applyFill="1" applyBorder="1" applyAlignment="1">
      <alignment horizontal="right" vertical="center"/>
    </xf>
    <xf numFmtId="0" fontId="107" fillId="9" borderId="208" xfId="0" applyFont="1" applyFill="1" applyBorder="1" applyAlignment="1">
      <alignment horizontal="center" vertical="center"/>
    </xf>
    <xf numFmtId="10" fontId="108" fillId="10" borderId="207" xfId="114" applyNumberFormat="1" applyFont="1" applyFill="1" applyBorder="1" applyAlignment="1">
      <alignment horizontal="center" vertical="center"/>
    </xf>
    <xf numFmtId="0" fontId="109" fillId="10" borderId="209" xfId="0" applyFont="1" applyFill="1" applyBorder="1" applyAlignment="1">
      <alignment horizontal="right" vertical="center"/>
    </xf>
    <xf numFmtId="0" fontId="109" fillId="10" borderId="206" xfId="0" applyFont="1" applyFill="1" applyBorder="1" applyAlignment="1">
      <alignment horizontal="right" vertical="center"/>
    </xf>
    <xf numFmtId="0" fontId="109" fillId="10" borderId="210" xfId="0" applyFont="1" applyFill="1" applyBorder="1" applyAlignment="1">
      <alignment horizontal="right" vertical="center"/>
    </xf>
    <xf numFmtId="0" fontId="110" fillId="10" borderId="206" xfId="0" applyFont="1" applyFill="1" applyBorder="1" applyAlignment="1">
      <alignment horizontal="right" vertical="center"/>
    </xf>
    <xf numFmtId="3" fontId="110" fillId="10" borderId="206" xfId="0" applyNumberFormat="1" applyFont="1" applyFill="1" applyBorder="1" applyAlignment="1">
      <alignment horizontal="right" vertical="center"/>
    </xf>
    <xf numFmtId="3" fontId="39" fillId="10" borderId="206" xfId="0" applyNumberFormat="1" applyFont="1" applyFill="1" applyBorder="1" applyAlignment="1">
      <alignment horizontal="right" vertical="center"/>
    </xf>
    <xf numFmtId="166" fontId="39" fillId="10" borderId="209" xfId="0" applyNumberFormat="1" applyFont="1" applyFill="1" applyBorder="1" applyAlignment="1">
      <alignment horizontal="center" vertical="center"/>
    </xf>
    <xf numFmtId="0" fontId="26" fillId="9" borderId="210" xfId="0" applyFont="1" applyFill="1" applyBorder="1" applyAlignment="1">
      <alignment horizontal="center" vertical="center"/>
    </xf>
    <xf numFmtId="0" fontId="23" fillId="9" borderId="206" xfId="0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1" fontId="25" fillId="9" borderId="213" xfId="0" applyNumberFormat="1" applyFont="1" applyFill="1" applyBorder="1" applyAlignment="1">
      <alignment horizontal="center" vertical="center"/>
    </xf>
    <xf numFmtId="1" fontId="104" fillId="9" borderId="205" xfId="0" applyNumberFormat="1" applyFont="1" applyFill="1" applyBorder="1" applyAlignment="1">
      <alignment horizontal="right" vertical="center"/>
    </xf>
    <xf numFmtId="2" fontId="112" fillId="9" borderId="207" xfId="55" applyNumberFormat="1" applyFont="1" applyFill="1" applyBorder="1" applyAlignment="1">
      <alignment horizontal="right" vertical="center"/>
    </xf>
    <xf numFmtId="165" fontId="113" fillId="9" borderId="207" xfId="55" applyNumberFormat="1" applyFont="1" applyFill="1" applyBorder="1" applyAlignment="1">
      <alignment horizontal="right" vertical="center"/>
    </xf>
    <xf numFmtId="0" fontId="115" fillId="9" borderId="215" xfId="55" applyNumberFormat="1" applyFont="1" applyFill="1" applyBorder="1" applyAlignment="1">
      <alignment horizontal="right" vertical="center"/>
    </xf>
    <xf numFmtId="167" fontId="77" fillId="10" borderId="207" xfId="55" applyNumberFormat="1" applyFont="1" applyFill="1" applyBorder="1" applyAlignment="1">
      <alignment horizontal="right" vertical="center"/>
    </xf>
    <xf numFmtId="0" fontId="76" fillId="10" borderId="206" xfId="0" applyFont="1" applyFill="1" applyBorder="1" applyAlignment="1">
      <alignment horizontal="right" vertical="center"/>
    </xf>
    <xf numFmtId="0" fontId="85" fillId="9" borderId="208" xfId="55" applyNumberFormat="1" applyFont="1" applyFill="1" applyBorder="1" applyAlignment="1">
      <alignment horizontal="right" vertical="center"/>
    </xf>
    <xf numFmtId="0" fontId="31" fillId="9" borderId="208" xfId="0" applyFont="1" applyFill="1" applyBorder="1" applyAlignment="1">
      <alignment horizontal="center" vertical="center"/>
    </xf>
    <xf numFmtId="10" fontId="98" fillId="10" borderId="207" xfId="114" applyNumberFormat="1" applyFont="1" applyFill="1" applyBorder="1" applyAlignment="1">
      <alignment horizontal="center" vertical="center"/>
    </xf>
    <xf numFmtId="0" fontId="41" fillId="10" borderId="209" xfId="0" applyFont="1" applyFill="1" applyBorder="1" applyAlignment="1">
      <alignment horizontal="right" vertical="center"/>
    </xf>
    <xf numFmtId="0" fontId="41" fillId="10" borderId="206" xfId="0" applyFont="1" applyFill="1" applyBorder="1" applyAlignment="1">
      <alignment horizontal="right" vertical="center"/>
    </xf>
    <xf numFmtId="0" fontId="41" fillId="10" borderId="210" xfId="0" applyFont="1" applyFill="1" applyBorder="1" applyAlignment="1">
      <alignment horizontal="right" vertical="center"/>
    </xf>
    <xf numFmtId="0" fontId="39" fillId="10" borderId="206" xfId="0" applyFont="1" applyFill="1" applyBorder="1" applyAlignment="1">
      <alignment horizontal="right" vertical="center"/>
    </xf>
    <xf numFmtId="166" fontId="39" fillId="10" borderId="210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25" fillId="9" borderId="216" xfId="0" applyNumberFormat="1" applyFont="1" applyFill="1" applyBorder="1" applyAlignment="1">
      <alignment horizontal="center" vertical="center"/>
    </xf>
    <xf numFmtId="0" fontId="95" fillId="9" borderId="214" xfId="0" applyNumberFormat="1" applyFont="1" applyFill="1" applyBorder="1" applyAlignment="1">
      <alignment vertical="center"/>
    </xf>
    <xf numFmtId="0" fontId="99" fillId="9" borderId="217" xfId="55" applyNumberFormat="1" applyFont="1" applyFill="1" applyBorder="1" applyAlignment="1">
      <alignment vertical="top"/>
    </xf>
    <xf numFmtId="1" fontId="85" fillId="9" borderId="215" xfId="55" applyNumberFormat="1" applyFont="1" applyFill="1" applyBorder="1" applyAlignment="1">
      <alignment horizontal="center" vertical="center"/>
    </xf>
    <xf numFmtId="0" fontId="116" fillId="9" borderId="215" xfId="55" applyNumberFormat="1" applyFont="1" applyFill="1" applyBorder="1" applyAlignment="1">
      <alignment horizontal="center" vertical="center"/>
    </xf>
    <xf numFmtId="164" fontId="116" fillId="9" borderId="215" xfId="55" applyNumberFormat="1" applyFont="1" applyFill="1" applyBorder="1" applyAlignment="1">
      <alignment horizontal="center" vertical="center"/>
    </xf>
    <xf numFmtId="2" fontId="100" fillId="9" borderId="2" xfId="0" applyNumberFormat="1" applyFont="1" applyFill="1" applyBorder="1" applyAlignment="1">
      <alignment vertical="top"/>
    </xf>
    <xf numFmtId="2" fontId="95" fillId="9" borderId="215" xfId="0" applyNumberFormat="1" applyFont="1" applyFill="1" applyBorder="1" applyAlignment="1">
      <alignment horizontal="left" vertical="center"/>
    </xf>
    <xf numFmtId="0" fontId="77" fillId="10" borderId="206" xfId="55" applyNumberFormat="1" applyFont="1" applyFill="1" applyBorder="1" applyAlignment="1">
      <alignment horizontal="right" vertical="center"/>
    </xf>
    <xf numFmtId="0" fontId="97" fillId="9" borderId="208" xfId="55" applyNumberFormat="1" applyFont="1" applyFill="1" applyBorder="1" applyAlignment="1">
      <alignment horizontal="right" vertical="center"/>
    </xf>
    <xf numFmtId="3" fontId="39" fillId="10" borderId="207" xfId="0" applyNumberFormat="1" applyFont="1" applyFill="1" applyBorder="1" applyAlignment="1">
      <alignment horizontal="right" vertical="center"/>
    </xf>
    <xf numFmtId="2" fontId="95" fillId="9" borderId="205" xfId="0" applyNumberFormat="1" applyFont="1" applyFill="1" applyBorder="1" applyAlignment="1">
      <alignment horizontal="center" vertical="center"/>
    </xf>
    <xf numFmtId="2" fontId="85" fillId="9" borderId="207" xfId="55" applyNumberFormat="1" applyFont="1" applyFill="1" applyBorder="1" applyAlignment="1">
      <alignment horizontal="center" vertical="center"/>
    </xf>
    <xf numFmtId="1" fontId="23" fillId="11" borderId="209" xfId="77" applyNumberFormat="1" applyFont="1" applyFill="1" applyBorder="1" applyAlignment="1">
      <alignment horizontal="center" vertical="center"/>
    </xf>
    <xf numFmtId="1" fontId="94" fillId="11" borderId="209" xfId="77" applyNumberFormat="1" applyFont="1" applyFill="1" applyBorder="1" applyAlignment="1">
      <alignment horizontal="center" vertical="center"/>
    </xf>
    <xf numFmtId="0" fontId="82" fillId="12" borderId="220" xfId="55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2" fillId="12" borderId="221" xfId="55" applyNumberFormat="1" applyFont="1" applyFill="1" applyBorder="1" applyAlignment="1">
      <alignment horizontal="center" vertical="center"/>
    </xf>
    <xf numFmtId="0" fontId="38" fillId="43" borderId="0" xfId="184" applyNumberFormat="1" applyFont="1" applyAlignment="1">
      <alignment horizontal="center" vertical="center"/>
    </xf>
    <xf numFmtId="0" fontId="76" fillId="10" borderId="223" xfId="0" applyFont="1" applyFill="1" applyBorder="1" applyAlignment="1">
      <alignment horizontal="right" vertical="center"/>
    </xf>
    <xf numFmtId="0" fontId="77" fillId="10" borderId="210" xfId="55" applyNumberFormat="1" applyFont="1" applyFill="1" applyBorder="1" applyAlignment="1">
      <alignment horizontal="right" vertical="center"/>
    </xf>
    <xf numFmtId="0" fontId="76" fillId="10" borderId="210" xfId="0" applyFont="1" applyFill="1" applyBorder="1" applyAlignment="1">
      <alignment horizontal="right" vertical="center"/>
    </xf>
    <xf numFmtId="0" fontId="31" fillId="9" borderId="210" xfId="0" applyFont="1" applyFill="1" applyBorder="1" applyAlignment="1">
      <alignment horizontal="center" vertical="center"/>
    </xf>
    <xf numFmtId="10" fontId="98" fillId="10" borderId="206" xfId="114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2" fontId="76" fillId="9" borderId="207" xfId="0" applyNumberFormat="1" applyFont="1" applyFill="1" applyBorder="1" applyAlignment="1">
      <alignment horizontal="center" vertical="center"/>
    </xf>
    <xf numFmtId="0" fontId="77" fillId="10" borderId="207" xfId="55" applyNumberFormat="1" applyFont="1" applyFill="1" applyBorder="1" applyAlignment="1">
      <alignment horizontal="right" vertical="center"/>
    </xf>
    <xf numFmtId="0" fontId="39" fillId="10" borderId="209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9" fillId="7" borderId="177" xfId="0" applyNumberFormat="1" applyFont="1" applyFill="1" applyBorder="1" applyAlignment="1">
      <alignment horizontal="center" vertical="center"/>
    </xf>
    <xf numFmtId="2" fontId="84" fillId="9" borderId="181" xfId="55" applyNumberFormat="1" applyFont="1" applyFill="1" applyBorder="1" applyAlignment="1">
      <alignment horizontal="center" vertical="center"/>
    </xf>
    <xf numFmtId="2" fontId="84" fillId="9" borderId="181" xfId="55" applyNumberFormat="1" applyFont="1" applyFill="1" applyBorder="1" applyAlignment="1">
      <alignment horizontal="center" vertical="center"/>
    </xf>
    <xf numFmtId="0" fontId="84" fillId="9" borderId="225" xfId="55" applyNumberFormat="1" applyFont="1" applyFill="1" applyBorder="1" applyAlignment="1">
      <alignment horizontal="center" vertical="center"/>
    </xf>
    <xf numFmtId="0" fontId="115" fillId="9" borderId="197" xfId="55" applyNumberFormat="1" applyFont="1" applyFill="1" applyBorder="1" applyAlignment="1">
      <alignment horizontal="center" vertical="center"/>
    </xf>
    <xf numFmtId="1" fontId="121" fillId="11" borderId="150" xfId="77" applyNumberFormat="1" applyFont="1" applyFill="1" applyBorder="1" applyAlignment="1">
      <alignment horizontal="center" vertical="center"/>
    </xf>
    <xf numFmtId="0" fontId="84" fillId="9" borderId="3" xfId="0" applyNumberFormat="1" applyFont="1" applyFill="1" applyBorder="1" applyAlignment="1">
      <alignment vertical="center"/>
    </xf>
    <xf numFmtId="0" fontId="120" fillId="9" borderId="218" xfId="0" applyNumberFormat="1" applyFont="1" applyFill="1" applyBorder="1" applyAlignment="1">
      <alignment vertical="top"/>
    </xf>
    <xf numFmtId="1" fontId="84" fillId="11" borderId="224" xfId="77" applyNumberFormat="1" applyFont="1" applyFill="1" applyBorder="1" applyAlignment="1">
      <alignment horizontal="center" vertical="center"/>
    </xf>
    <xf numFmtId="0" fontId="120" fillId="9" borderId="228" xfId="0" applyNumberFormat="1" applyFont="1" applyFill="1" applyBorder="1" applyAlignment="1">
      <alignment vertical="top"/>
    </xf>
    <xf numFmtId="1" fontId="84" fillId="11" borderId="209" xfId="77" applyNumberFormat="1" applyFont="1" applyFill="1" applyBorder="1" applyAlignment="1">
      <alignment horizontal="center" vertical="center"/>
    </xf>
    <xf numFmtId="0" fontId="115" fillId="9" borderId="3" xfId="0" applyNumberFormat="1" applyFont="1" applyFill="1" applyBorder="1" applyAlignment="1">
      <alignment vertical="center"/>
    </xf>
    <xf numFmtId="0" fontId="122" fillId="9" borderId="218" xfId="0" applyNumberFormat="1" applyFont="1" applyFill="1" applyBorder="1" applyAlignment="1">
      <alignment vertical="top"/>
    </xf>
    <xf numFmtId="1" fontId="115" fillId="11" borderId="148" xfId="77" applyNumberFormat="1" applyFont="1" applyFill="1" applyBorder="1" applyAlignment="1">
      <alignment horizontal="center" vertical="center"/>
    </xf>
    <xf numFmtId="0" fontId="122" fillId="9" borderId="227" xfId="0" applyNumberFormat="1" applyFont="1" applyFill="1" applyBorder="1" applyAlignment="1">
      <alignment vertical="top"/>
    </xf>
    <xf numFmtId="1" fontId="89" fillId="11" borderId="222" xfId="77" applyNumberFormat="1" applyFont="1" applyFill="1" applyBorder="1" applyAlignment="1">
      <alignment horizontal="center" vertical="center"/>
    </xf>
    <xf numFmtId="2" fontId="123" fillId="9" borderId="211" xfId="0" applyNumberFormat="1" applyFont="1" applyFill="1" applyBorder="1" applyAlignment="1">
      <alignment vertical="center"/>
    </xf>
    <xf numFmtId="0" fontId="122" fillId="9" borderId="96" xfId="0" applyNumberFormat="1" applyFont="1" applyFill="1" applyBorder="1" applyAlignment="1">
      <alignment vertical="top"/>
    </xf>
    <xf numFmtId="0" fontId="33" fillId="9" borderId="3" xfId="0" applyNumberFormat="1" applyFont="1" applyFill="1" applyBorder="1" applyAlignment="1">
      <alignment vertical="center"/>
    </xf>
    <xf numFmtId="2" fontId="124" fillId="9" borderId="96" xfId="0" applyNumberFormat="1" applyFont="1" applyFill="1" applyBorder="1" applyAlignment="1">
      <alignment vertical="center"/>
    </xf>
    <xf numFmtId="2" fontId="33" fillId="9" borderId="229" xfId="55" applyNumberFormat="1" applyFont="1" applyFill="1" applyBorder="1" applyAlignment="1">
      <alignment vertical="center"/>
    </xf>
    <xf numFmtId="1" fontId="25" fillId="9" borderId="231" xfId="0" applyNumberFormat="1" applyFont="1" applyFill="1" applyBorder="1" applyAlignment="1">
      <alignment horizontal="center" vertical="center"/>
    </xf>
    <xf numFmtId="0" fontId="95" fillId="9" borderId="211" xfId="55" applyNumberFormat="1" applyFont="1" applyFill="1" applyBorder="1" applyAlignment="1">
      <alignment vertical="center"/>
    </xf>
    <xf numFmtId="0" fontId="99" fillId="9" borderId="228" xfId="55" applyNumberFormat="1" applyFont="1" applyFill="1" applyBorder="1" applyAlignment="1">
      <alignment vertical="top"/>
    </xf>
    <xf numFmtId="3" fontId="39" fillId="10" borderId="134" xfId="0" applyNumberFormat="1" applyFont="1" applyFill="1" applyBorder="1" applyAlignment="1">
      <alignment horizontal="right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0" fontId="95" fillId="9" borderId="188" xfId="55" applyNumberFormat="1" applyFont="1" applyFill="1" applyBorder="1" applyAlignment="1">
      <alignment vertical="center"/>
    </xf>
    <xf numFmtId="0" fontId="33" fillId="9" borderId="230" xfId="55" applyNumberFormat="1" applyFont="1" applyFill="1" applyBorder="1" applyAlignment="1">
      <alignment horizontal="center" vertical="center"/>
    </xf>
    <xf numFmtId="0" fontId="125" fillId="9" borderId="218" xfId="0" applyNumberFormat="1" applyFont="1" applyFill="1" applyBorder="1" applyAlignment="1">
      <alignment vertical="top"/>
    </xf>
    <xf numFmtId="0" fontId="125" fillId="9" borderId="227" xfId="0" applyNumberFormat="1" applyFont="1" applyFill="1" applyBorder="1" applyAlignment="1">
      <alignment vertical="top"/>
    </xf>
    <xf numFmtId="0" fontId="100" fillId="9" borderId="3" xfId="0" applyNumberFormat="1" applyFont="1" applyFill="1" applyBorder="1" applyAlignment="1">
      <alignment vertical="top"/>
    </xf>
    <xf numFmtId="0" fontId="42" fillId="9" borderId="96" xfId="0" applyNumberFormat="1" applyFont="1" applyFill="1" applyBorder="1" applyAlignment="1">
      <alignment vertical="center"/>
    </xf>
    <xf numFmtId="0" fontId="100" fillId="9" borderId="96" xfId="0" applyNumberFormat="1" applyFont="1" applyFill="1" applyBorder="1" applyAlignment="1">
      <alignment vertical="top"/>
    </xf>
    <xf numFmtId="0" fontId="42" fillId="9" borderId="114" xfId="0" applyNumberFormat="1" applyFont="1" applyFill="1" applyBorder="1" applyAlignment="1">
      <alignment vertical="center"/>
    </xf>
    <xf numFmtId="0" fontId="100" fillId="9" borderId="114" xfId="0" applyNumberFormat="1" applyFont="1" applyFill="1" applyBorder="1" applyAlignment="1">
      <alignment vertical="top"/>
    </xf>
    <xf numFmtId="0" fontId="42" fillId="9" borderId="211" xfId="0" applyNumberFormat="1" applyFont="1" applyFill="1" applyBorder="1" applyAlignment="1">
      <alignment vertical="center"/>
    </xf>
    <xf numFmtId="0" fontId="100" fillId="9" borderId="211" xfId="0" applyNumberFormat="1" applyFont="1" applyFill="1" applyBorder="1" applyAlignment="1">
      <alignment vertical="top"/>
    </xf>
    <xf numFmtId="2" fontId="126" fillId="9" borderId="158" xfId="55" applyNumberFormat="1" applyFont="1" applyFill="1" applyBorder="1" applyAlignment="1">
      <alignment horizontal="right" vertical="center"/>
    </xf>
    <xf numFmtId="0" fontId="127" fillId="9" borderId="156" xfId="55" applyNumberFormat="1" applyFont="1" applyFill="1" applyBorder="1" applyAlignment="1">
      <alignment horizontal="left" vertical="center"/>
    </xf>
    <xf numFmtId="2" fontId="127" fillId="9" borderId="190" xfId="0" applyNumberFormat="1" applyFont="1" applyFill="1" applyBorder="1" applyAlignment="1">
      <alignment horizontal="left" vertical="center"/>
    </xf>
    <xf numFmtId="0" fontId="99" fillId="9" borderId="211" xfId="55" applyNumberFormat="1" applyFont="1" applyFill="1" applyBorder="1" applyAlignment="1">
      <alignment vertical="top"/>
    </xf>
    <xf numFmtId="3" fontId="120" fillId="7" borderId="226" xfId="0" applyNumberFormat="1" applyFont="1" applyFill="1" applyBorder="1" applyAlignment="1">
      <alignment horizontal="center" vertical="center"/>
    </xf>
    <xf numFmtId="3" fontId="120" fillId="7" borderId="2" xfId="0" applyNumberFormat="1" applyFont="1" applyFill="1" applyBorder="1" applyAlignment="1">
      <alignment horizontal="center" vertical="center"/>
    </xf>
    <xf numFmtId="2" fontId="85" fillId="9" borderId="179" xfId="0" applyNumberFormat="1" applyFont="1" applyFill="1" applyBorder="1" applyAlignment="1">
      <alignment horizontal="center" vertical="center"/>
    </xf>
    <xf numFmtId="2" fontId="85" fillId="9" borderId="180" xfId="0" applyNumberFormat="1" applyFont="1" applyFill="1" applyBorder="1" applyAlignment="1">
      <alignment horizontal="center" vertical="center"/>
    </xf>
    <xf numFmtId="2" fontId="85" fillId="9" borderId="178" xfId="0" applyNumberFormat="1" applyFont="1" applyFill="1" applyBorder="1" applyAlignment="1">
      <alignment horizontal="center" vertical="center"/>
    </xf>
    <xf numFmtId="2" fontId="85" fillId="9" borderId="219" xfId="0" applyNumberFormat="1" applyFont="1" applyFill="1" applyBorder="1" applyAlignment="1">
      <alignment horizontal="center" vertical="center"/>
    </xf>
    <xf numFmtId="2" fontId="85" fillId="9" borderId="189" xfId="0" applyNumberFormat="1" applyFont="1" applyFill="1" applyBorder="1" applyAlignment="1">
      <alignment horizontal="center" vertical="center"/>
    </xf>
    <xf numFmtId="0" fontId="13" fillId="9" borderId="171" xfId="0" applyFont="1" applyFill="1" applyBorder="1" applyAlignment="1">
      <alignment horizontal="center" vertical="center"/>
    </xf>
    <xf numFmtId="0" fontId="13" fillId="9" borderId="140" xfId="0" applyFont="1" applyFill="1" applyBorder="1" applyAlignment="1">
      <alignment horizontal="center" vertical="center"/>
    </xf>
    <xf numFmtId="0" fontId="38" fillId="9" borderId="170" xfId="0" applyFont="1" applyFill="1" applyBorder="1" applyAlignment="1">
      <alignment horizontal="center" vertical="center"/>
    </xf>
    <xf numFmtId="0" fontId="38" fillId="9" borderId="130" xfId="0" applyFont="1" applyFill="1" applyBorder="1" applyAlignment="1">
      <alignment horizontal="center" vertical="center"/>
    </xf>
    <xf numFmtId="2" fontId="85" fillId="9" borderId="192" xfId="0" applyNumberFormat="1" applyFont="1" applyFill="1" applyBorder="1" applyAlignment="1">
      <alignment horizontal="center" vertical="center"/>
    </xf>
    <xf numFmtId="0" fontId="46" fillId="36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4" fillId="35" borderId="71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64" fillId="40" borderId="71" xfId="0" applyFont="1" applyFill="1" applyBorder="1" applyAlignment="1">
      <alignment horizontal="center" vertical="center"/>
    </xf>
    <xf numFmtId="0" fontId="49" fillId="40" borderId="71" xfId="0" applyFont="1" applyFill="1" applyBorder="1" applyAlignment="1">
      <alignment horizontal="center" vertical="center"/>
    </xf>
    <xf numFmtId="0" fontId="46" fillId="40" borderId="71" xfId="0" applyFont="1" applyFill="1" applyBorder="1" applyAlignment="1">
      <alignment horizontal="center" vertical="center"/>
    </xf>
    <xf numFmtId="0" fontId="59" fillId="36" borderId="73" xfId="0" applyFont="1" applyFill="1" applyBorder="1" applyAlignment="1">
      <alignment horizontal="center" vertical="center"/>
    </xf>
    <xf numFmtId="0" fontId="59" fillId="36" borderId="11" xfId="0" applyFont="1" applyFill="1" applyBorder="1" applyAlignment="1">
      <alignment horizontal="center" vertical="center"/>
    </xf>
    <xf numFmtId="0" fontId="59" fillId="36" borderId="94" xfId="0" applyFont="1" applyFill="1" applyBorder="1" applyAlignment="1">
      <alignment horizontal="center" vertical="center"/>
    </xf>
    <xf numFmtId="0" fontId="59" fillId="36" borderId="9" xfId="0" applyFont="1" applyFill="1" applyBorder="1" applyAlignment="1">
      <alignment horizontal="center" vertical="center"/>
    </xf>
    <xf numFmtId="0" fontId="59" fillId="36" borderId="3" xfId="0" applyFont="1" applyFill="1" applyBorder="1" applyAlignment="1">
      <alignment horizontal="center" vertical="center"/>
    </xf>
    <xf numFmtId="0" fontId="59" fillId="36" borderId="95" xfId="0" applyFont="1" applyFill="1" applyBorder="1" applyAlignment="1">
      <alignment horizontal="center" vertical="center"/>
    </xf>
    <xf numFmtId="1" fontId="59" fillId="33" borderId="11" xfId="0" applyNumberFormat="1" applyFont="1" applyFill="1" applyBorder="1" applyAlignment="1">
      <alignment horizontal="center" vertical="center"/>
    </xf>
    <xf numFmtId="1" fontId="59" fillId="33" borderId="74" xfId="0" applyNumberFormat="1" applyFont="1" applyFill="1" applyBorder="1" applyAlignment="1">
      <alignment horizontal="center" vertical="center"/>
    </xf>
    <xf numFmtId="1" fontId="59" fillId="33" borderId="3" xfId="0" applyNumberFormat="1" applyFont="1" applyFill="1" applyBorder="1" applyAlignment="1">
      <alignment horizontal="center" vertical="center"/>
    </xf>
    <xf numFmtId="1" fontId="59" fillId="33" borderId="12" xfId="0" applyNumberFormat="1" applyFont="1" applyFill="1" applyBorder="1" applyAlignment="1">
      <alignment horizontal="center" vertical="center"/>
    </xf>
    <xf numFmtId="0" fontId="64" fillId="36" borderId="71" xfId="0" applyFont="1" applyFill="1" applyBorder="1" applyAlignment="1">
      <alignment horizontal="center" vertical="center"/>
    </xf>
    <xf numFmtId="0" fontId="46" fillId="40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4" fillId="24" borderId="71" xfId="0" applyFont="1" applyFill="1" applyBorder="1" applyAlignment="1">
      <alignment horizontal="center" vertical="center"/>
    </xf>
    <xf numFmtId="0" fontId="46" fillId="36" borderId="59" xfId="0" applyFont="1" applyFill="1" applyBorder="1" applyAlignment="1">
      <alignment horizontal="center" vertical="center"/>
    </xf>
    <xf numFmtId="164" fontId="54" fillId="20" borderId="13" xfId="0" applyNumberFormat="1" applyFont="1" applyFill="1" applyBorder="1" applyAlignment="1">
      <alignment horizontal="center" vertical="center"/>
    </xf>
    <xf numFmtId="0" fontId="54" fillId="20" borderId="21" xfId="0" applyFont="1" applyFill="1" applyBorder="1" applyAlignment="1">
      <alignment horizontal="center" vertical="center"/>
    </xf>
    <xf numFmtId="0" fontId="46" fillId="40" borderId="59" xfId="0" applyFont="1" applyFill="1" applyBorder="1" applyAlignment="1">
      <alignment horizontal="center" vertical="center"/>
    </xf>
    <xf numFmtId="0" fontId="59" fillId="24" borderId="59" xfId="0" applyFont="1" applyFill="1" applyBorder="1" applyAlignment="1">
      <alignment horizontal="center" vertical="center"/>
    </xf>
    <xf numFmtId="0" fontId="59" fillId="35" borderId="71" xfId="0" applyFont="1" applyFill="1" applyBorder="1" applyAlignment="1">
      <alignment horizontal="center" vertical="center"/>
    </xf>
    <xf numFmtId="0" fontId="31" fillId="9" borderId="113" xfId="0" applyFont="1" applyFill="1" applyBorder="1" applyAlignment="1">
      <alignment horizontal="center" vertical="center"/>
    </xf>
    <xf numFmtId="0" fontId="76" fillId="10" borderId="9" xfId="0" applyFont="1" applyFill="1" applyBorder="1" applyAlignment="1">
      <alignment horizontal="right" vertical="center"/>
    </xf>
    <xf numFmtId="0" fontId="31" fillId="9" borderId="102" xfId="0" applyFont="1" applyFill="1" applyBorder="1" applyAlignment="1">
      <alignment horizontal="center" vertical="center"/>
    </xf>
    <xf numFmtId="0" fontId="26" fillId="9" borderId="102" xfId="0" applyFont="1" applyFill="1" applyBorder="1" applyAlignment="1">
      <alignment horizontal="center" vertical="center"/>
    </xf>
    <xf numFmtId="0" fontId="82" fillId="12" borderId="233" xfId="55" applyNumberFormat="1" applyFont="1" applyFill="1" applyBorder="1" applyAlignment="1">
      <alignment horizontal="center" vertical="center"/>
    </xf>
    <xf numFmtId="1" fontId="84" fillId="11" borderId="3" xfId="77" applyNumberFormat="1" applyFont="1" applyFill="1" applyBorder="1" applyAlignment="1">
      <alignment horizontal="center" vertical="center"/>
    </xf>
    <xf numFmtId="2" fontId="123" fillId="9" borderId="234" xfId="0" applyNumberFormat="1" applyFont="1" applyFill="1" applyBorder="1" applyAlignment="1">
      <alignment vertical="center"/>
    </xf>
    <xf numFmtId="0" fontId="120" fillId="9" borderId="235" xfId="0" applyNumberFormat="1" applyFont="1" applyFill="1" applyBorder="1" applyAlignment="1">
      <alignment vertical="top"/>
    </xf>
    <xf numFmtId="0" fontId="84" fillId="9" borderId="156" xfId="55" applyNumberFormat="1" applyFont="1" applyFill="1" applyBorder="1" applyAlignment="1">
      <alignment horizontal="center" vertical="center"/>
    </xf>
    <xf numFmtId="2" fontId="85" fillId="9" borderId="236" xfId="55" applyNumberFormat="1" applyFont="1" applyFill="1" applyBorder="1" applyAlignment="1">
      <alignment horizontal="center" vertical="center"/>
    </xf>
    <xf numFmtId="2" fontId="76" fillId="9" borderId="236" xfId="0" applyNumberFormat="1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340"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53"/>
  <sheetViews>
    <sheetView tabSelected="1" zoomScale="85" zoomScaleNormal="85" workbookViewId="0">
      <pane ySplit="1" topLeftCell="A2" activePane="bottomLeft" state="frozen"/>
      <selection pane="bottomLeft" activeCell="E48" sqref="E48"/>
    </sheetView>
  </sheetViews>
  <sheetFormatPr baseColWidth="10" defaultRowHeight="12.75" customHeight="1"/>
  <cols>
    <col min="1" max="1" width="15" style="38" bestFit="1" customWidth="1"/>
    <col min="2" max="2" width="7.42578125" style="33" bestFit="1" customWidth="1"/>
    <col min="3" max="3" width="7.42578125" style="13" bestFit="1" customWidth="1"/>
    <col min="4" max="4" width="7" style="13" bestFit="1" customWidth="1"/>
    <col min="5" max="5" width="8.7109375" style="33" bestFit="1" customWidth="1"/>
    <col min="6" max="6" width="8" style="40" bestFit="1" customWidth="1"/>
    <col min="7" max="7" width="5.28515625" style="38" bestFit="1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5.85546875" style="12" hidden="1" customWidth="1"/>
    <col min="12" max="12" width="11.28515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42578125" style="10" customWidth="1"/>
    <col min="18" max="18" width="4.42578125" style="39" customWidth="1"/>
    <col min="19" max="19" width="4.42578125" style="34" customWidth="1"/>
    <col min="20" max="20" width="4.85546875" style="11" customWidth="1"/>
    <col min="21" max="21" width="6.140625" style="11" customWidth="1"/>
    <col min="22" max="22" width="6.5703125" style="11" customWidth="1"/>
    <col min="23" max="23" width="6.28515625" customWidth="1"/>
    <col min="24" max="24" width="6" style="533" customWidth="1"/>
    <col min="25" max="25" width="7.7109375" style="484" bestFit="1" customWidth="1"/>
    <col min="26" max="26" width="10.28515625" style="488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280" t="s">
        <v>126</v>
      </c>
      <c r="B1" s="281" t="s">
        <v>337</v>
      </c>
      <c r="C1" s="282" t="s">
        <v>306</v>
      </c>
      <c r="D1" s="282" t="s">
        <v>307</v>
      </c>
      <c r="E1" s="283" t="s">
        <v>338</v>
      </c>
      <c r="F1" s="284" t="s">
        <v>127</v>
      </c>
      <c r="G1" s="285" t="s">
        <v>304</v>
      </c>
      <c r="H1" s="286" t="s">
        <v>128</v>
      </c>
      <c r="I1" s="286" t="s">
        <v>129</v>
      </c>
      <c r="J1" s="286" t="s">
        <v>130</v>
      </c>
      <c r="K1" s="286" t="s">
        <v>308</v>
      </c>
      <c r="L1" s="381" t="s">
        <v>305</v>
      </c>
      <c r="M1" s="287" t="s">
        <v>131</v>
      </c>
      <c r="N1" s="288" t="s">
        <v>132</v>
      </c>
      <c r="O1" s="289" t="s">
        <v>133</v>
      </c>
      <c r="P1" s="290"/>
      <c r="Q1" s="788" t="s">
        <v>687</v>
      </c>
      <c r="R1" s="789"/>
      <c r="S1" s="789"/>
      <c r="T1" s="746" t="s">
        <v>686</v>
      </c>
      <c r="U1" s="467">
        <v>0</v>
      </c>
      <c r="V1" s="407">
        <v>0</v>
      </c>
      <c r="W1" s="275">
        <v>10</v>
      </c>
      <c r="X1" s="276">
        <f>W1</f>
        <v>10</v>
      </c>
      <c r="Y1" s="680">
        <v>100000</v>
      </c>
      <c r="Z1" s="735">
        <v>84.85</v>
      </c>
      <c r="AA1" s="681">
        <v>100</v>
      </c>
      <c r="AB1" s="480">
        <f>Y1*($AE$1*$AD$1)</f>
        <v>923.28767123287685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2.308219178082192E-3</v>
      </c>
      <c r="AF1" s="428" t="s">
        <v>315</v>
      </c>
      <c r="AG1" s="428" t="s">
        <v>316</v>
      </c>
      <c r="AH1" s="428" t="s">
        <v>317</v>
      </c>
      <c r="AI1" s="428" t="s">
        <v>318</v>
      </c>
      <c r="AJ1" s="429" t="s">
        <v>313</v>
      </c>
      <c r="AK1" s="427" t="s">
        <v>314</v>
      </c>
      <c r="AL1" s="277" t="s">
        <v>312</v>
      </c>
    </row>
    <row r="2" spans="1:43" ht="12.75" customHeight="1">
      <c r="A2" s="785" t="str">
        <f>IF(A22&lt;&gt;"",A22,"")</f>
        <v>CLSID - spot</v>
      </c>
      <c r="B2" s="508">
        <f>IF(A2&lt;&gt;"",VLOOKUP($A2,$A$46:$N$157,2,0),"")</f>
        <v>100</v>
      </c>
      <c r="C2" s="500">
        <f>IF(A2&lt;&gt;"",VLOOKUP($A2,$A$42:$N$157,3,0),"")</f>
        <v>28</v>
      </c>
      <c r="D2" s="365">
        <f>IF(A2&lt;&gt;"",VLOOKUP($A2,$A$42:$N$157,4,0),"")</f>
        <v>29</v>
      </c>
      <c r="E2" s="499">
        <f>IF(A2&lt;&gt;"",VLOOKUP($A2,$A$42:$N$157,5,0),"")</f>
        <v>7165</v>
      </c>
      <c r="F2" s="425">
        <f>IF($A2&lt;&gt;"",VLOOKUP($A2,$A$42:$N$157,6,0),"")</f>
        <v>27.65</v>
      </c>
      <c r="G2" s="510">
        <f>IF($A2&lt;&gt;"",VLOOKUP($A2,$A$42:$N$157,7,0),"")</f>
        <v>-2.4900000000000002E-2</v>
      </c>
      <c r="H2" s="329">
        <f>IF($A2&lt;&gt;"",VLOOKUP($A2,$A$42:$N$157,8,0),"")</f>
        <v>27.2</v>
      </c>
      <c r="I2" s="321">
        <f>IF($A2&lt;&gt;"",VLOOKUP($A2,$A$42:$N$157,9,0),"")</f>
        <v>31.5</v>
      </c>
      <c r="J2" s="443">
        <f>IF($A2&lt;&gt;"",VLOOKUP($A2,$A$42:$N$157,10,0),"")</f>
        <v>27.05</v>
      </c>
      <c r="K2" s="325">
        <f>IF($A2&lt;&gt;"",VLOOKUP($A2,$A$42:$N$157,11,0),"")</f>
        <v>28</v>
      </c>
      <c r="L2" s="367">
        <f>IF($A2&lt;&gt;"",VLOOKUP($A2,$A$42:$N$157,12,0),"")</f>
        <v>9038</v>
      </c>
      <c r="M2" s="325">
        <f>IF($A2&lt;&gt;"",VLOOKUP($A2,$A$42:$N$157,13,0),"")</f>
        <v>30093</v>
      </c>
      <c r="N2" s="367">
        <f>IF($A2&lt;&gt;"",VLOOKUP($A2,$A$42:$N$157,14,0),"")</f>
        <v>25</v>
      </c>
      <c r="O2" s="435">
        <f>IF($A2&lt;&gt;"",VLOOKUP($A2,$A$42:$O$157,15,0),"")</f>
        <v>45310.654224537036</v>
      </c>
      <c r="P2" s="448">
        <v>1</v>
      </c>
      <c r="Q2" s="657">
        <v>0</v>
      </c>
      <c r="R2" s="650">
        <v>0</v>
      </c>
      <c r="S2" s="419">
        <v>0</v>
      </c>
      <c r="T2" s="351">
        <v>0</v>
      </c>
      <c r="U2" s="403">
        <v>0</v>
      </c>
      <c r="V2" s="475">
        <v>0</v>
      </c>
      <c r="W2" s="516">
        <v>0</v>
      </c>
      <c r="X2" s="521">
        <v>0</v>
      </c>
      <c r="Y2" s="477">
        <f>IFERROR(IF($Y$1&lt;&gt;"",INT($Y$1/(D5/100)),100),100)</f>
        <v>303</v>
      </c>
      <c r="Z2" s="618">
        <f>IFERROR($C2*(1-$V$1)/100*$Y2,"")</f>
        <v>84.84</v>
      </c>
      <c r="AA2" s="790">
        <f>IFERROR($Z2-$Z3,"")</f>
        <v>0.3160000000000025</v>
      </c>
      <c r="AD2" s="458" t="s">
        <v>319</v>
      </c>
      <c r="AE2" s="464">
        <v>45311</v>
      </c>
      <c r="AF2" s="456"/>
      <c r="AG2" s="457"/>
      <c r="AH2" s="457"/>
      <c r="AI2" s="456"/>
      <c r="AJ2" s="461"/>
      <c r="AK2" s="456"/>
      <c r="AN2" s="363">
        <v>476</v>
      </c>
      <c r="AO2" s="47"/>
      <c r="AP2" s="47">
        <v>0.37362000000000001</v>
      </c>
      <c r="AQ2" s="47">
        <f>AN2*AP2</f>
        <v>177.84312</v>
      </c>
    </row>
    <row r="3" spans="1:43" ht="12.75" customHeight="1">
      <c r="A3" s="784" t="s">
        <v>14</v>
      </c>
      <c r="B3" s="501">
        <f t="shared" ref="B3:B29" si="0">IF(A3&lt;&gt;"",VLOOKUP($A3,$A$46:$N$157,2,0),"")</f>
        <v>766</v>
      </c>
      <c r="C3" s="498">
        <f t="shared" ref="C3:C5" si="1">IF(A3&lt;&gt;"",VLOOKUP($A3,$A$42:$N$157,3,0),"")</f>
        <v>37.32</v>
      </c>
      <c r="D3" s="502">
        <f t="shared" ref="D3:D5" si="2">IF(A3&lt;&gt;"",VLOOKUP($A3,$A$42:$N$157,4,0),"")</f>
        <v>37.4</v>
      </c>
      <c r="E3" s="506">
        <f t="shared" ref="E3:E5" si="3">IF(A3&lt;&gt;"",VLOOKUP($A3,$A$42:$N$157,5,0),"")</f>
        <v>5000</v>
      </c>
      <c r="F3" s="336">
        <f t="shared" ref="F3:F29" si="4">IF($A3&lt;&gt;"",VLOOKUP($A3,$A$42:$N$157,6,0),"")</f>
        <v>37.340000000000003</v>
      </c>
      <c r="G3" s="511">
        <f t="shared" ref="G3:G29" si="5">IF($A3&lt;&gt;"",VLOOKUP($A3,$A$42:$N$157,7,0),"")</f>
        <v>-1.6000000000000001E-3</v>
      </c>
      <c r="H3" s="328">
        <f t="shared" ref="H3:H29" si="6">IF($A3&lt;&gt;"",VLOOKUP($A3,$A$42:$N$157,8,0),"")</f>
        <v>36.700000000000003</v>
      </c>
      <c r="I3" s="319">
        <f t="shared" ref="I3:I29" si="7">IF($A3&lt;&gt;"",VLOOKUP($A3,$A$42:$N$157,9,0),"")</f>
        <v>37.5</v>
      </c>
      <c r="J3" s="440">
        <f t="shared" ref="J3:J29" si="8">IF($A3&lt;&gt;"",VLOOKUP($A3,$A$42:$N$157,10,0),"")</f>
        <v>36.700000000000003</v>
      </c>
      <c r="K3" s="323">
        <f t="shared" ref="K3:K29" si="9">IF($A3&lt;&gt;"",VLOOKUP($A3,$A$42:$N$157,11,0),"")</f>
        <v>37.4</v>
      </c>
      <c r="L3" s="326">
        <f t="shared" ref="L3:L29" si="10">IF($A3&lt;&gt;"",VLOOKUP($A3,$A$42:$N$157,12,0),"")</f>
        <v>37472451</v>
      </c>
      <c r="M3" s="323">
        <f t="shared" ref="M3:M29" si="11">IF($A3&lt;&gt;"",VLOOKUP($A3,$A$42:$N$157,13,0),"")</f>
        <v>100434875</v>
      </c>
      <c r="N3" s="326">
        <f t="shared" ref="N3:N29" si="12">IF($A3&lt;&gt;"",VLOOKUP($A3,$A$42:$N$157,14,0),"")</f>
        <v>35897</v>
      </c>
      <c r="O3" s="436">
        <f t="shared" ref="O3:O29" si="13">IF($A3&lt;&gt;"",VLOOKUP($A3,$A$42:$O$157,15,0),"")</f>
        <v>45310.687592592592</v>
      </c>
      <c r="P3" s="447">
        <v>2</v>
      </c>
      <c r="Q3" s="387">
        <v>0</v>
      </c>
      <c r="R3" s="651">
        <v>0</v>
      </c>
      <c r="S3" s="416">
        <v>0</v>
      </c>
      <c r="T3" s="350">
        <v>0</v>
      </c>
      <c r="U3" s="404">
        <v>0</v>
      </c>
      <c r="V3" s="476">
        <v>0</v>
      </c>
      <c r="W3" s="517">
        <v>0</v>
      </c>
      <c r="X3" s="522">
        <v>0</v>
      </c>
      <c r="Y3" s="478">
        <f>IFERROR(INT($Z2/($D3*(1+$V$1)/100)),0)</f>
        <v>226</v>
      </c>
      <c r="Z3" s="619">
        <f>$D3/100*INT($Y3)</f>
        <v>84.524000000000001</v>
      </c>
      <c r="AA3" s="791"/>
      <c r="AD3" s="49" t="s">
        <v>320</v>
      </c>
      <c r="AE3" s="465">
        <v>45312</v>
      </c>
      <c r="AF3" s="48"/>
      <c r="AG3" s="52"/>
      <c r="AH3" s="52"/>
      <c r="AI3" s="48"/>
      <c r="AJ3" s="462"/>
      <c r="AK3" s="48"/>
      <c r="AN3" s="363">
        <v>259</v>
      </c>
      <c r="AO3" s="47"/>
      <c r="AP3" s="47">
        <v>0.37209999999999999</v>
      </c>
      <c r="AQ3" s="47">
        <f t="shared" ref="AQ3" si="14">AN3*AP3</f>
        <v>96.373899999999992</v>
      </c>
    </row>
    <row r="4" spans="1:43" ht="12.75" customHeight="1">
      <c r="A4" s="551" t="str">
        <f>IF(A1&lt;&gt;"",Z21,"")</f>
        <v>AL30 - 48hs</v>
      </c>
      <c r="B4" s="508">
        <f t="shared" si="0"/>
        <v>595009</v>
      </c>
      <c r="C4" s="500">
        <f t="shared" si="1"/>
        <v>46850</v>
      </c>
      <c r="D4" s="497">
        <f t="shared" si="2"/>
        <v>46950</v>
      </c>
      <c r="E4" s="503">
        <f t="shared" si="3"/>
        <v>5000</v>
      </c>
      <c r="F4" s="425">
        <f t="shared" si="4"/>
        <v>46850</v>
      </c>
      <c r="G4" s="510">
        <f t="shared" si="5"/>
        <v>1.2699999999999999E-2</v>
      </c>
      <c r="H4" s="329">
        <f t="shared" si="6"/>
        <v>46275</v>
      </c>
      <c r="I4" s="321">
        <f t="shared" si="7"/>
        <v>47085</v>
      </c>
      <c r="J4" s="443">
        <f t="shared" si="8"/>
        <v>45650</v>
      </c>
      <c r="K4" s="325">
        <f t="shared" si="9"/>
        <v>46260</v>
      </c>
      <c r="L4" s="367">
        <f t="shared" si="10"/>
        <v>61677510224</v>
      </c>
      <c r="M4" s="325">
        <f t="shared" si="11"/>
        <v>133412524</v>
      </c>
      <c r="N4" s="367">
        <f t="shared" si="12"/>
        <v>22035</v>
      </c>
      <c r="O4" s="435">
        <f t="shared" si="13"/>
        <v>45310.708414351851</v>
      </c>
      <c r="P4" s="448">
        <v>3</v>
      </c>
      <c r="Q4" s="390">
        <v>0</v>
      </c>
      <c r="R4" s="650">
        <v>0</v>
      </c>
      <c r="S4" s="419">
        <v>0</v>
      </c>
      <c r="T4" s="351">
        <v>0</v>
      </c>
      <c r="U4" s="403">
        <v>0</v>
      </c>
      <c r="V4" s="475">
        <v>0</v>
      </c>
      <c r="W4" s="518">
        <v>0</v>
      </c>
      <c r="X4" s="523">
        <v>0</v>
      </c>
      <c r="Y4" s="479">
        <f t="shared" ref="Y4:Y12" si="15">Y3</f>
        <v>226</v>
      </c>
      <c r="Z4" s="495">
        <f>$C4*(1-$V$1)/100*INT($Y4)</f>
        <v>105881</v>
      </c>
      <c r="AA4" s="792">
        <f>IFERROR($Z4-$Z5,"")</f>
        <v>281</v>
      </c>
      <c r="AD4" s="458" t="s">
        <v>321</v>
      </c>
      <c r="AE4" s="465">
        <v>45313</v>
      </c>
      <c r="AF4" s="456">
        <v>49075912.799999997</v>
      </c>
      <c r="AG4" s="457">
        <v>0.85</v>
      </c>
      <c r="AH4" s="457">
        <v>0.86</v>
      </c>
      <c r="AI4" s="456">
        <v>172032158.86000001</v>
      </c>
      <c r="AJ4" s="461">
        <v>0.85</v>
      </c>
      <c r="AK4" s="456"/>
      <c r="AL4" s="47"/>
      <c r="AN4">
        <f>SUM(AN1:AN3)</f>
        <v>735</v>
      </c>
      <c r="AO4" s="47"/>
      <c r="AP4" s="47"/>
      <c r="AQ4" s="47">
        <f>SUM(AQ1:AQ3)</f>
        <v>274.21701999999999</v>
      </c>
    </row>
    <row r="5" spans="1:43" ht="12.75" customHeight="1">
      <c r="A5" s="786" t="str">
        <f>IF(A2&lt;&gt;"",Z22,"")</f>
        <v>CLSIO - spot</v>
      </c>
      <c r="B5" s="540">
        <f t="shared" si="0"/>
        <v>855</v>
      </c>
      <c r="C5" s="541">
        <f t="shared" si="1"/>
        <v>31860</v>
      </c>
      <c r="D5" s="542">
        <f t="shared" si="2"/>
        <v>33000</v>
      </c>
      <c r="E5" s="543">
        <f t="shared" si="3"/>
        <v>266</v>
      </c>
      <c r="F5" s="544">
        <f t="shared" si="4"/>
        <v>33000</v>
      </c>
      <c r="G5" s="545">
        <f t="shared" si="5"/>
        <v>-2.6499999999999999E-2</v>
      </c>
      <c r="H5" s="368">
        <f t="shared" si="6"/>
        <v>32000</v>
      </c>
      <c r="I5" s="369">
        <f t="shared" si="7"/>
        <v>33300</v>
      </c>
      <c r="J5" s="445">
        <f t="shared" si="8"/>
        <v>31600</v>
      </c>
      <c r="K5" s="370">
        <f t="shared" si="9"/>
        <v>33900</v>
      </c>
      <c r="L5" s="374">
        <f t="shared" si="10"/>
        <v>4729439</v>
      </c>
      <c r="M5" s="370">
        <f t="shared" si="11"/>
        <v>14516</v>
      </c>
      <c r="N5" s="770">
        <f t="shared" si="12"/>
        <v>38</v>
      </c>
      <c r="O5" s="439">
        <f t="shared" si="13"/>
        <v>45310.674733796295</v>
      </c>
      <c r="P5" s="547">
        <v>4</v>
      </c>
      <c r="Q5" s="389">
        <v>0</v>
      </c>
      <c r="R5" s="771">
        <v>0</v>
      </c>
      <c r="S5" s="422">
        <v>0</v>
      </c>
      <c r="T5" s="772">
        <v>0</v>
      </c>
      <c r="U5" s="679">
        <v>0</v>
      </c>
      <c r="V5" s="476">
        <v>0</v>
      </c>
      <c r="W5" s="773">
        <v>0</v>
      </c>
      <c r="X5" s="641">
        <v>0</v>
      </c>
      <c r="Y5" s="549">
        <f>IFERROR($Z4/($D5*(1+$V$1)/100),0)</f>
        <v>320.85151515151517</v>
      </c>
      <c r="Z5" s="550">
        <f>$D5/100*INT($Y5)</f>
        <v>105600</v>
      </c>
      <c r="AA5" s="794"/>
      <c r="AD5" s="49" t="s">
        <v>322</v>
      </c>
      <c r="AE5" s="465">
        <v>45314</v>
      </c>
      <c r="AF5" s="48">
        <v>193403096.11000001</v>
      </c>
      <c r="AG5" s="52">
        <v>0.84250000000000003</v>
      </c>
      <c r="AH5" s="52">
        <v>0.86499999999999999</v>
      </c>
      <c r="AI5" s="48">
        <v>179397.75</v>
      </c>
      <c r="AJ5" s="462">
        <v>0.84250000000000003</v>
      </c>
      <c r="AK5" s="48">
        <v>8709351064</v>
      </c>
      <c r="AL5" s="47"/>
      <c r="AN5" s="363"/>
      <c r="AO5" s="47"/>
      <c r="AP5" s="47">
        <f>AQ4/AN4</f>
        <v>0.37308438095238095</v>
      </c>
      <c r="AQ5" s="47"/>
    </row>
    <row r="6" spans="1:43" ht="12.75" customHeight="1">
      <c r="A6" s="496" t="str">
        <f>IF(A22&lt;&gt;"",A22,"")</f>
        <v>CLSID - spot</v>
      </c>
      <c r="B6" s="508">
        <f t="shared" ref="B6:B13" si="16">IF(A6&lt;&gt;"",VLOOKUP($A6,$A$46:$N$157,2,0),"")</f>
        <v>100</v>
      </c>
      <c r="C6" s="500">
        <f t="shared" ref="C6:C13" si="17">IF(A6&lt;&gt;"",VLOOKUP($A6,$A$42:$N$157,3,0),"")</f>
        <v>28</v>
      </c>
      <c r="D6" s="365">
        <f t="shared" ref="D6:D13" si="18">IF(A6&lt;&gt;"",VLOOKUP($A6,$A$42:$N$157,4,0),"")</f>
        <v>29</v>
      </c>
      <c r="E6" s="499">
        <f t="shared" ref="E6:E13" si="19">IF(A6&lt;&gt;"",VLOOKUP($A6,$A$42:$N$157,5,0),"")</f>
        <v>7165</v>
      </c>
      <c r="F6" s="425">
        <f t="shared" ref="F6:F13" si="20">IF($A6&lt;&gt;"",VLOOKUP($A6,$A$42:$N$157,6,0),"")</f>
        <v>27.65</v>
      </c>
      <c r="G6" s="510">
        <f t="shared" ref="G6:G13" si="21">IF($A6&lt;&gt;"",VLOOKUP($A6,$A$42:$N$157,7,0),"")</f>
        <v>-2.4900000000000002E-2</v>
      </c>
      <c r="H6" s="327">
        <f t="shared" ref="H6:H13" si="22">IF($A6&lt;&gt;"",VLOOKUP($A6,$A$42:$N$157,8,0),"")</f>
        <v>27.2</v>
      </c>
      <c r="I6" s="318">
        <f t="shared" ref="I6:I13" si="23">IF($A6&lt;&gt;"",VLOOKUP($A6,$A$42:$N$157,9,0),"")</f>
        <v>31.5</v>
      </c>
      <c r="J6" s="441">
        <f t="shared" ref="J6:J13" si="24">IF($A6&lt;&gt;"",VLOOKUP($A6,$A$42:$N$157,10,0),"")</f>
        <v>27.05</v>
      </c>
      <c r="K6" s="322">
        <f t="shared" ref="K6:K13" si="25">IF($A6&lt;&gt;"",VLOOKUP($A6,$A$42:$N$157,11,0),"")</f>
        <v>28</v>
      </c>
      <c r="L6" s="383">
        <f t="shared" ref="L6:L13" si="26">IF($A6&lt;&gt;"",VLOOKUP($A6,$A$42:$N$157,12,0),"")</f>
        <v>9038</v>
      </c>
      <c r="M6" s="322">
        <f t="shared" ref="M6:M13" si="27">IF($A6&lt;&gt;"",VLOOKUP($A6,$A$42:$N$157,13,0),"")</f>
        <v>30093</v>
      </c>
      <c r="N6" s="383">
        <f t="shared" ref="N6:N13" si="28">IF($A6&lt;&gt;"",VLOOKUP($A6,$A$42:$N$157,14,0),"")</f>
        <v>25</v>
      </c>
      <c r="O6" s="431">
        <f t="shared" ref="O6:O13" si="29">IF($A6&lt;&gt;"",VLOOKUP($A6,$A$42:$O$157,15,0),"")</f>
        <v>45310.654224537036</v>
      </c>
      <c r="P6" s="448">
        <v>5</v>
      </c>
      <c r="Q6" s="658">
        <v>0</v>
      </c>
      <c r="R6" s="652">
        <v>0</v>
      </c>
      <c r="S6" s="417">
        <v>0</v>
      </c>
      <c r="T6" s="344">
        <v>0</v>
      </c>
      <c r="U6" s="678">
        <v>0</v>
      </c>
      <c r="V6" s="475">
        <v>0</v>
      </c>
      <c r="W6" s="516">
        <v>0</v>
      </c>
      <c r="X6" s="524">
        <v>0</v>
      </c>
      <c r="Y6" s="477">
        <f>IFERROR(IF($Y$1&lt;&gt;"",INT($Y$1/(D9/100)),100),100)</f>
        <v>303</v>
      </c>
      <c r="Z6" s="493">
        <f>IFERROR($C6*(1-$V$1)/100*$Y6,"")</f>
        <v>84.84</v>
      </c>
      <c r="AA6" s="790">
        <f>IFERROR($Z6-$Z7,"")</f>
        <v>0.17500000000001137</v>
      </c>
      <c r="AB6" s="316"/>
      <c r="AD6" s="458" t="s">
        <v>323</v>
      </c>
      <c r="AE6" s="465">
        <v>45315</v>
      </c>
      <c r="AF6" s="456">
        <v>3415214</v>
      </c>
      <c r="AG6" s="457">
        <v>0.84010000000000007</v>
      </c>
      <c r="AH6" s="457">
        <v>0.9</v>
      </c>
      <c r="AI6" s="456">
        <v>357997</v>
      </c>
      <c r="AJ6" s="461">
        <v>0.84010000000000007</v>
      </c>
      <c r="AK6" s="456">
        <v>1692703006</v>
      </c>
      <c r="AN6" s="363"/>
      <c r="AO6" s="47"/>
      <c r="AP6" s="47"/>
      <c r="AQ6" s="47"/>
    </row>
    <row r="7" spans="1:43" ht="12.75" customHeight="1">
      <c r="A7" s="784" t="s">
        <v>18</v>
      </c>
      <c r="B7" s="501">
        <f t="shared" si="16"/>
        <v>14360</v>
      </c>
      <c r="C7" s="498">
        <f t="shared" si="17"/>
        <v>41</v>
      </c>
      <c r="D7" s="502">
        <f t="shared" si="18"/>
        <v>41.3</v>
      </c>
      <c r="E7" s="506">
        <f t="shared" si="19"/>
        <v>8105</v>
      </c>
      <c r="F7" s="336">
        <f t="shared" si="20"/>
        <v>41.012</v>
      </c>
      <c r="G7" s="511">
        <f t="shared" si="21"/>
        <v>-3.5999999999999999E-3</v>
      </c>
      <c r="H7" s="328">
        <f t="shared" si="22"/>
        <v>42</v>
      </c>
      <c r="I7" s="319">
        <f t="shared" si="23"/>
        <v>42.287999999999997</v>
      </c>
      <c r="J7" s="440">
        <f t="shared" si="24"/>
        <v>40.950000000000003</v>
      </c>
      <c r="K7" s="323">
        <f t="shared" si="25"/>
        <v>41.161000000000001</v>
      </c>
      <c r="L7" s="326">
        <f t="shared" si="26"/>
        <v>2050007</v>
      </c>
      <c r="M7" s="342">
        <f t="shared" si="27"/>
        <v>4973759</v>
      </c>
      <c r="N7" s="326">
        <f t="shared" si="28"/>
        <v>3081</v>
      </c>
      <c r="O7" s="430">
        <f t="shared" si="29"/>
        <v>45310.687824074077</v>
      </c>
      <c r="P7" s="447">
        <v>6</v>
      </c>
      <c r="Q7" s="387">
        <v>0</v>
      </c>
      <c r="R7" s="651">
        <v>0</v>
      </c>
      <c r="S7" s="416">
        <v>0</v>
      </c>
      <c r="T7" s="343">
        <v>0</v>
      </c>
      <c r="U7" s="404">
        <v>0</v>
      </c>
      <c r="V7" s="476">
        <v>0</v>
      </c>
      <c r="W7" s="517">
        <v>0</v>
      </c>
      <c r="X7" s="525">
        <v>0</v>
      </c>
      <c r="Y7" s="478">
        <f>IFERROR(INT($Z6/($D7*(1+$V$1)/100)),0)</f>
        <v>205</v>
      </c>
      <c r="Z7" s="494">
        <f>IFERROR($D7/100*INT($Y7),"")</f>
        <v>84.664999999999992</v>
      </c>
      <c r="AA7" s="791"/>
      <c r="AD7" s="49" t="s">
        <v>324</v>
      </c>
      <c r="AE7" s="465">
        <v>45316</v>
      </c>
      <c r="AF7" s="48">
        <v>4027713.34</v>
      </c>
      <c r="AG7" s="52">
        <v>0.83</v>
      </c>
      <c r="AH7" s="52">
        <v>0.89</v>
      </c>
      <c r="AI7" s="48">
        <v>666714.55000000005</v>
      </c>
      <c r="AJ7" s="462">
        <v>0.83</v>
      </c>
      <c r="AK7" s="48">
        <v>957078189</v>
      </c>
      <c r="AN7" s="363"/>
      <c r="AO7" s="47"/>
      <c r="AP7" s="47"/>
      <c r="AQ7" s="47"/>
    </row>
    <row r="8" spans="1:43">
      <c r="A8" s="551" t="s">
        <v>16</v>
      </c>
      <c r="B8" s="508">
        <f t="shared" si="16"/>
        <v>1121</v>
      </c>
      <c r="C8" s="500">
        <f t="shared" si="17"/>
        <v>50680</v>
      </c>
      <c r="D8" s="497">
        <f t="shared" si="18"/>
        <v>51000</v>
      </c>
      <c r="E8" s="503">
        <f t="shared" si="19"/>
        <v>3837</v>
      </c>
      <c r="F8" s="425">
        <f t="shared" si="20"/>
        <v>51000</v>
      </c>
      <c r="G8" s="510">
        <f t="shared" si="21"/>
        <v>1.21E-2</v>
      </c>
      <c r="H8" s="327">
        <f t="shared" si="22"/>
        <v>50390</v>
      </c>
      <c r="I8" s="318">
        <f t="shared" si="23"/>
        <v>51190</v>
      </c>
      <c r="J8" s="441">
        <f t="shared" si="24"/>
        <v>49710</v>
      </c>
      <c r="K8" s="322">
        <f t="shared" si="25"/>
        <v>50390</v>
      </c>
      <c r="L8" s="383">
        <f t="shared" si="26"/>
        <v>4273710805</v>
      </c>
      <c r="M8" s="322">
        <f t="shared" si="27"/>
        <v>8481293</v>
      </c>
      <c r="N8" s="383">
        <f t="shared" si="28"/>
        <v>4321</v>
      </c>
      <c r="O8" s="431">
        <f t="shared" si="29"/>
        <v>45310.687719907408</v>
      </c>
      <c r="P8" s="448">
        <v>7</v>
      </c>
      <c r="Q8" s="658">
        <v>0</v>
      </c>
      <c r="R8" s="652">
        <v>0</v>
      </c>
      <c r="S8" s="417">
        <v>0</v>
      </c>
      <c r="T8" s="344">
        <v>0</v>
      </c>
      <c r="U8" s="403">
        <v>0</v>
      </c>
      <c r="V8" s="475">
        <v>0</v>
      </c>
      <c r="W8" s="518">
        <v>0</v>
      </c>
      <c r="X8" s="526">
        <v>0</v>
      </c>
      <c r="Y8" s="479">
        <f t="shared" si="15"/>
        <v>205</v>
      </c>
      <c r="Z8" s="495">
        <f>IFERROR($C8*(1-$V$1)/100*INT($Y8),"")</f>
        <v>103894</v>
      </c>
      <c r="AA8" s="792">
        <f>IFERROR($Z8-$Z9,"")</f>
        <v>274</v>
      </c>
      <c r="AD8" s="458" t="s">
        <v>325</v>
      </c>
      <c r="AE8" s="465">
        <v>45317</v>
      </c>
      <c r="AF8" s="456">
        <v>1886377.06</v>
      </c>
      <c r="AG8" s="457">
        <v>0.8175</v>
      </c>
      <c r="AH8" s="457">
        <v>0.88</v>
      </c>
      <c r="AI8" s="456">
        <v>1900103.67</v>
      </c>
      <c r="AJ8" s="461">
        <v>0.8105</v>
      </c>
      <c r="AK8" s="456">
        <v>25354037296</v>
      </c>
      <c r="AN8" s="363"/>
      <c r="AO8" s="47"/>
      <c r="AP8" s="47"/>
      <c r="AQ8" s="47"/>
    </row>
    <row r="9" spans="1:43" ht="12.75" customHeight="1">
      <c r="A9" s="724" t="str">
        <f>IF(A6&lt;&gt;"",Z22,"")</f>
        <v>CLSIO - spot</v>
      </c>
      <c r="B9" s="725">
        <f t="shared" si="16"/>
        <v>855</v>
      </c>
      <c r="C9" s="707">
        <f t="shared" si="17"/>
        <v>31860</v>
      </c>
      <c r="D9" s="708">
        <f t="shared" si="18"/>
        <v>33000</v>
      </c>
      <c r="E9" s="726">
        <f t="shared" si="19"/>
        <v>266</v>
      </c>
      <c r="F9" s="709">
        <f t="shared" si="20"/>
        <v>33000</v>
      </c>
      <c r="G9" s="710">
        <f t="shared" si="21"/>
        <v>-2.6499999999999999E-2</v>
      </c>
      <c r="H9" s="711">
        <f t="shared" si="22"/>
        <v>32000</v>
      </c>
      <c r="I9" s="712">
        <f t="shared" si="23"/>
        <v>33300</v>
      </c>
      <c r="J9" s="713">
        <f t="shared" si="24"/>
        <v>31600</v>
      </c>
      <c r="K9" s="714">
        <f t="shared" si="25"/>
        <v>33900</v>
      </c>
      <c r="L9" s="695">
        <f t="shared" si="26"/>
        <v>4729439</v>
      </c>
      <c r="M9" s="714">
        <f t="shared" si="27"/>
        <v>14516</v>
      </c>
      <c r="N9" s="695">
        <f t="shared" si="28"/>
        <v>38</v>
      </c>
      <c r="O9" s="715">
        <f t="shared" si="29"/>
        <v>45310.674733796295</v>
      </c>
      <c r="P9" s="697">
        <v>8</v>
      </c>
      <c r="Q9" s="698">
        <v>0</v>
      </c>
      <c r="R9" s="716">
        <v>0</v>
      </c>
      <c r="S9" s="700">
        <v>0</v>
      </c>
      <c r="T9" s="767">
        <v>0</v>
      </c>
      <c r="U9" s="679">
        <v>0</v>
      </c>
      <c r="V9" s="731">
        <v>0</v>
      </c>
      <c r="W9" s="768">
        <v>0</v>
      </c>
      <c r="X9" s="769">
        <v>0</v>
      </c>
      <c r="Y9" s="728">
        <f>IFERROR($Z8/($D9*(1+$V$1)/100),0)</f>
        <v>314.83030303030301</v>
      </c>
      <c r="Z9" s="729">
        <f>IFERROR($D9/100*INT($Y9),"")</f>
        <v>103620</v>
      </c>
      <c r="AA9" s="793"/>
      <c r="AD9" s="49"/>
      <c r="AE9" s="465"/>
      <c r="AF9" s="459"/>
      <c r="AG9" s="460"/>
      <c r="AH9" s="460"/>
      <c r="AI9" s="459"/>
      <c r="AJ9" s="463"/>
      <c r="AK9" s="459"/>
      <c r="AN9" s="745">
        <v>670</v>
      </c>
      <c r="AO9" s="47"/>
      <c r="AP9" s="47">
        <v>0.41149999999999998</v>
      </c>
      <c r="AQ9" s="47">
        <f>AN9*AP9</f>
        <v>275.70499999999998</v>
      </c>
    </row>
    <row r="10" spans="1:43" ht="12.75" customHeight="1">
      <c r="A10" s="496" t="str">
        <f>IF(A22&lt;&gt;"",A22,"")</f>
        <v>CLSID - spot</v>
      </c>
      <c r="B10" s="508">
        <f t="shared" si="16"/>
        <v>100</v>
      </c>
      <c r="C10" s="500">
        <f t="shared" si="17"/>
        <v>28</v>
      </c>
      <c r="D10" s="365">
        <f t="shared" si="18"/>
        <v>29</v>
      </c>
      <c r="E10" s="499">
        <f t="shared" si="19"/>
        <v>7165</v>
      </c>
      <c r="F10" s="425">
        <f t="shared" si="20"/>
        <v>27.65</v>
      </c>
      <c r="G10" s="510">
        <f t="shared" si="21"/>
        <v>-2.4900000000000002E-2</v>
      </c>
      <c r="H10" s="327">
        <f t="shared" si="22"/>
        <v>27.2</v>
      </c>
      <c r="I10" s="318">
        <f t="shared" si="23"/>
        <v>31.5</v>
      </c>
      <c r="J10" s="441">
        <f t="shared" si="24"/>
        <v>27.05</v>
      </c>
      <c r="K10" s="322">
        <f t="shared" si="25"/>
        <v>28</v>
      </c>
      <c r="L10" s="383">
        <f t="shared" si="26"/>
        <v>9038</v>
      </c>
      <c r="M10" s="322">
        <f t="shared" si="27"/>
        <v>30093</v>
      </c>
      <c r="N10" s="383">
        <f t="shared" si="28"/>
        <v>25</v>
      </c>
      <c r="O10" s="431">
        <f t="shared" si="29"/>
        <v>45310.654224537036</v>
      </c>
      <c r="P10" s="448">
        <v>9</v>
      </c>
      <c r="Q10" s="658">
        <v>0</v>
      </c>
      <c r="R10" s="652">
        <v>0</v>
      </c>
      <c r="S10" s="417">
        <v>0</v>
      </c>
      <c r="T10" s="344">
        <v>0</v>
      </c>
      <c r="U10" s="678">
        <v>0</v>
      </c>
      <c r="V10" s="475">
        <v>0</v>
      </c>
      <c r="W10" s="519">
        <v>0</v>
      </c>
      <c r="X10" s="524">
        <v>0</v>
      </c>
      <c r="Y10" s="477">
        <v>100</v>
      </c>
      <c r="Z10" s="493">
        <f>IFERROR($C10*(1-$V$1)/100*$Y10,"")</f>
        <v>28.000000000000004</v>
      </c>
      <c r="AA10" s="790">
        <f>IFERROR($Z10-$Z11,"")</f>
        <v>0.11400000000000432</v>
      </c>
      <c r="AB10" s="316"/>
      <c r="AF10" s="278"/>
      <c r="AH10" s="278"/>
      <c r="AJ10" s="47"/>
      <c r="AK10" s="47"/>
      <c r="AN10" s="745">
        <v>95</v>
      </c>
      <c r="AO10" s="47"/>
      <c r="AP10" s="47">
        <v>0.41061999999999999</v>
      </c>
      <c r="AQ10" s="47">
        <f t="shared" ref="AQ10:AQ11" si="30">AN10*AP10</f>
        <v>39.008899999999997</v>
      </c>
    </row>
    <row r="11" spans="1:43" ht="12.75" customHeight="1">
      <c r="A11" s="552" t="str">
        <f>IF(A26&lt;&gt;"",Z26,"")</f>
        <v>AL29D - spot</v>
      </c>
      <c r="B11" s="501">
        <f t="shared" si="16"/>
        <v>200</v>
      </c>
      <c r="C11" s="498">
        <f t="shared" si="17"/>
        <v>37.65</v>
      </c>
      <c r="D11" s="502">
        <f t="shared" si="18"/>
        <v>38.200000000000003</v>
      </c>
      <c r="E11" s="506">
        <f t="shared" si="19"/>
        <v>317</v>
      </c>
      <c r="F11" s="336">
        <f t="shared" si="20"/>
        <v>38.200000000000003</v>
      </c>
      <c r="G11" s="511">
        <f t="shared" si="21"/>
        <v>-1.1599999999999999E-2</v>
      </c>
      <c r="H11" s="328">
        <f t="shared" si="22"/>
        <v>38.5</v>
      </c>
      <c r="I11" s="319">
        <f t="shared" si="23"/>
        <v>39</v>
      </c>
      <c r="J11" s="440">
        <f t="shared" si="24"/>
        <v>37.5</v>
      </c>
      <c r="K11" s="323">
        <f t="shared" si="25"/>
        <v>38.65</v>
      </c>
      <c r="L11" s="326">
        <f t="shared" si="26"/>
        <v>61739</v>
      </c>
      <c r="M11" s="323">
        <f t="shared" si="27"/>
        <v>160542</v>
      </c>
      <c r="N11" s="326">
        <f t="shared" si="28"/>
        <v>207</v>
      </c>
      <c r="O11" s="430">
        <f t="shared" si="29"/>
        <v>45310.687511574077</v>
      </c>
      <c r="P11" s="447">
        <v>10</v>
      </c>
      <c r="Q11" s="387">
        <v>0</v>
      </c>
      <c r="R11" s="651">
        <v>0</v>
      </c>
      <c r="S11" s="416">
        <v>0</v>
      </c>
      <c r="T11" s="343">
        <v>0</v>
      </c>
      <c r="U11" s="404">
        <v>0</v>
      </c>
      <c r="V11" s="476">
        <v>0</v>
      </c>
      <c r="W11" s="520">
        <v>0</v>
      </c>
      <c r="X11" s="525">
        <v>0</v>
      </c>
      <c r="Y11" s="478">
        <f>IFERROR(INT($Z10/($D11*(1+$V$1)/100)),0)</f>
        <v>73</v>
      </c>
      <c r="Z11" s="494">
        <f>IFERROR($D11/100*INT($Y11),"")</f>
        <v>27.885999999999999</v>
      </c>
      <c r="AA11" s="791"/>
      <c r="AN11" s="745">
        <v>354</v>
      </c>
      <c r="AO11" s="47"/>
      <c r="AP11" s="47">
        <v>0.41350999999999999</v>
      </c>
      <c r="AQ11" s="47">
        <f t="shared" si="30"/>
        <v>146.38254000000001</v>
      </c>
    </row>
    <row r="12" spans="1:43" ht="12.75" customHeight="1">
      <c r="A12" s="551" t="str">
        <f>IF(A10&lt;&gt;"",A26,"")</f>
        <v>AL29 - spot</v>
      </c>
      <c r="B12" s="508">
        <f t="shared" si="16"/>
        <v>144</v>
      </c>
      <c r="C12" s="500">
        <f t="shared" si="17"/>
        <v>47060</v>
      </c>
      <c r="D12" s="497">
        <f t="shared" si="18"/>
        <v>47630</v>
      </c>
      <c r="E12" s="503">
        <f t="shared" si="19"/>
        <v>513</v>
      </c>
      <c r="F12" s="425">
        <f t="shared" si="20"/>
        <v>47620</v>
      </c>
      <c r="G12" s="510">
        <f t="shared" si="21"/>
        <v>1.66E-2</v>
      </c>
      <c r="H12" s="327">
        <f t="shared" si="22"/>
        <v>46960</v>
      </c>
      <c r="I12" s="318">
        <f t="shared" si="23"/>
        <v>48600</v>
      </c>
      <c r="J12" s="441">
        <f t="shared" si="24"/>
        <v>46510</v>
      </c>
      <c r="K12" s="322">
        <f t="shared" si="25"/>
        <v>46840</v>
      </c>
      <c r="L12" s="383">
        <f t="shared" si="26"/>
        <v>150497012</v>
      </c>
      <c r="M12" s="322">
        <f t="shared" si="27"/>
        <v>320256</v>
      </c>
      <c r="N12" s="383">
        <f t="shared" si="28"/>
        <v>348</v>
      </c>
      <c r="O12" s="431">
        <f t="shared" si="29"/>
        <v>45310.685254629629</v>
      </c>
      <c r="P12" s="448">
        <v>11</v>
      </c>
      <c r="Q12" s="658">
        <v>0</v>
      </c>
      <c r="R12" s="652">
        <v>0</v>
      </c>
      <c r="S12" s="417">
        <v>0</v>
      </c>
      <c r="T12" s="344">
        <v>0</v>
      </c>
      <c r="U12" s="403">
        <v>0</v>
      </c>
      <c r="V12" s="475">
        <v>0</v>
      </c>
      <c r="W12" s="534">
        <v>0</v>
      </c>
      <c r="X12" s="526">
        <v>0</v>
      </c>
      <c r="Y12" s="479">
        <f t="shared" si="15"/>
        <v>73</v>
      </c>
      <c r="Z12" s="495">
        <f>IFERROR($C12*(1-$V$1)/100*INT($Y12),"")</f>
        <v>34353.800000000003</v>
      </c>
      <c r="AA12" s="792">
        <f>IFERROR($Z12-$Z13,"")</f>
        <v>33.80000000000291</v>
      </c>
      <c r="AN12">
        <f>SUM(AN9:AN11)</f>
        <v>1119</v>
      </c>
      <c r="AO12" s="47"/>
      <c r="AP12" s="47" t="s">
        <v>685</v>
      </c>
      <c r="AQ12" s="47">
        <f>SUM(AQ9:AQ11)</f>
        <v>461.09643999999997</v>
      </c>
    </row>
    <row r="13" spans="1:43" ht="12.75" customHeight="1">
      <c r="A13" s="724" t="str">
        <f>IF(A10&lt;&gt;"",Z22,"")</f>
        <v>CLSIO - spot</v>
      </c>
      <c r="B13" s="725">
        <f t="shared" si="16"/>
        <v>855</v>
      </c>
      <c r="C13" s="707">
        <f t="shared" si="17"/>
        <v>31860</v>
      </c>
      <c r="D13" s="708">
        <f t="shared" si="18"/>
        <v>33000</v>
      </c>
      <c r="E13" s="726">
        <f t="shared" si="19"/>
        <v>266</v>
      </c>
      <c r="F13" s="709">
        <f t="shared" si="20"/>
        <v>33000</v>
      </c>
      <c r="G13" s="710">
        <f t="shared" si="21"/>
        <v>-2.6499999999999999E-2</v>
      </c>
      <c r="H13" s="711">
        <f t="shared" si="22"/>
        <v>32000</v>
      </c>
      <c r="I13" s="712">
        <f t="shared" si="23"/>
        <v>33300</v>
      </c>
      <c r="J13" s="713">
        <f t="shared" si="24"/>
        <v>31600</v>
      </c>
      <c r="K13" s="714">
        <f t="shared" si="25"/>
        <v>33900</v>
      </c>
      <c r="L13" s="695">
        <f t="shared" si="26"/>
        <v>4729439</v>
      </c>
      <c r="M13" s="714">
        <f t="shared" si="27"/>
        <v>14516</v>
      </c>
      <c r="N13" s="695">
        <f t="shared" si="28"/>
        <v>38</v>
      </c>
      <c r="O13" s="715">
        <f t="shared" si="29"/>
        <v>45310.674733796295</v>
      </c>
      <c r="P13" s="697">
        <v>12</v>
      </c>
      <c r="Q13" s="698">
        <v>0</v>
      </c>
      <c r="R13" s="716">
        <v>0</v>
      </c>
      <c r="S13" s="700">
        <v>0</v>
      </c>
      <c r="T13" s="767">
        <v>0</v>
      </c>
      <c r="U13" s="404">
        <v>0</v>
      </c>
      <c r="V13" s="476">
        <v>0</v>
      </c>
      <c r="W13" s="718">
        <v>0</v>
      </c>
      <c r="X13" s="787">
        <v>0</v>
      </c>
      <c r="Y13" s="728">
        <f>IFERROR($Z12/($D13*(1+$V$1)/100),0)</f>
        <v>104.10242424242425</v>
      </c>
      <c r="Z13" s="729">
        <f>IFERROR($D13/100*INT($Y13),"")</f>
        <v>34320</v>
      </c>
      <c r="AA13" s="793"/>
      <c r="AO13" s="47"/>
      <c r="AP13" s="47">
        <f>AQ12/AN12</f>
        <v>0.41206116175156388</v>
      </c>
      <c r="AQ13" s="47"/>
    </row>
    <row r="14" spans="1:43" ht="12.75" customHeight="1">
      <c r="A14" s="496" t="str">
        <f>IF(A25&lt;&gt;"",A25,"")</f>
        <v>GD35C - 48hs</v>
      </c>
      <c r="B14" s="508">
        <f t="shared" si="0"/>
        <v>5013</v>
      </c>
      <c r="C14" s="500">
        <f t="shared" ref="C14:C29" si="31">IF(A14&lt;&gt;"",VLOOKUP($A14,$A$42:$N$157,3,0),"")</f>
        <v>34.1</v>
      </c>
      <c r="D14" s="365">
        <f t="shared" ref="D14:D29" si="32">IF(A14&lt;&gt;"",VLOOKUP($A14,$A$42:$N$157,4,0),"")</f>
        <v>36.5</v>
      </c>
      <c r="E14" s="499">
        <f t="shared" ref="E14:E29" si="33">IF(A14&lt;&gt;"",VLOOKUP($A14,$A$42:$N$157,5,0),"")</f>
        <v>5630</v>
      </c>
      <c r="F14" s="425">
        <f t="shared" si="4"/>
        <v>34.1</v>
      </c>
      <c r="G14" s="510">
        <f t="shared" si="5"/>
        <v>-8.6999999999999994E-3</v>
      </c>
      <c r="H14" s="329">
        <f t="shared" si="6"/>
        <v>34.1</v>
      </c>
      <c r="I14" s="321">
        <f t="shared" si="7"/>
        <v>34.1</v>
      </c>
      <c r="J14" s="443">
        <f t="shared" si="8"/>
        <v>34.1</v>
      </c>
      <c r="K14" s="325">
        <f t="shared" si="9"/>
        <v>34.4</v>
      </c>
      <c r="L14" s="367">
        <f t="shared" si="10"/>
        <v>2269</v>
      </c>
      <c r="M14" s="325">
        <f t="shared" si="11"/>
        <v>6654</v>
      </c>
      <c r="N14" s="367">
        <f t="shared" si="12"/>
        <v>3</v>
      </c>
      <c r="O14" s="433">
        <f t="shared" si="13"/>
        <v>45310.602349537039</v>
      </c>
      <c r="P14" s="448">
        <v>13</v>
      </c>
      <c r="Q14" s="390">
        <v>0</v>
      </c>
      <c r="R14" s="650">
        <v>0</v>
      </c>
      <c r="S14" s="419">
        <v>0</v>
      </c>
      <c r="T14" s="371">
        <v>0</v>
      </c>
      <c r="U14" s="403">
        <v>0</v>
      </c>
      <c r="V14" s="475">
        <v>0</v>
      </c>
      <c r="W14" s="519">
        <v>0</v>
      </c>
      <c r="X14" s="524">
        <v>0</v>
      </c>
      <c r="Y14" s="477">
        <v>100</v>
      </c>
      <c r="Z14" s="493">
        <f>IFERROR($C14*(1-$V$1)/100*$Y14,"")</f>
        <v>34.1</v>
      </c>
      <c r="AA14" s="790">
        <f>IFERROR($Z14-$Z15,"")</f>
        <v>0.18500000000000227</v>
      </c>
      <c r="AO14" s="47"/>
      <c r="AP14" s="47"/>
      <c r="AQ14" s="47"/>
    </row>
    <row r="15" spans="1:43" ht="12.75" customHeight="1">
      <c r="A15" s="553" t="str">
        <f>IF(A23&lt;&gt;0,AA23,"")</f>
        <v>CLSIC - 48hs</v>
      </c>
      <c r="B15" s="501">
        <f t="shared" si="0"/>
        <v>0</v>
      </c>
      <c r="C15" s="498">
        <f t="shared" si="31"/>
        <v>0</v>
      </c>
      <c r="D15" s="502">
        <f t="shared" si="32"/>
        <v>28.5</v>
      </c>
      <c r="E15" s="506">
        <f t="shared" si="33"/>
        <v>50000</v>
      </c>
      <c r="F15" s="336">
        <f t="shared" si="4"/>
        <v>0</v>
      </c>
      <c r="G15" s="511">
        <f t="shared" si="5"/>
        <v>0</v>
      </c>
      <c r="H15" s="345">
        <f t="shared" si="6"/>
        <v>0</v>
      </c>
      <c r="I15" s="346">
        <f t="shared" si="7"/>
        <v>0</v>
      </c>
      <c r="J15" s="444">
        <f t="shared" si="8"/>
        <v>0</v>
      </c>
      <c r="K15" s="347">
        <f t="shared" si="9"/>
        <v>31</v>
      </c>
      <c r="L15" s="386">
        <f t="shared" si="10"/>
        <v>0</v>
      </c>
      <c r="M15" s="347">
        <f t="shared" si="11"/>
        <v>0</v>
      </c>
      <c r="N15" s="386">
        <f t="shared" si="12"/>
        <v>0</v>
      </c>
      <c r="O15" s="434">
        <f t="shared" si="13"/>
        <v>0</v>
      </c>
      <c r="P15" s="447">
        <v>14</v>
      </c>
      <c r="Q15" s="659">
        <v>0</v>
      </c>
      <c r="R15" s="654">
        <v>0</v>
      </c>
      <c r="S15" s="420">
        <v>0</v>
      </c>
      <c r="T15" s="348">
        <v>0</v>
      </c>
      <c r="U15" s="404">
        <v>0</v>
      </c>
      <c r="V15" s="476">
        <v>0</v>
      </c>
      <c r="W15" s="520">
        <v>0</v>
      </c>
      <c r="X15" s="525">
        <v>0</v>
      </c>
      <c r="Y15" s="478">
        <f>IFERROR(INT($Z14/($D15*(1+$V$1)/100)),0)</f>
        <v>119</v>
      </c>
      <c r="Z15" s="494">
        <f>IFERROR($D15/100*INT($Y15),"")</f>
        <v>33.914999999999999</v>
      </c>
      <c r="AA15" s="791"/>
    </row>
    <row r="16" spans="1:43" ht="12.75" customHeight="1">
      <c r="A16" s="537" t="str">
        <f>IF(A14&lt;&gt;"",A23,"")</f>
        <v>CLSID - 48hs</v>
      </c>
      <c r="B16" s="508">
        <f t="shared" si="0"/>
        <v>1590</v>
      </c>
      <c r="C16" s="500">
        <f t="shared" si="31"/>
        <v>27.623000000000001</v>
      </c>
      <c r="D16" s="497">
        <f t="shared" si="32"/>
        <v>28.4</v>
      </c>
      <c r="E16" s="503">
        <f t="shared" si="33"/>
        <v>100</v>
      </c>
      <c r="F16" s="425">
        <f t="shared" si="4"/>
        <v>27.623000000000001</v>
      </c>
      <c r="G16" s="510">
        <f t="shared" si="5"/>
        <v>-1.34E-2</v>
      </c>
      <c r="H16" s="327">
        <f t="shared" si="6"/>
        <v>28.75</v>
      </c>
      <c r="I16" s="318">
        <f t="shared" si="7"/>
        <v>28.75</v>
      </c>
      <c r="J16" s="318">
        <f t="shared" si="8"/>
        <v>27.52</v>
      </c>
      <c r="K16" s="322">
        <f t="shared" si="9"/>
        <v>28</v>
      </c>
      <c r="L16" s="383">
        <f t="shared" si="10"/>
        <v>18772</v>
      </c>
      <c r="M16" s="322">
        <f t="shared" si="11"/>
        <v>67662</v>
      </c>
      <c r="N16" s="383">
        <f t="shared" si="12"/>
        <v>87</v>
      </c>
      <c r="O16" s="431">
        <f t="shared" si="13"/>
        <v>45310.706157407411</v>
      </c>
      <c r="P16" s="448">
        <v>15</v>
      </c>
      <c r="Q16" s="660">
        <v>0</v>
      </c>
      <c r="R16" s="652">
        <v>0</v>
      </c>
      <c r="S16" s="417">
        <v>0</v>
      </c>
      <c r="T16" s="344">
        <v>0</v>
      </c>
      <c r="U16" s="403">
        <v>0</v>
      </c>
      <c r="V16" s="475">
        <v>0</v>
      </c>
      <c r="W16" s="534">
        <v>0</v>
      </c>
      <c r="X16" s="526">
        <v>0</v>
      </c>
      <c r="Y16" s="479">
        <f t="shared" ref="Y16" si="34">Y15</f>
        <v>119</v>
      </c>
      <c r="Z16" s="495">
        <f>IFERROR($C16*(1-$V$1)/100*INT($Y16),"")</f>
        <v>32.871370000000006</v>
      </c>
      <c r="AA16" s="792">
        <f>IFERROR($Z16-$Z17,"")</f>
        <v>0.25737000000000165</v>
      </c>
    </row>
    <row r="17" spans="1:29" ht="12.75" customHeight="1">
      <c r="A17" s="627" t="str">
        <f>IF(AA14&lt;&gt;"",AA25,"")</f>
        <v>GD35D - 48hs</v>
      </c>
      <c r="B17" s="504">
        <f t="shared" si="0"/>
        <v>44314</v>
      </c>
      <c r="C17" s="398">
        <f t="shared" si="31"/>
        <v>34.9</v>
      </c>
      <c r="D17" s="505">
        <f t="shared" si="32"/>
        <v>35.450000000000003</v>
      </c>
      <c r="E17" s="507">
        <f t="shared" si="33"/>
        <v>3999</v>
      </c>
      <c r="F17" s="509">
        <f t="shared" si="4"/>
        <v>35.450000000000003</v>
      </c>
      <c r="G17" s="512">
        <f t="shared" si="5"/>
        <v>-1.4000000000000002E-3</v>
      </c>
      <c r="H17" s="391">
        <f t="shared" si="6"/>
        <v>35.999000000000002</v>
      </c>
      <c r="I17" s="392">
        <f t="shared" si="7"/>
        <v>35.999000000000002</v>
      </c>
      <c r="J17" s="442">
        <f t="shared" si="8"/>
        <v>34.9</v>
      </c>
      <c r="K17" s="394">
        <f t="shared" si="9"/>
        <v>35.5</v>
      </c>
      <c r="L17" s="393">
        <f t="shared" si="10"/>
        <v>276151</v>
      </c>
      <c r="M17" s="394">
        <f t="shared" si="11"/>
        <v>783655</v>
      </c>
      <c r="N17" s="393">
        <f t="shared" si="12"/>
        <v>225</v>
      </c>
      <c r="O17" s="432">
        <f t="shared" si="13"/>
        <v>45310.708449074074</v>
      </c>
      <c r="P17" s="623">
        <v>16</v>
      </c>
      <c r="Q17" s="449">
        <v>0</v>
      </c>
      <c r="R17" s="655">
        <v>0</v>
      </c>
      <c r="S17" s="418">
        <v>0</v>
      </c>
      <c r="T17" s="395">
        <v>0</v>
      </c>
      <c r="U17" s="404">
        <v>0</v>
      </c>
      <c r="V17" s="476">
        <v>0</v>
      </c>
      <c r="W17" s="554">
        <v>0</v>
      </c>
      <c r="X17" s="628">
        <v>0</v>
      </c>
      <c r="Y17" s="624">
        <f>IFERROR($Z16/($D17*(1+$V$1)/100),0)</f>
        <v>92.726008462623426</v>
      </c>
      <c r="Z17" s="625">
        <f>IFERROR($D17/100*INT($Y17),"")</f>
        <v>32.614000000000004</v>
      </c>
      <c r="AA17" s="799"/>
    </row>
    <row r="18" spans="1:29" ht="12.75" hidden="1" customHeight="1">
      <c r="A18" s="645" t="s">
        <v>13</v>
      </c>
      <c r="B18" s="663">
        <f t="shared" si="0"/>
        <v>1615</v>
      </c>
      <c r="C18" s="626">
        <f t="shared" si="31"/>
        <v>46050</v>
      </c>
      <c r="D18" s="365">
        <f t="shared" si="32"/>
        <v>46095</v>
      </c>
      <c r="E18" s="662">
        <f t="shared" si="33"/>
        <v>200000</v>
      </c>
      <c r="F18" s="425">
        <f t="shared" si="4"/>
        <v>46090</v>
      </c>
      <c r="G18" s="510">
        <f t="shared" si="5"/>
        <v>9.3999999999999986E-3</v>
      </c>
      <c r="H18" s="329">
        <f t="shared" si="6"/>
        <v>46800</v>
      </c>
      <c r="I18" s="321">
        <f t="shared" si="7"/>
        <v>46800</v>
      </c>
      <c r="J18" s="443">
        <f t="shared" si="8"/>
        <v>45110</v>
      </c>
      <c r="K18" s="325">
        <f t="shared" si="9"/>
        <v>45660</v>
      </c>
      <c r="L18" s="367">
        <f t="shared" si="10"/>
        <v>56053377387</v>
      </c>
      <c r="M18" s="325">
        <f t="shared" si="11"/>
        <v>122535195</v>
      </c>
      <c r="N18" s="367">
        <f t="shared" si="12"/>
        <v>43627</v>
      </c>
      <c r="O18" s="433">
        <f t="shared" si="13"/>
        <v>45310.687800925924</v>
      </c>
      <c r="P18" s="448">
        <v>17</v>
      </c>
      <c r="Q18" s="390">
        <v>0</v>
      </c>
      <c r="R18" s="650">
        <v>0</v>
      </c>
      <c r="S18" s="419">
        <v>0</v>
      </c>
      <c r="T18" s="351">
        <v>0</v>
      </c>
      <c r="U18" s="403">
        <v>0</v>
      </c>
      <c r="V18" s="475">
        <v>0</v>
      </c>
      <c r="W18" s="519">
        <v>0</v>
      </c>
      <c r="X18" s="521">
        <v>0</v>
      </c>
      <c r="Y18" s="649">
        <f>IFERROR(IF($Y$1&lt;&gt;"",INT($Y$1/(D18/100)),100),100)</f>
        <v>216</v>
      </c>
      <c r="Z18" s="647" t="str">
        <f>A19</f>
        <v>GD30 - spot</v>
      </c>
      <c r="AA18" s="676">
        <f>IFERROR(INT(VLOOKUP($A18,$A$42:$N$157,6,0)*$Y18/100)/(VLOOKUP($Z18,$A$42:$N$157,6,0)/100),"")</f>
        <v>195.20392156862746</v>
      </c>
      <c r="AC18" s="316"/>
    </row>
    <row r="19" spans="1:29" ht="12.75" hidden="1" customHeight="1">
      <c r="A19" s="646" t="s">
        <v>16</v>
      </c>
      <c r="B19" s="466">
        <f t="shared" si="0"/>
        <v>1121</v>
      </c>
      <c r="C19" s="498">
        <f t="shared" si="31"/>
        <v>50680</v>
      </c>
      <c r="D19" s="502">
        <f t="shared" si="32"/>
        <v>51000</v>
      </c>
      <c r="E19" s="466">
        <f t="shared" si="33"/>
        <v>3837</v>
      </c>
      <c r="F19" s="336">
        <f t="shared" si="4"/>
        <v>51000</v>
      </c>
      <c r="G19" s="511">
        <f t="shared" si="5"/>
        <v>1.21E-2</v>
      </c>
      <c r="H19" s="345">
        <f t="shared" si="6"/>
        <v>50390</v>
      </c>
      <c r="I19" s="346">
        <f t="shared" si="7"/>
        <v>51190</v>
      </c>
      <c r="J19" s="444">
        <f t="shared" si="8"/>
        <v>49710</v>
      </c>
      <c r="K19" s="347">
        <f t="shared" si="9"/>
        <v>50390</v>
      </c>
      <c r="L19" s="386">
        <f t="shared" si="10"/>
        <v>4273710805</v>
      </c>
      <c r="M19" s="347">
        <f t="shared" si="11"/>
        <v>8481293</v>
      </c>
      <c r="N19" s="386">
        <f t="shared" si="12"/>
        <v>4321</v>
      </c>
      <c r="O19" s="434">
        <f t="shared" si="13"/>
        <v>45310.687719907408</v>
      </c>
      <c r="P19" s="447">
        <v>18</v>
      </c>
      <c r="Q19" s="659">
        <v>0</v>
      </c>
      <c r="R19" s="654">
        <v>0</v>
      </c>
      <c r="S19" s="416">
        <v>0</v>
      </c>
      <c r="T19" s="350">
        <v>0</v>
      </c>
      <c r="U19" s="404">
        <v>0</v>
      </c>
      <c r="V19" s="476">
        <v>0</v>
      </c>
      <c r="W19" s="520">
        <v>0</v>
      </c>
      <c r="X19" s="522">
        <v>0</v>
      </c>
      <c r="Y19" s="661">
        <f>IFERROR(IF($Y$1&lt;&gt;"",INT($Y$1/(D19/100)),100),100)</f>
        <v>196</v>
      </c>
      <c r="Z19" s="648" t="str">
        <f>A18</f>
        <v>AL30 - spot</v>
      </c>
      <c r="AA19" s="675">
        <f>IFERROR(INT(VLOOKUP($A19,$A$42:$N$157,6,0)*$Y19/100)/(VLOOKUP($Z19,$A$42:$N$157,6,0)/100),"")</f>
        <v>216.88001735734434</v>
      </c>
    </row>
    <row r="20" spans="1:29" ht="12.75" hidden="1" customHeight="1">
      <c r="A20" s="645" t="s">
        <v>2</v>
      </c>
      <c r="B20" s="664">
        <f t="shared" si="0"/>
        <v>595009</v>
      </c>
      <c r="C20" s="626">
        <f t="shared" si="31"/>
        <v>46850</v>
      </c>
      <c r="D20" s="497">
        <f t="shared" si="32"/>
        <v>46950</v>
      </c>
      <c r="E20" s="662">
        <f t="shared" si="33"/>
        <v>5000</v>
      </c>
      <c r="F20" s="425">
        <f t="shared" si="4"/>
        <v>46850</v>
      </c>
      <c r="G20" s="510">
        <f t="shared" si="5"/>
        <v>1.2699999999999999E-2</v>
      </c>
      <c r="H20" s="327">
        <f t="shared" si="6"/>
        <v>46275</v>
      </c>
      <c r="I20" s="318">
        <f t="shared" si="7"/>
        <v>47085</v>
      </c>
      <c r="J20" s="318">
        <f t="shared" si="8"/>
        <v>45650</v>
      </c>
      <c r="K20" s="322">
        <f t="shared" si="9"/>
        <v>46260</v>
      </c>
      <c r="L20" s="383">
        <f t="shared" si="10"/>
        <v>61677510224</v>
      </c>
      <c r="M20" s="322">
        <f t="shared" si="11"/>
        <v>133412524</v>
      </c>
      <c r="N20" s="383">
        <f t="shared" si="12"/>
        <v>22035</v>
      </c>
      <c r="O20" s="431">
        <f t="shared" si="13"/>
        <v>45310.708414351851</v>
      </c>
      <c r="P20" s="448">
        <v>19</v>
      </c>
      <c r="Q20" s="660">
        <v>0</v>
      </c>
      <c r="R20" s="652">
        <v>0</v>
      </c>
      <c r="S20" s="421">
        <v>0</v>
      </c>
      <c r="T20" s="349">
        <v>0</v>
      </c>
      <c r="U20" s="403">
        <v>0</v>
      </c>
      <c r="V20" s="475">
        <v>0</v>
      </c>
      <c r="W20" s="534">
        <v>0</v>
      </c>
      <c r="X20" s="523">
        <v>0</v>
      </c>
      <c r="Y20" s="649">
        <f t="shared" ref="Y20:Y21" si="35">IFERROR(IF($Y$1&lt;&gt;"",INT($Y$1/(D20/100)),100),100)</f>
        <v>212</v>
      </c>
      <c r="Z20" s="647" t="str">
        <f>A21</f>
        <v>GD30 - 48hs</v>
      </c>
      <c r="AA20" s="677">
        <f>IFERROR(INT(VLOOKUP($A20,$A$42:$N$157,6,0)*$Y20/100)/(VLOOKUP($Z20,$A$42:$N$157,6,0)/100),"")</f>
        <v>192.85825242718445</v>
      </c>
    </row>
    <row r="21" spans="1:29" ht="12.75" hidden="1" customHeight="1">
      <c r="A21" s="705" t="s">
        <v>5</v>
      </c>
      <c r="B21" s="706">
        <f t="shared" si="0"/>
        <v>581</v>
      </c>
      <c r="C21" s="707">
        <f t="shared" si="31"/>
        <v>51350</v>
      </c>
      <c r="D21" s="708">
        <f t="shared" si="32"/>
        <v>51840</v>
      </c>
      <c r="E21" s="706">
        <f t="shared" si="33"/>
        <v>200</v>
      </c>
      <c r="F21" s="709">
        <f t="shared" si="4"/>
        <v>51500</v>
      </c>
      <c r="G21" s="710">
        <f t="shared" si="5"/>
        <v>1.3300000000000001E-2</v>
      </c>
      <c r="H21" s="711">
        <f t="shared" si="6"/>
        <v>50800</v>
      </c>
      <c r="I21" s="712">
        <f t="shared" si="7"/>
        <v>51700</v>
      </c>
      <c r="J21" s="713">
        <f t="shared" si="8"/>
        <v>50320</v>
      </c>
      <c r="K21" s="714">
        <f t="shared" si="9"/>
        <v>50820</v>
      </c>
      <c r="L21" s="695">
        <f t="shared" si="10"/>
        <v>26523672212</v>
      </c>
      <c r="M21" s="714">
        <f t="shared" si="11"/>
        <v>52129026</v>
      </c>
      <c r="N21" s="695">
        <f t="shared" si="12"/>
        <v>4435</v>
      </c>
      <c r="O21" s="715">
        <f t="shared" si="13"/>
        <v>45310.708449074074</v>
      </c>
      <c r="P21" s="697">
        <v>20</v>
      </c>
      <c r="Q21" s="698">
        <v>0</v>
      </c>
      <c r="R21" s="716">
        <v>0</v>
      </c>
      <c r="S21" s="700">
        <v>0</v>
      </c>
      <c r="T21" s="717">
        <v>0</v>
      </c>
      <c r="U21" s="404">
        <v>0</v>
      </c>
      <c r="V21" s="731">
        <v>0</v>
      </c>
      <c r="W21" s="718">
        <v>0</v>
      </c>
      <c r="X21" s="719">
        <v>0</v>
      </c>
      <c r="Y21" s="720">
        <f t="shared" si="35"/>
        <v>192</v>
      </c>
      <c r="Z21" s="721" t="str">
        <f>A20</f>
        <v>AL30 - 48hs</v>
      </c>
      <c r="AA21" s="722">
        <f>IFERROR(INT(VLOOKUP($A21,$A$42:$N$157,6,0)*$Y21/100)/(VLOOKUP($Z21,$A$42:$N$157,6,0)/100),"")</f>
        <v>211.05656350053363</v>
      </c>
    </row>
    <row r="22" spans="1:29" ht="12.75" customHeight="1">
      <c r="A22" s="556" t="s">
        <v>604</v>
      </c>
      <c r="B22" s="561">
        <f t="shared" si="0"/>
        <v>100</v>
      </c>
      <c r="C22" s="562">
        <f t="shared" si="31"/>
        <v>28</v>
      </c>
      <c r="D22" s="563">
        <f t="shared" si="32"/>
        <v>29</v>
      </c>
      <c r="E22" s="564">
        <f t="shared" si="33"/>
        <v>7165</v>
      </c>
      <c r="F22" s="565">
        <f t="shared" si="4"/>
        <v>27.65</v>
      </c>
      <c r="G22" s="566">
        <f t="shared" si="5"/>
        <v>-2.4900000000000002E-2</v>
      </c>
      <c r="H22" s="567">
        <f t="shared" si="6"/>
        <v>27.2</v>
      </c>
      <c r="I22" s="568">
        <f t="shared" si="7"/>
        <v>31.5</v>
      </c>
      <c r="J22" s="569">
        <f t="shared" si="8"/>
        <v>27.05</v>
      </c>
      <c r="K22" s="570">
        <f t="shared" si="9"/>
        <v>28</v>
      </c>
      <c r="L22" s="571">
        <f t="shared" si="10"/>
        <v>9038</v>
      </c>
      <c r="M22" s="570">
        <f t="shared" si="11"/>
        <v>30093</v>
      </c>
      <c r="N22" s="367">
        <f t="shared" si="12"/>
        <v>25</v>
      </c>
      <c r="O22" s="433">
        <f t="shared" si="13"/>
        <v>45310.654224537036</v>
      </c>
      <c r="P22" s="448">
        <v>21</v>
      </c>
      <c r="Q22" s="390">
        <v>0</v>
      </c>
      <c r="R22" s="656">
        <v>0</v>
      </c>
      <c r="S22" s="419">
        <v>0</v>
      </c>
      <c r="T22" s="371">
        <v>0</v>
      </c>
      <c r="U22" s="678">
        <v>0</v>
      </c>
      <c r="V22" s="468">
        <v>0</v>
      </c>
      <c r="W22" s="516">
        <v>0</v>
      </c>
      <c r="X22" s="521">
        <v>0</v>
      </c>
      <c r="Y22" s="595">
        <v>84.848484848484844</v>
      </c>
      <c r="Z22" s="596" t="s">
        <v>600</v>
      </c>
      <c r="AA22" s="597" t="s">
        <v>602</v>
      </c>
    </row>
    <row r="23" spans="1:29" ht="12.75" customHeight="1">
      <c r="A23" s="557" t="s">
        <v>605</v>
      </c>
      <c r="B23" s="572">
        <f t="shared" si="0"/>
        <v>1590</v>
      </c>
      <c r="C23" s="573">
        <f t="shared" si="31"/>
        <v>27.623000000000001</v>
      </c>
      <c r="D23" s="574">
        <f t="shared" si="32"/>
        <v>28.4</v>
      </c>
      <c r="E23" s="575">
        <f t="shared" si="33"/>
        <v>100</v>
      </c>
      <c r="F23" s="576">
        <f t="shared" si="4"/>
        <v>27.623000000000001</v>
      </c>
      <c r="G23" s="577">
        <f t="shared" si="5"/>
        <v>-1.34E-2</v>
      </c>
      <c r="H23" s="578">
        <f t="shared" si="6"/>
        <v>28.75</v>
      </c>
      <c r="I23" s="579">
        <f t="shared" si="7"/>
        <v>28.75</v>
      </c>
      <c r="J23" s="580">
        <f t="shared" si="8"/>
        <v>27.52</v>
      </c>
      <c r="K23" s="581">
        <f t="shared" si="9"/>
        <v>28</v>
      </c>
      <c r="L23" s="582">
        <f t="shared" si="10"/>
        <v>18772</v>
      </c>
      <c r="M23" s="581">
        <f t="shared" si="11"/>
        <v>67662</v>
      </c>
      <c r="N23" s="386">
        <f t="shared" si="12"/>
        <v>87</v>
      </c>
      <c r="O23" s="434">
        <f t="shared" si="13"/>
        <v>45310.706157407411</v>
      </c>
      <c r="P23" s="447">
        <v>22</v>
      </c>
      <c r="Q23" s="659">
        <v>0</v>
      </c>
      <c r="R23" s="654">
        <v>0</v>
      </c>
      <c r="S23" s="420">
        <v>0</v>
      </c>
      <c r="T23" s="348">
        <v>0</v>
      </c>
      <c r="U23" s="679">
        <v>0</v>
      </c>
      <c r="V23" s="469">
        <v>0</v>
      </c>
      <c r="W23" s="517">
        <v>0</v>
      </c>
      <c r="X23" s="522">
        <v>0</v>
      </c>
      <c r="Y23" s="598">
        <v>82.976869930910198</v>
      </c>
      <c r="Z23" s="599" t="s">
        <v>601</v>
      </c>
      <c r="AA23" s="600" t="s">
        <v>603</v>
      </c>
    </row>
    <row r="24" spans="1:29" ht="12.75" customHeight="1">
      <c r="A24" s="558" t="s">
        <v>17</v>
      </c>
      <c r="B24" s="561">
        <f t="shared" si="0"/>
        <v>141</v>
      </c>
      <c r="C24" s="562">
        <f t="shared" si="31"/>
        <v>40</v>
      </c>
      <c r="D24" s="583">
        <f t="shared" si="32"/>
        <v>40.999000000000002</v>
      </c>
      <c r="E24" s="584">
        <f t="shared" si="33"/>
        <v>4912</v>
      </c>
      <c r="F24" s="565">
        <f t="shared" si="4"/>
        <v>40.6</v>
      </c>
      <c r="G24" s="566">
        <f t="shared" si="5"/>
        <v>1.4999999999999999E-2</v>
      </c>
      <c r="H24" s="585">
        <f t="shared" si="6"/>
        <v>40.25</v>
      </c>
      <c r="I24" s="586">
        <f t="shared" si="7"/>
        <v>42.4</v>
      </c>
      <c r="J24" s="587">
        <f t="shared" si="8"/>
        <v>39.250999999999998</v>
      </c>
      <c r="K24" s="588">
        <f t="shared" si="9"/>
        <v>40</v>
      </c>
      <c r="L24" s="589">
        <f t="shared" si="10"/>
        <v>25867</v>
      </c>
      <c r="M24" s="588">
        <f t="shared" si="11"/>
        <v>64057</v>
      </c>
      <c r="N24" s="383">
        <f t="shared" si="12"/>
        <v>62</v>
      </c>
      <c r="O24" s="431">
        <f t="shared" si="13"/>
        <v>45310.674583333333</v>
      </c>
      <c r="P24" s="448">
        <v>23</v>
      </c>
      <c r="Q24" s="660">
        <v>0</v>
      </c>
      <c r="R24" s="652">
        <v>0</v>
      </c>
      <c r="S24" s="417">
        <v>0</v>
      </c>
      <c r="T24" s="344">
        <v>0</v>
      </c>
      <c r="U24" s="678">
        <v>0</v>
      </c>
      <c r="V24" s="468">
        <v>0</v>
      </c>
      <c r="W24" s="518">
        <v>0</v>
      </c>
      <c r="X24" s="523">
        <v>0</v>
      </c>
      <c r="Y24" s="601">
        <v>78.431372549019613</v>
      </c>
      <c r="Z24" s="596" t="s">
        <v>16</v>
      </c>
      <c r="AA24" s="602" t="s">
        <v>18</v>
      </c>
    </row>
    <row r="25" spans="1:29" ht="12.75" customHeight="1">
      <c r="A25" s="629" t="s">
        <v>220</v>
      </c>
      <c r="B25" s="630">
        <f t="shared" si="0"/>
        <v>5013</v>
      </c>
      <c r="C25" s="631">
        <f t="shared" si="31"/>
        <v>34.1</v>
      </c>
      <c r="D25" s="632">
        <f t="shared" si="32"/>
        <v>36.5</v>
      </c>
      <c r="E25" s="633">
        <f t="shared" si="33"/>
        <v>5630</v>
      </c>
      <c r="F25" s="634">
        <f t="shared" si="4"/>
        <v>34.1</v>
      </c>
      <c r="G25" s="635">
        <f t="shared" si="5"/>
        <v>-8.6999999999999994E-3</v>
      </c>
      <c r="H25" s="636">
        <f t="shared" si="6"/>
        <v>34.1</v>
      </c>
      <c r="I25" s="637">
        <f t="shared" si="7"/>
        <v>34.1</v>
      </c>
      <c r="J25" s="638">
        <f t="shared" si="8"/>
        <v>34.1</v>
      </c>
      <c r="K25" s="639">
        <f t="shared" si="9"/>
        <v>34.4</v>
      </c>
      <c r="L25" s="640">
        <f t="shared" si="10"/>
        <v>2269</v>
      </c>
      <c r="M25" s="639">
        <f t="shared" si="11"/>
        <v>6654</v>
      </c>
      <c r="N25" s="374">
        <f t="shared" si="12"/>
        <v>3</v>
      </c>
      <c r="O25" s="546">
        <f t="shared" si="13"/>
        <v>45310.602349537039</v>
      </c>
      <c r="P25" s="547">
        <v>24</v>
      </c>
      <c r="Q25" s="389">
        <v>0</v>
      </c>
      <c r="R25" s="653">
        <v>0</v>
      </c>
      <c r="S25" s="422">
        <v>0</v>
      </c>
      <c r="T25" s="548">
        <v>0</v>
      </c>
      <c r="U25" s="404">
        <v>0</v>
      </c>
      <c r="V25" s="469">
        <v>0</v>
      </c>
      <c r="W25" s="555">
        <v>0</v>
      </c>
      <c r="X25" s="641">
        <v>0</v>
      </c>
      <c r="Y25" s="642">
        <v>78.130370030931388</v>
      </c>
      <c r="Z25" s="643" t="s">
        <v>164</v>
      </c>
      <c r="AA25" s="644" t="s">
        <v>221</v>
      </c>
    </row>
    <row r="26" spans="1:29" ht="12.75" customHeight="1">
      <c r="A26" s="559" t="s">
        <v>565</v>
      </c>
      <c r="B26" s="561">
        <f t="shared" si="0"/>
        <v>144</v>
      </c>
      <c r="C26" s="562">
        <f t="shared" si="31"/>
        <v>47060</v>
      </c>
      <c r="D26" s="563">
        <f t="shared" si="32"/>
        <v>47630</v>
      </c>
      <c r="E26" s="564">
        <f t="shared" si="33"/>
        <v>513</v>
      </c>
      <c r="F26" s="565">
        <f t="shared" si="4"/>
        <v>47620</v>
      </c>
      <c r="G26" s="566">
        <f t="shared" si="5"/>
        <v>1.66E-2</v>
      </c>
      <c r="H26" s="567">
        <f t="shared" si="6"/>
        <v>46960</v>
      </c>
      <c r="I26" s="568">
        <f t="shared" si="7"/>
        <v>48600</v>
      </c>
      <c r="J26" s="569">
        <f t="shared" si="8"/>
        <v>46510</v>
      </c>
      <c r="K26" s="570">
        <f t="shared" si="9"/>
        <v>46840</v>
      </c>
      <c r="L26" s="571">
        <f t="shared" si="10"/>
        <v>150497012</v>
      </c>
      <c r="M26" s="570">
        <f t="shared" si="11"/>
        <v>320256</v>
      </c>
      <c r="N26" s="367">
        <f t="shared" si="12"/>
        <v>348</v>
      </c>
      <c r="O26" s="435">
        <f t="shared" si="13"/>
        <v>45310.685254629629</v>
      </c>
      <c r="P26" s="448">
        <v>25</v>
      </c>
      <c r="Q26" s="390">
        <v>0</v>
      </c>
      <c r="R26" s="650">
        <v>0</v>
      </c>
      <c r="S26" s="419">
        <v>0</v>
      </c>
      <c r="T26" s="351">
        <v>0</v>
      </c>
      <c r="U26" s="403">
        <v>0</v>
      </c>
      <c r="V26" s="406">
        <v>0</v>
      </c>
      <c r="W26" s="474">
        <v>0</v>
      </c>
      <c r="X26" s="777">
        <v>0</v>
      </c>
      <c r="Y26" s="603">
        <v>104529.86910994764</v>
      </c>
      <c r="Z26" s="604" t="s">
        <v>567</v>
      </c>
      <c r="AA26" s="605" t="s">
        <v>566</v>
      </c>
    </row>
    <row r="27" spans="1:29" ht="12.75" customHeight="1">
      <c r="A27" s="560" t="s">
        <v>184</v>
      </c>
      <c r="B27" s="572">
        <f t="shared" si="0"/>
        <v>26</v>
      </c>
      <c r="C27" s="573">
        <f t="shared" si="31"/>
        <v>42650</v>
      </c>
      <c r="D27" s="574">
        <f t="shared" si="32"/>
        <v>42770</v>
      </c>
      <c r="E27" s="575">
        <f t="shared" si="33"/>
        <v>640</v>
      </c>
      <c r="F27" s="576">
        <f t="shared" si="4"/>
        <v>42770</v>
      </c>
      <c r="G27" s="577">
        <f t="shared" si="5"/>
        <v>2.07E-2</v>
      </c>
      <c r="H27" s="590">
        <f t="shared" si="6"/>
        <v>42000</v>
      </c>
      <c r="I27" s="591">
        <f t="shared" si="7"/>
        <v>42775</v>
      </c>
      <c r="J27" s="592">
        <f t="shared" si="8"/>
        <v>40000</v>
      </c>
      <c r="K27" s="593">
        <f t="shared" si="9"/>
        <v>41900</v>
      </c>
      <c r="L27" s="594">
        <f t="shared" si="10"/>
        <v>1565239768</v>
      </c>
      <c r="M27" s="593">
        <f t="shared" si="11"/>
        <v>3729818</v>
      </c>
      <c r="N27" s="326">
        <f t="shared" si="12"/>
        <v>913</v>
      </c>
      <c r="O27" s="436">
        <f t="shared" si="13"/>
        <v>45310.708402777775</v>
      </c>
      <c r="P27" s="447">
        <v>26</v>
      </c>
      <c r="Q27" s="387">
        <v>0</v>
      </c>
      <c r="R27" s="651">
        <v>0</v>
      </c>
      <c r="S27" s="416">
        <v>0</v>
      </c>
      <c r="T27" s="350">
        <v>0</v>
      </c>
      <c r="U27" s="404">
        <v>0</v>
      </c>
      <c r="V27" s="405">
        <v>0</v>
      </c>
      <c r="W27" s="778">
        <v>0</v>
      </c>
      <c r="X27" s="779">
        <v>0</v>
      </c>
      <c r="Y27" s="606">
        <v>106436.83823529411</v>
      </c>
      <c r="Z27" s="607" t="s">
        <v>241</v>
      </c>
      <c r="AA27" s="608" t="s">
        <v>240</v>
      </c>
    </row>
    <row r="28" spans="1:29" ht="12.75" customHeight="1">
      <c r="A28" s="559" t="s">
        <v>13</v>
      </c>
      <c r="B28" s="561">
        <f t="shared" si="0"/>
        <v>1615</v>
      </c>
      <c r="C28" s="562">
        <f t="shared" si="31"/>
        <v>46050</v>
      </c>
      <c r="D28" s="583">
        <f t="shared" si="32"/>
        <v>46095</v>
      </c>
      <c r="E28" s="584">
        <f t="shared" si="33"/>
        <v>200000</v>
      </c>
      <c r="F28" s="565">
        <f t="shared" si="4"/>
        <v>46090</v>
      </c>
      <c r="G28" s="566">
        <f t="shared" si="5"/>
        <v>9.3999999999999986E-3</v>
      </c>
      <c r="H28" s="567">
        <f t="shared" si="6"/>
        <v>46800</v>
      </c>
      <c r="I28" s="568">
        <f t="shared" si="7"/>
        <v>46800</v>
      </c>
      <c r="J28" s="569">
        <f t="shared" si="8"/>
        <v>45110</v>
      </c>
      <c r="K28" s="570">
        <f t="shared" si="9"/>
        <v>45660</v>
      </c>
      <c r="L28" s="571">
        <f t="shared" si="10"/>
        <v>56053377387</v>
      </c>
      <c r="M28" s="570">
        <f t="shared" si="11"/>
        <v>122535195</v>
      </c>
      <c r="N28" s="367">
        <f t="shared" si="12"/>
        <v>43627</v>
      </c>
      <c r="O28" s="435">
        <f t="shared" si="13"/>
        <v>45310.687800925924</v>
      </c>
      <c r="P28" s="448">
        <v>27</v>
      </c>
      <c r="Q28" s="390">
        <v>0</v>
      </c>
      <c r="R28" s="650">
        <v>0</v>
      </c>
      <c r="S28" s="419">
        <v>0</v>
      </c>
      <c r="T28" s="351">
        <v>0</v>
      </c>
      <c r="U28" s="403">
        <v>0</v>
      </c>
      <c r="V28" s="406">
        <v>0</v>
      </c>
      <c r="W28" s="780">
        <v>0</v>
      </c>
      <c r="X28" s="781">
        <v>0</v>
      </c>
      <c r="Y28" s="609">
        <v>128811.18881118881</v>
      </c>
      <c r="Z28" s="610" t="s">
        <v>15</v>
      </c>
      <c r="AA28" s="611" t="s">
        <v>14</v>
      </c>
    </row>
    <row r="29" spans="1:29" ht="12.75" customHeight="1">
      <c r="A29" s="683" t="s">
        <v>672</v>
      </c>
      <c r="B29" s="684">
        <f t="shared" si="0"/>
        <v>100</v>
      </c>
      <c r="C29" s="685">
        <f t="shared" si="31"/>
        <v>84800</v>
      </c>
      <c r="D29" s="686">
        <f t="shared" si="32"/>
        <v>85800</v>
      </c>
      <c r="E29" s="687">
        <f t="shared" si="33"/>
        <v>249800</v>
      </c>
      <c r="F29" s="688">
        <f t="shared" si="4"/>
        <v>85800</v>
      </c>
      <c r="G29" s="689">
        <f t="shared" si="5"/>
        <v>-2.3E-3</v>
      </c>
      <c r="H29" s="690">
        <f t="shared" si="6"/>
        <v>86000</v>
      </c>
      <c r="I29" s="691">
        <f t="shared" si="7"/>
        <v>87000</v>
      </c>
      <c r="J29" s="692">
        <f t="shared" si="8"/>
        <v>83820</v>
      </c>
      <c r="K29" s="693">
        <f t="shared" si="9"/>
        <v>86000</v>
      </c>
      <c r="L29" s="694">
        <f t="shared" si="10"/>
        <v>310226142</v>
      </c>
      <c r="M29" s="693">
        <f t="shared" si="11"/>
        <v>366840</v>
      </c>
      <c r="N29" s="695">
        <f t="shared" si="12"/>
        <v>44</v>
      </c>
      <c r="O29" s="696">
        <f t="shared" si="13"/>
        <v>45310.708611111113</v>
      </c>
      <c r="P29" s="697">
        <v>28</v>
      </c>
      <c r="Q29" s="698">
        <v>0</v>
      </c>
      <c r="R29" s="699">
        <v>0</v>
      </c>
      <c r="S29" s="700">
        <v>0</v>
      </c>
      <c r="T29" s="701">
        <v>0</v>
      </c>
      <c r="U29" s="679">
        <v>0</v>
      </c>
      <c r="V29" s="730">
        <v>0</v>
      </c>
      <c r="W29" s="782">
        <v>0</v>
      </c>
      <c r="X29" s="783">
        <v>0</v>
      </c>
      <c r="Y29" s="702">
        <v>129071.53729071538</v>
      </c>
      <c r="Z29" s="703" t="s">
        <v>668</v>
      </c>
      <c r="AA29" s="704" t="s">
        <v>670</v>
      </c>
    </row>
    <row r="30" spans="1:29" ht="12.75" hidden="1" customHeight="1">
      <c r="A30" s="378" t="s">
        <v>630</v>
      </c>
      <c r="B30" s="331"/>
      <c r="C30" s="365"/>
      <c r="D30" s="365"/>
      <c r="E30" s="331"/>
      <c r="F30" s="366"/>
      <c r="G30" s="489"/>
      <c r="H30" s="329"/>
      <c r="I30" s="321"/>
      <c r="J30" s="443"/>
      <c r="K30" s="325"/>
      <c r="L30" s="367"/>
      <c r="M30" s="367"/>
      <c r="N30" s="367"/>
      <c r="O30" s="435"/>
      <c r="P30" s="448">
        <v>29</v>
      </c>
      <c r="Q30" s="390">
        <v>0</v>
      </c>
      <c r="R30" s="411">
        <v>0</v>
      </c>
      <c r="S30" s="419">
        <v>0</v>
      </c>
      <c r="T30" s="351">
        <v>0</v>
      </c>
      <c r="U30" s="678">
        <v>0</v>
      </c>
      <c r="V30" s="406">
        <v>0</v>
      </c>
      <c r="W30" s="315">
        <v>0</v>
      </c>
      <c r="X30" s="527">
        <v>0</v>
      </c>
      <c r="Y30" s="538">
        <v>0</v>
      </c>
      <c r="Z30" s="539">
        <v>0</v>
      </c>
      <c r="AA30" s="364"/>
    </row>
    <row r="31" spans="1:29" ht="12.75" hidden="1" customHeight="1">
      <c r="A31" s="379" t="s">
        <v>631</v>
      </c>
      <c r="B31" s="317"/>
      <c r="C31" s="332"/>
      <c r="D31" s="332"/>
      <c r="E31" s="317"/>
      <c r="F31" s="330"/>
      <c r="G31" s="491"/>
      <c r="H31" s="328"/>
      <c r="I31" s="319"/>
      <c r="J31" s="440"/>
      <c r="K31" s="323"/>
      <c r="L31" s="326"/>
      <c r="M31" s="326"/>
      <c r="N31" s="326"/>
      <c r="O31" s="436"/>
      <c r="P31" s="447">
        <v>30</v>
      </c>
      <c r="Q31" s="387">
        <v>0</v>
      </c>
      <c r="R31" s="412">
        <v>0</v>
      </c>
      <c r="S31" s="416">
        <v>0</v>
      </c>
      <c r="T31" s="350">
        <v>0</v>
      </c>
      <c r="U31" s="404">
        <v>0</v>
      </c>
      <c r="V31" s="405">
        <v>0</v>
      </c>
      <c r="W31" s="279">
        <v>0</v>
      </c>
      <c r="X31" s="528">
        <v>0</v>
      </c>
      <c r="Y31" s="481">
        <v>0</v>
      </c>
      <c r="Z31" s="485">
        <v>0</v>
      </c>
      <c r="AA31" s="364"/>
    </row>
    <row r="32" spans="1:29" ht="12.75" hidden="1" customHeight="1">
      <c r="A32" s="380" t="s">
        <v>632</v>
      </c>
      <c r="B32" s="352"/>
      <c r="C32" s="353"/>
      <c r="D32" s="353"/>
      <c r="E32" s="352"/>
      <c r="F32" s="354"/>
      <c r="G32" s="492"/>
      <c r="H32" s="339"/>
      <c r="I32" s="320"/>
      <c r="J32" s="446"/>
      <c r="K32" s="324"/>
      <c r="L32" s="355"/>
      <c r="M32" s="355"/>
      <c r="N32" s="355"/>
      <c r="O32" s="438"/>
      <c r="P32" s="448">
        <v>31</v>
      </c>
      <c r="Q32" s="388">
        <v>0</v>
      </c>
      <c r="R32" s="413">
        <v>0</v>
      </c>
      <c r="S32" s="421">
        <v>0</v>
      </c>
      <c r="T32" s="349">
        <v>0</v>
      </c>
      <c r="U32" s="403">
        <v>0</v>
      </c>
      <c r="V32" s="406">
        <v>0</v>
      </c>
      <c r="W32" s="356">
        <v>0</v>
      </c>
      <c r="X32" s="529">
        <v>0</v>
      </c>
      <c r="Y32" s="482">
        <v>0</v>
      </c>
      <c r="Z32" s="486">
        <v>0</v>
      </c>
      <c r="AA32" s="364"/>
    </row>
    <row r="33" spans="1:29" ht="12.75" hidden="1" customHeight="1">
      <c r="A33" s="379" t="s">
        <v>633</v>
      </c>
      <c r="B33" s="317"/>
      <c r="C33" s="332"/>
      <c r="D33" s="332"/>
      <c r="E33" s="317"/>
      <c r="F33" s="330"/>
      <c r="G33" s="491"/>
      <c r="H33" s="328"/>
      <c r="I33" s="319"/>
      <c r="J33" s="440"/>
      <c r="K33" s="323"/>
      <c r="L33" s="326"/>
      <c r="M33" s="326"/>
      <c r="N33" s="326"/>
      <c r="O33" s="436"/>
      <c r="P33" s="447">
        <v>32</v>
      </c>
      <c r="Q33" s="387">
        <v>0</v>
      </c>
      <c r="R33" s="412">
        <v>0</v>
      </c>
      <c r="S33" s="416">
        <v>0</v>
      </c>
      <c r="T33" s="350">
        <v>0</v>
      </c>
      <c r="U33" s="404">
        <v>0</v>
      </c>
      <c r="V33" s="405">
        <v>0</v>
      </c>
      <c r="W33" s="279">
        <v>0</v>
      </c>
      <c r="X33" s="528">
        <v>0</v>
      </c>
      <c r="Y33" s="481">
        <v>0</v>
      </c>
      <c r="Z33" s="485">
        <v>0</v>
      </c>
      <c r="AA33" s="364"/>
    </row>
    <row r="34" spans="1:29" ht="12.75" hidden="1" customHeight="1">
      <c r="A34" s="380" t="s">
        <v>634</v>
      </c>
      <c r="B34" s="352"/>
      <c r="C34" s="353"/>
      <c r="D34" s="353"/>
      <c r="E34" s="352"/>
      <c r="F34" s="354"/>
      <c r="G34" s="492"/>
      <c r="H34" s="339"/>
      <c r="I34" s="320"/>
      <c r="J34" s="446"/>
      <c r="K34" s="324"/>
      <c r="L34" s="355"/>
      <c r="M34" s="355"/>
      <c r="N34" s="355"/>
      <c r="O34" s="438"/>
      <c r="P34" s="448">
        <v>33</v>
      </c>
      <c r="Q34" s="388">
        <v>0</v>
      </c>
      <c r="R34" s="413">
        <v>0</v>
      </c>
      <c r="S34" s="421">
        <v>0</v>
      </c>
      <c r="T34" s="349">
        <v>0</v>
      </c>
      <c r="U34" s="403">
        <v>0</v>
      </c>
      <c r="V34" s="406">
        <v>0</v>
      </c>
      <c r="W34" s="356">
        <v>0</v>
      </c>
      <c r="X34" s="529">
        <v>0</v>
      </c>
      <c r="Y34" s="482">
        <v>0</v>
      </c>
      <c r="Z34" s="486">
        <v>0</v>
      </c>
      <c r="AA34" s="364"/>
    </row>
    <row r="35" spans="1:29" ht="12.75" hidden="1" customHeight="1">
      <c r="A35" s="379" t="s">
        <v>635</v>
      </c>
      <c r="B35" s="317"/>
      <c r="C35" s="332"/>
      <c r="D35" s="332"/>
      <c r="E35" s="317"/>
      <c r="F35" s="330"/>
      <c r="G35" s="491"/>
      <c r="H35" s="328"/>
      <c r="I35" s="319"/>
      <c r="J35" s="440"/>
      <c r="K35" s="323"/>
      <c r="L35" s="326"/>
      <c r="M35" s="326"/>
      <c r="N35" s="326"/>
      <c r="O35" s="436"/>
      <c r="P35" s="447">
        <v>34</v>
      </c>
      <c r="Q35" s="387">
        <v>0</v>
      </c>
      <c r="R35" s="412">
        <v>0</v>
      </c>
      <c r="S35" s="416">
        <v>0</v>
      </c>
      <c r="T35" s="350">
        <v>0</v>
      </c>
      <c r="U35" s="404">
        <v>0</v>
      </c>
      <c r="V35" s="405">
        <v>0</v>
      </c>
      <c r="W35" s="279">
        <v>0</v>
      </c>
      <c r="X35" s="528">
        <v>0</v>
      </c>
      <c r="Y35" s="481">
        <v>0</v>
      </c>
      <c r="Z35" s="485">
        <v>0</v>
      </c>
      <c r="AA35" s="364"/>
    </row>
    <row r="36" spans="1:29" ht="12.75" hidden="1" customHeight="1">
      <c r="A36" s="380" t="s">
        <v>647</v>
      </c>
      <c r="B36" s="352"/>
      <c r="C36" s="353"/>
      <c r="D36" s="353"/>
      <c r="E36" s="352"/>
      <c r="F36" s="354"/>
      <c r="G36" s="492"/>
      <c r="H36" s="339"/>
      <c r="I36" s="320"/>
      <c r="J36" s="446"/>
      <c r="K36" s="324"/>
      <c r="L36" s="355"/>
      <c r="M36" s="355"/>
      <c r="N36" s="355"/>
      <c r="O36" s="438"/>
      <c r="P36" s="448">
        <v>35</v>
      </c>
      <c r="Q36" s="388">
        <v>0</v>
      </c>
      <c r="R36" s="413">
        <v>0</v>
      </c>
      <c r="S36" s="421">
        <v>0</v>
      </c>
      <c r="T36" s="349">
        <v>0</v>
      </c>
      <c r="U36" s="403">
        <v>0</v>
      </c>
      <c r="V36" s="406">
        <v>0</v>
      </c>
      <c r="W36" s="356">
        <v>0</v>
      </c>
      <c r="X36" s="529">
        <v>0</v>
      </c>
      <c r="Y36" s="482">
        <v>0</v>
      </c>
      <c r="Z36" s="486">
        <v>0</v>
      </c>
      <c r="AA36" s="364"/>
    </row>
    <row r="37" spans="1:29" ht="12.75" hidden="1" customHeight="1">
      <c r="A37" s="379" t="s">
        <v>648</v>
      </c>
      <c r="B37" s="317"/>
      <c r="C37" s="332"/>
      <c r="D37" s="332"/>
      <c r="E37" s="317"/>
      <c r="F37" s="330"/>
      <c r="G37" s="491"/>
      <c r="H37" s="328"/>
      <c r="I37" s="319"/>
      <c r="J37" s="440"/>
      <c r="K37" s="323"/>
      <c r="L37" s="326"/>
      <c r="M37" s="326"/>
      <c r="N37" s="326"/>
      <c r="O37" s="436"/>
      <c r="P37" s="447">
        <v>36</v>
      </c>
      <c r="Q37" s="387">
        <v>0</v>
      </c>
      <c r="R37" s="412">
        <v>0</v>
      </c>
      <c r="S37" s="416">
        <v>0</v>
      </c>
      <c r="T37" s="350">
        <v>0</v>
      </c>
      <c r="U37" s="404">
        <v>0</v>
      </c>
      <c r="V37" s="405">
        <v>0</v>
      </c>
      <c r="W37" s="279">
        <v>0</v>
      </c>
      <c r="X37" s="528">
        <v>0</v>
      </c>
      <c r="Y37" s="481">
        <v>0</v>
      </c>
      <c r="Z37" s="485">
        <v>0</v>
      </c>
      <c r="AA37" s="364"/>
    </row>
    <row r="38" spans="1:29" ht="12.75" hidden="1" customHeight="1">
      <c r="A38" s="380" t="s">
        <v>649</v>
      </c>
      <c r="B38" s="352"/>
      <c r="C38" s="353"/>
      <c r="D38" s="353"/>
      <c r="E38" s="352"/>
      <c r="F38" s="354"/>
      <c r="G38" s="492"/>
      <c r="H38" s="339"/>
      <c r="I38" s="320"/>
      <c r="J38" s="446"/>
      <c r="K38" s="324"/>
      <c r="L38" s="355"/>
      <c r="M38" s="355"/>
      <c r="N38" s="355"/>
      <c r="O38" s="438"/>
      <c r="P38" s="448">
        <v>37</v>
      </c>
      <c r="Q38" s="388">
        <v>0</v>
      </c>
      <c r="R38" s="413">
        <v>0</v>
      </c>
      <c r="S38" s="421">
        <v>0</v>
      </c>
      <c r="T38" s="349">
        <v>0</v>
      </c>
      <c r="U38" s="403">
        <v>0</v>
      </c>
      <c r="V38" s="406">
        <v>0</v>
      </c>
      <c r="W38" s="356">
        <v>0</v>
      </c>
      <c r="X38" s="529">
        <v>0</v>
      </c>
      <c r="Y38" s="482">
        <v>0</v>
      </c>
      <c r="Z38" s="486">
        <v>0</v>
      </c>
      <c r="AA38" s="364"/>
    </row>
    <row r="39" spans="1:29" ht="12.75" hidden="1" customHeight="1">
      <c r="A39" s="379" t="s">
        <v>650</v>
      </c>
      <c r="B39" s="317"/>
      <c r="C39" s="332"/>
      <c r="D39" s="332"/>
      <c r="E39" s="317"/>
      <c r="F39" s="330"/>
      <c r="G39" s="491"/>
      <c r="H39" s="328"/>
      <c r="I39" s="319"/>
      <c r="J39" s="440"/>
      <c r="K39" s="323"/>
      <c r="L39" s="326"/>
      <c r="M39" s="326"/>
      <c r="N39" s="326"/>
      <c r="O39" s="436"/>
      <c r="P39" s="447">
        <v>38</v>
      </c>
      <c r="Q39" s="387">
        <v>0</v>
      </c>
      <c r="R39" s="412">
        <v>0</v>
      </c>
      <c r="S39" s="416">
        <v>0</v>
      </c>
      <c r="T39" s="350">
        <v>0</v>
      </c>
      <c r="U39" s="404">
        <v>0</v>
      </c>
      <c r="V39" s="405">
        <v>0</v>
      </c>
      <c r="W39" s="279">
        <v>0</v>
      </c>
      <c r="X39" s="528">
        <v>0</v>
      </c>
      <c r="Y39" s="481">
        <v>0</v>
      </c>
      <c r="Z39" s="485">
        <v>0</v>
      </c>
      <c r="AA39" s="364"/>
    </row>
    <row r="40" spans="1:29" ht="12.75" hidden="1" customHeight="1">
      <c r="A40" s="380" t="s">
        <v>651</v>
      </c>
      <c r="B40" s="352"/>
      <c r="C40" s="353"/>
      <c r="D40" s="353"/>
      <c r="E40" s="352"/>
      <c r="F40" s="354"/>
      <c r="G40" s="492"/>
      <c r="H40" s="339"/>
      <c r="I40" s="320"/>
      <c r="J40" s="446"/>
      <c r="K40" s="324"/>
      <c r="L40" s="355"/>
      <c r="M40" s="355"/>
      <c r="N40" s="355"/>
      <c r="O40" s="438"/>
      <c r="P40" s="448">
        <v>39</v>
      </c>
      <c r="Q40" s="388">
        <v>0</v>
      </c>
      <c r="R40" s="413">
        <v>0</v>
      </c>
      <c r="S40" s="421">
        <v>0</v>
      </c>
      <c r="T40" s="349">
        <v>0</v>
      </c>
      <c r="U40" s="403">
        <v>0</v>
      </c>
      <c r="V40" s="406">
        <v>0</v>
      </c>
      <c r="W40" s="356">
        <v>0</v>
      </c>
      <c r="X40" s="529">
        <v>0</v>
      </c>
      <c r="Y40" s="482">
        <v>0</v>
      </c>
      <c r="Z40" s="486">
        <v>0</v>
      </c>
      <c r="AA40" s="364"/>
    </row>
    <row r="41" spans="1:29" ht="12.75" hidden="1" customHeight="1">
      <c r="A41" s="397" t="s">
        <v>652</v>
      </c>
      <c r="B41" s="396"/>
      <c r="C41" s="398"/>
      <c r="D41" s="398"/>
      <c r="E41" s="396"/>
      <c r="F41" s="399"/>
      <c r="G41" s="490"/>
      <c r="H41" s="391"/>
      <c r="I41" s="392"/>
      <c r="J41" s="442"/>
      <c r="K41" s="394"/>
      <c r="L41" s="393"/>
      <c r="M41" s="393"/>
      <c r="N41" s="393"/>
      <c r="O41" s="437"/>
      <c r="P41" s="447">
        <v>40</v>
      </c>
      <c r="Q41" s="449">
        <v>0</v>
      </c>
      <c r="R41" s="414">
        <v>0</v>
      </c>
      <c r="S41" s="418">
        <v>0</v>
      </c>
      <c r="T41" s="400">
        <v>0</v>
      </c>
      <c r="U41" s="404">
        <v>0</v>
      </c>
      <c r="V41" s="405">
        <v>0</v>
      </c>
      <c r="W41" s="424">
        <v>0</v>
      </c>
      <c r="X41" s="530">
        <v>0</v>
      </c>
      <c r="Y41" s="483">
        <v>0</v>
      </c>
      <c r="Z41" s="487">
        <v>0</v>
      </c>
      <c r="AA41" s="364"/>
    </row>
    <row r="42" spans="1:29" ht="12.75" hidden="1" customHeight="1">
      <c r="A42" s="410" t="s">
        <v>335</v>
      </c>
      <c r="B42" s="360"/>
      <c r="C42" s="497"/>
      <c r="D42" s="372"/>
      <c r="E42" s="360"/>
      <c r="F42" s="373"/>
      <c r="G42" s="510"/>
      <c r="H42" s="329"/>
      <c r="I42" s="321"/>
      <c r="J42" s="443"/>
      <c r="K42" s="325"/>
      <c r="L42" s="367"/>
      <c r="M42" s="325"/>
      <c r="N42" s="367"/>
      <c r="O42" s="435"/>
      <c r="P42" s="448">
        <v>41</v>
      </c>
      <c r="Q42" s="390">
        <v>0</v>
      </c>
      <c r="R42" s="411">
        <v>0</v>
      </c>
      <c r="S42" s="419">
        <v>0</v>
      </c>
      <c r="T42" s="351">
        <v>0</v>
      </c>
      <c r="U42" s="403">
        <v>0</v>
      </c>
      <c r="V42" s="406">
        <v>0</v>
      </c>
      <c r="W42" s="423">
        <v>0</v>
      </c>
      <c r="X42" s="527">
        <v>0</v>
      </c>
      <c r="Y42" s="668">
        <f>IF(D42&lt;&gt;0,($C43*(1-$V$1))-$D42,0)</f>
        <v>0</v>
      </c>
      <c r="Z42" s="665">
        <f>$F43*($AE$1*$AD$1)</f>
        <v>0</v>
      </c>
      <c r="AA42" s="797" t="str">
        <f>MID($A42,1,5)</f>
        <v xml:space="preserve">GGAL </v>
      </c>
    </row>
    <row r="43" spans="1:29" ht="12.75" hidden="1" customHeight="1">
      <c r="A43" s="451" t="s">
        <v>336</v>
      </c>
      <c r="B43" s="401"/>
      <c r="C43" s="377"/>
      <c r="D43" s="377"/>
      <c r="E43" s="401"/>
      <c r="F43" s="376"/>
      <c r="G43" s="515"/>
      <c r="H43" s="368"/>
      <c r="I43" s="369"/>
      <c r="J43" s="445"/>
      <c r="K43" s="370"/>
      <c r="L43" s="374"/>
      <c r="M43" s="370"/>
      <c r="N43" s="374"/>
      <c r="O43" s="439"/>
      <c r="P43" s="447">
        <v>42</v>
      </c>
      <c r="Q43" s="389">
        <v>0</v>
      </c>
      <c r="R43" s="415">
        <v>0</v>
      </c>
      <c r="S43" s="422">
        <v>0</v>
      </c>
      <c r="T43" s="375">
        <v>0</v>
      </c>
      <c r="U43" s="404">
        <v>0</v>
      </c>
      <c r="V43" s="405">
        <v>0</v>
      </c>
      <c r="W43" s="402">
        <v>0</v>
      </c>
      <c r="X43" s="531">
        <v>0</v>
      </c>
      <c r="Y43" s="667">
        <f>IFERROR(IF($Y$1&lt;&gt;"",INT($Y$1/(D42)),100),100)</f>
        <v>100</v>
      </c>
      <c r="Z43" s="666"/>
      <c r="AA43" s="798"/>
    </row>
    <row r="44" spans="1:29" ht="12.75" hidden="1" customHeight="1">
      <c r="A44" s="410" t="s">
        <v>598</v>
      </c>
      <c r="B44" s="360"/>
      <c r="C44" s="497"/>
      <c r="D44" s="372"/>
      <c r="E44" s="360"/>
      <c r="F44" s="425"/>
      <c r="G44" s="510"/>
      <c r="H44" s="329"/>
      <c r="I44" s="321"/>
      <c r="J44" s="443"/>
      <c r="K44" s="325"/>
      <c r="L44" s="367"/>
      <c r="M44" s="325"/>
      <c r="N44" s="367"/>
      <c r="O44" s="435"/>
      <c r="P44" s="448">
        <v>43</v>
      </c>
      <c r="Q44" s="390">
        <v>0</v>
      </c>
      <c r="R44" s="411">
        <v>0</v>
      </c>
      <c r="S44" s="419">
        <v>0</v>
      </c>
      <c r="T44" s="351">
        <v>0</v>
      </c>
      <c r="U44" s="403">
        <v>0</v>
      </c>
      <c r="V44" s="406">
        <v>0</v>
      </c>
      <c r="W44" s="426">
        <v>0</v>
      </c>
      <c r="X44" s="532">
        <v>0</v>
      </c>
      <c r="Y44" s="668">
        <f>IF(D44&lt;&gt;0,($C45*(1-$V$1))-$D44,0)</f>
        <v>0</v>
      </c>
      <c r="Z44" s="665">
        <f>$F45*($AE$1*$AD$1)</f>
        <v>0</v>
      </c>
      <c r="AA44" s="795" t="str">
        <f>MID($A44,1,5)</f>
        <v xml:space="preserve">PAMP </v>
      </c>
    </row>
    <row r="45" spans="1:29" ht="12.75" hidden="1" customHeight="1">
      <c r="A45" s="409" t="s">
        <v>599</v>
      </c>
      <c r="B45" s="452"/>
      <c r="C45" s="674"/>
      <c r="D45" s="674"/>
      <c r="E45" s="452"/>
      <c r="F45" s="453"/>
      <c r="G45" s="673"/>
      <c r="H45" s="391"/>
      <c r="I45" s="392"/>
      <c r="J45" s="442"/>
      <c r="K45" s="394"/>
      <c r="L45" s="393"/>
      <c r="M45" s="394"/>
      <c r="N45" s="393"/>
      <c r="O45" s="454"/>
      <c r="P45" s="447">
        <v>44</v>
      </c>
      <c r="Q45" s="449">
        <v>0</v>
      </c>
      <c r="R45" s="414">
        <v>0</v>
      </c>
      <c r="S45" s="418">
        <v>0</v>
      </c>
      <c r="T45" s="400">
        <v>0</v>
      </c>
      <c r="U45" s="732">
        <v>0</v>
      </c>
      <c r="V45" s="733">
        <v>0</v>
      </c>
      <c r="W45" s="455">
        <v>0</v>
      </c>
      <c r="X45" s="723">
        <v>0</v>
      </c>
      <c r="Y45" s="671">
        <f>IFERROR(IF($Y$1&lt;&gt;"",INT($Y$1/(D44)),100),100)</f>
        <v>100</v>
      </c>
      <c r="Z45" s="672"/>
      <c r="AA45" s="796"/>
    </row>
    <row r="46" spans="1:29" ht="12.75" customHeight="1">
      <c r="A46" s="410" t="s">
        <v>13</v>
      </c>
      <c r="B46" s="358">
        <v>1615</v>
      </c>
      <c r="C46" s="497">
        <v>46050</v>
      </c>
      <c r="D46" s="372">
        <v>46095</v>
      </c>
      <c r="E46" s="358">
        <v>200000</v>
      </c>
      <c r="F46" s="425">
        <v>46090</v>
      </c>
      <c r="G46" s="510">
        <v>9.3999999999999986E-3</v>
      </c>
      <c r="H46" s="329">
        <v>46800</v>
      </c>
      <c r="I46" s="321">
        <v>46800</v>
      </c>
      <c r="J46" s="443">
        <v>45110</v>
      </c>
      <c r="K46" s="325">
        <v>45660</v>
      </c>
      <c r="L46" s="367">
        <v>56053377387</v>
      </c>
      <c r="M46" s="325">
        <v>122535195</v>
      </c>
      <c r="N46" s="367">
        <v>43627</v>
      </c>
      <c r="O46" s="435">
        <v>45310.687800925924</v>
      </c>
      <c r="P46" s="448">
        <v>45</v>
      </c>
      <c r="Q46" s="390">
        <v>0</v>
      </c>
      <c r="R46" s="411">
        <v>0</v>
      </c>
      <c r="S46" s="419">
        <v>0</v>
      </c>
      <c r="T46" s="351">
        <v>0</v>
      </c>
      <c r="U46" s="734">
        <v>0</v>
      </c>
      <c r="V46" s="761"/>
      <c r="W46" s="757">
        <f t="shared" ref="W46:W50" si="36">(V46*X46)</f>
        <v>0</v>
      </c>
      <c r="X46" s="758"/>
      <c r="Y46" s="669">
        <f>IF(D46&lt;&gt;0,($C47*(1-$V$1))-$D46,0)</f>
        <v>755</v>
      </c>
      <c r="Z46" s="670"/>
      <c r="AA46" s="535"/>
      <c r="AB46" s="38"/>
      <c r="AC46" s="357"/>
    </row>
    <row r="47" spans="1:29" ht="12.75" customHeight="1">
      <c r="A47" s="408" t="s">
        <v>2</v>
      </c>
      <c r="B47" s="334">
        <v>595009</v>
      </c>
      <c r="C47" s="335">
        <v>46850</v>
      </c>
      <c r="D47" s="335">
        <v>46950</v>
      </c>
      <c r="E47" s="466">
        <v>5000</v>
      </c>
      <c r="F47" s="336">
        <v>46850</v>
      </c>
      <c r="G47" s="513">
        <v>1.2699999999999999E-2</v>
      </c>
      <c r="H47" s="328">
        <v>46275</v>
      </c>
      <c r="I47" s="319">
        <v>47085</v>
      </c>
      <c r="J47" s="440">
        <v>45650</v>
      </c>
      <c r="K47" s="323">
        <v>46260</v>
      </c>
      <c r="L47" s="326">
        <v>61677510224</v>
      </c>
      <c r="M47" s="323">
        <v>133412524</v>
      </c>
      <c r="N47" s="326">
        <v>22035</v>
      </c>
      <c r="O47" s="436">
        <v>45310.708414351851</v>
      </c>
      <c r="P47" s="447">
        <v>46</v>
      </c>
      <c r="Q47" s="387">
        <v>0</v>
      </c>
      <c r="R47" s="412">
        <v>0</v>
      </c>
      <c r="S47" s="416">
        <v>0</v>
      </c>
      <c r="T47" s="350">
        <v>0</v>
      </c>
      <c r="U47" s="404">
        <v>0</v>
      </c>
      <c r="V47" s="759">
        <v>0</v>
      </c>
      <c r="W47" s="763">
        <f>V46*(F46/100)</f>
        <v>0</v>
      </c>
      <c r="X47" s="760"/>
      <c r="Y47" s="750">
        <f>IFERROR(INT($Y$1/(F46/100)),"")</f>
        <v>216</v>
      </c>
      <c r="Z47" s="666"/>
      <c r="AA47" s="536"/>
      <c r="AB47" s="38"/>
      <c r="AC47" s="363"/>
    </row>
    <row r="48" spans="1:29" ht="12.75" customHeight="1">
      <c r="A48" s="341" t="s">
        <v>15</v>
      </c>
      <c r="B48" s="337">
        <v>4535</v>
      </c>
      <c r="C48" s="338">
        <v>35.53</v>
      </c>
      <c r="D48" s="338">
        <v>35.75</v>
      </c>
      <c r="E48" s="337">
        <v>168935</v>
      </c>
      <c r="F48" s="830">
        <v>35.53</v>
      </c>
      <c r="G48" s="514">
        <v>-0.06</v>
      </c>
      <c r="H48" s="339">
        <v>37.9</v>
      </c>
      <c r="I48" s="320">
        <v>37.9</v>
      </c>
      <c r="J48" s="446">
        <v>35.53</v>
      </c>
      <c r="K48" s="324">
        <v>37.799999999999997</v>
      </c>
      <c r="L48" s="355">
        <v>815516</v>
      </c>
      <c r="M48" s="324">
        <v>2243714</v>
      </c>
      <c r="N48" s="355">
        <v>429</v>
      </c>
      <c r="O48" s="438">
        <v>45310.687627314815</v>
      </c>
      <c r="P48" s="448">
        <v>47</v>
      </c>
      <c r="Q48" s="388">
        <v>0</v>
      </c>
      <c r="R48" s="413">
        <v>0</v>
      </c>
      <c r="S48" s="421">
        <v>0</v>
      </c>
      <c r="T48" s="349">
        <v>0</v>
      </c>
      <c r="U48" s="403">
        <v>0</v>
      </c>
      <c r="V48" s="473"/>
      <c r="W48" s="764">
        <f t="shared" si="36"/>
        <v>0</v>
      </c>
      <c r="X48" s="775"/>
      <c r="Y48" s="766">
        <f>IF(D48&lt;&gt;0,($C49*(1-$V$1))-$D48,0)</f>
        <v>-0.45000000000000284</v>
      </c>
      <c r="Z48" s="495">
        <f>IFERROR(IF(C48&lt;&gt;"",$Y$1/(D46/100)*(C48/100),""),"")</f>
        <v>77.079943594749977</v>
      </c>
      <c r="AA48" s="620">
        <f>IFERROR($AA$1/(D48/100)*(C46/100),"")</f>
        <v>128811.18881118881</v>
      </c>
      <c r="AB48" s="38"/>
      <c r="AC48" s="363"/>
    </row>
    <row r="49" spans="1:29" ht="12.75" customHeight="1">
      <c r="A49" s="450" t="s">
        <v>3</v>
      </c>
      <c r="B49" s="333">
        <v>100000</v>
      </c>
      <c r="C49" s="335">
        <v>35.299999999999997</v>
      </c>
      <c r="D49" s="335">
        <v>36.799999999999997</v>
      </c>
      <c r="E49" s="333">
        <v>11531</v>
      </c>
      <c r="F49" s="336">
        <v>36.023000000000003</v>
      </c>
      <c r="G49" s="513">
        <v>-7.6E-3</v>
      </c>
      <c r="H49" s="328">
        <v>36.5</v>
      </c>
      <c r="I49" s="319">
        <v>36.549999999999997</v>
      </c>
      <c r="J49" s="440">
        <v>35.1</v>
      </c>
      <c r="K49" s="323">
        <v>36.299999999999997</v>
      </c>
      <c r="L49" s="326">
        <v>255374</v>
      </c>
      <c r="M49" s="323">
        <v>716987</v>
      </c>
      <c r="N49" s="326">
        <v>94</v>
      </c>
      <c r="O49" s="436">
        <v>45310.704108796293</v>
      </c>
      <c r="P49" s="447">
        <v>48</v>
      </c>
      <c r="Q49" s="387">
        <v>0</v>
      </c>
      <c r="R49" s="412">
        <v>0</v>
      </c>
      <c r="S49" s="416">
        <v>0</v>
      </c>
      <c r="T49" s="350">
        <v>0</v>
      </c>
      <c r="U49" s="404">
        <v>0</v>
      </c>
      <c r="V49" s="472">
        <v>0</v>
      </c>
      <c r="W49" s="765">
        <f>V48*(F48/100)</f>
        <v>0</v>
      </c>
      <c r="X49" s="776"/>
      <c r="Y49" s="774">
        <f>IFERROR(INT($AA$1/(F48/100)),"")</f>
        <v>281</v>
      </c>
      <c r="Z49" s="494">
        <f>IFERROR(IF(C49&lt;&gt;"",$Y$1/(D47/100)*(C49/100),""),"")</f>
        <v>75.186368477103301</v>
      </c>
      <c r="AA49" s="622">
        <f>IFERROR($AA$1/(D49/100)*(C47/100),"")</f>
        <v>127309.78260869566</v>
      </c>
      <c r="AB49" s="38"/>
    </row>
    <row r="50" spans="1:29" ht="12.75" customHeight="1">
      <c r="A50" s="682" t="s">
        <v>14</v>
      </c>
      <c r="B50" s="340">
        <v>766</v>
      </c>
      <c r="C50" s="338">
        <v>37.32</v>
      </c>
      <c r="D50" s="338">
        <v>37.4</v>
      </c>
      <c r="E50" s="340">
        <v>5000</v>
      </c>
      <c r="F50" s="830">
        <v>37.340000000000003</v>
      </c>
      <c r="G50" s="514">
        <v>-1.6000000000000001E-3</v>
      </c>
      <c r="H50" s="339">
        <v>36.700000000000003</v>
      </c>
      <c r="I50" s="320">
        <v>37.5</v>
      </c>
      <c r="J50" s="446">
        <v>36.700000000000003</v>
      </c>
      <c r="K50" s="324">
        <v>37.4</v>
      </c>
      <c r="L50" s="355">
        <v>37472451</v>
      </c>
      <c r="M50" s="324">
        <v>100434875</v>
      </c>
      <c r="N50" s="355">
        <v>35897</v>
      </c>
      <c r="O50" s="438">
        <v>45310.687592592592</v>
      </c>
      <c r="P50" s="448">
        <v>49</v>
      </c>
      <c r="Q50" s="388">
        <v>0</v>
      </c>
      <c r="R50" s="413">
        <v>0</v>
      </c>
      <c r="S50" s="421">
        <v>0</v>
      </c>
      <c r="T50" s="349">
        <v>0</v>
      </c>
      <c r="U50" s="403">
        <v>0</v>
      </c>
      <c r="V50" s="751">
        <v>735</v>
      </c>
      <c r="W50" s="752">
        <f t="shared" si="36"/>
        <v>274.21379999999999</v>
      </c>
      <c r="X50" s="753">
        <v>0.37308000000000002</v>
      </c>
      <c r="Y50" s="747">
        <f>IF(D50&lt;&gt;0,($C51*(1-$V$1))-$D50,0)</f>
        <v>-8.5000000000000853E-2</v>
      </c>
      <c r="Z50" s="493">
        <f>IFERROR(IF(C50&lt;&gt;"",$Y$1/(D46/100)*(C50/100),""),"")</f>
        <v>80.963228115847699</v>
      </c>
      <c r="AA50" s="621">
        <f>IFERROR($Z$1/(D50/100)*(C46/100),"")</f>
        <v>104474.39839572192</v>
      </c>
      <c r="AB50" s="38"/>
    </row>
    <row r="51" spans="1:29" ht="12.75" customHeight="1">
      <c r="A51" s="736" t="s">
        <v>4</v>
      </c>
      <c r="B51" s="737">
        <v>1500</v>
      </c>
      <c r="C51" s="738">
        <v>37.314999999999998</v>
      </c>
      <c r="D51" s="738">
        <v>37.4</v>
      </c>
      <c r="E51" s="737">
        <v>10997</v>
      </c>
      <c r="F51" s="739">
        <v>37.4</v>
      </c>
      <c r="G51" s="740">
        <v>-7.9000000000000008E-3</v>
      </c>
      <c r="H51" s="711">
        <v>37.6</v>
      </c>
      <c r="I51" s="712">
        <v>37.6</v>
      </c>
      <c r="J51" s="713">
        <v>37.08</v>
      </c>
      <c r="K51" s="714">
        <v>37.698999999999998</v>
      </c>
      <c r="L51" s="695">
        <v>7645851</v>
      </c>
      <c r="M51" s="714">
        <v>20475337</v>
      </c>
      <c r="N51" s="695">
        <v>7026</v>
      </c>
      <c r="O51" s="696">
        <v>45310.708344907405</v>
      </c>
      <c r="P51" s="697">
        <v>50</v>
      </c>
      <c r="Q51" s="698">
        <v>0</v>
      </c>
      <c r="R51" s="741">
        <v>0</v>
      </c>
      <c r="S51" s="700">
        <v>0</v>
      </c>
      <c r="T51" s="717">
        <v>0</v>
      </c>
      <c r="U51" s="679">
        <v>0</v>
      </c>
      <c r="V51" s="754">
        <v>0</v>
      </c>
      <c r="W51" s="762">
        <f>V50*(F50/100)</f>
        <v>274.44900000000001</v>
      </c>
      <c r="X51" s="755"/>
      <c r="Y51" s="749">
        <f>IFERROR(INT($Z$1/(F50/100)),"")</f>
        <v>227</v>
      </c>
      <c r="Z51" s="729">
        <f>IFERROR(IF(C51&lt;&gt;"",$Y$1/(D47/100)*(C51/100),""),"")</f>
        <v>79.478168264110749</v>
      </c>
      <c r="AA51" s="742">
        <f>IFERROR($Z$1/(D51/100)*(C47/100),"")</f>
        <v>106289.371657754</v>
      </c>
      <c r="AB51" s="38"/>
    </row>
    <row r="52" spans="1:29" ht="12.75" customHeight="1">
      <c r="A52" s="410" t="s">
        <v>16</v>
      </c>
      <c r="B52" s="358">
        <v>1121</v>
      </c>
      <c r="C52" s="497">
        <v>50680</v>
      </c>
      <c r="D52" s="372">
        <v>51000</v>
      </c>
      <c r="E52" s="358">
        <v>3837</v>
      </c>
      <c r="F52" s="425">
        <v>51000</v>
      </c>
      <c r="G52" s="510">
        <v>1.21E-2</v>
      </c>
      <c r="H52" s="329">
        <v>50390</v>
      </c>
      <c r="I52" s="321">
        <v>51190</v>
      </c>
      <c r="J52" s="443">
        <v>49710</v>
      </c>
      <c r="K52" s="325">
        <v>50390</v>
      </c>
      <c r="L52" s="367">
        <v>4273710805</v>
      </c>
      <c r="M52" s="325">
        <v>8481293</v>
      </c>
      <c r="N52" s="367">
        <v>4321</v>
      </c>
      <c r="O52" s="435">
        <v>45310.687719907408</v>
      </c>
      <c r="P52" s="448">
        <v>51</v>
      </c>
      <c r="Q52" s="390">
        <v>0</v>
      </c>
      <c r="R52" s="411">
        <v>0</v>
      </c>
      <c r="S52" s="419">
        <v>0</v>
      </c>
      <c r="T52" s="351">
        <v>0</v>
      </c>
      <c r="U52" s="734">
        <v>0</v>
      </c>
      <c r="V52" s="468">
        <v>0</v>
      </c>
      <c r="W52" s="757">
        <f t="shared" ref="W52:W64" si="37">(V52*X52)</f>
        <v>0</v>
      </c>
      <c r="X52" s="758"/>
      <c r="Y52" s="669">
        <f>IF(D52&lt;&gt;0,($C53*(1-$V$1))-$D52,0)</f>
        <v>350</v>
      </c>
      <c r="Z52" s="670"/>
      <c r="AA52" s="535"/>
      <c r="AB52" s="38"/>
    </row>
    <row r="53" spans="1:29" ht="12.75" customHeight="1">
      <c r="A53" s="408" t="s">
        <v>5</v>
      </c>
      <c r="B53" s="334">
        <v>581</v>
      </c>
      <c r="C53" s="335">
        <v>51350</v>
      </c>
      <c r="D53" s="335">
        <v>51840</v>
      </c>
      <c r="E53" s="334">
        <v>200</v>
      </c>
      <c r="F53" s="336">
        <v>51500</v>
      </c>
      <c r="G53" s="513">
        <v>1.3300000000000001E-2</v>
      </c>
      <c r="H53" s="328">
        <v>50800</v>
      </c>
      <c r="I53" s="319">
        <v>51700</v>
      </c>
      <c r="J53" s="440">
        <v>50320</v>
      </c>
      <c r="K53" s="323">
        <v>50820</v>
      </c>
      <c r="L53" s="326">
        <v>26523672212</v>
      </c>
      <c r="M53" s="323">
        <v>52129026</v>
      </c>
      <c r="N53" s="326">
        <v>4435</v>
      </c>
      <c r="O53" s="436">
        <v>45310.708449074074</v>
      </c>
      <c r="P53" s="447">
        <v>52</v>
      </c>
      <c r="Q53" s="387">
        <v>0</v>
      </c>
      <c r="R53" s="412">
        <v>0</v>
      </c>
      <c r="S53" s="416">
        <v>0</v>
      </c>
      <c r="T53" s="350">
        <v>0</v>
      </c>
      <c r="U53" s="404">
        <v>0</v>
      </c>
      <c r="V53" s="759">
        <v>0</v>
      </c>
      <c r="W53" s="763">
        <f>V52*(F52/100)</f>
        <v>0</v>
      </c>
      <c r="X53" s="760"/>
      <c r="Y53" s="750">
        <f>IFERROR(INT($Y$1/(F52/100)),"")</f>
        <v>196</v>
      </c>
      <c r="Z53" s="666"/>
      <c r="AA53" s="536"/>
      <c r="AB53" s="38"/>
    </row>
    <row r="54" spans="1:29" ht="12.75" customHeight="1">
      <c r="A54" s="341" t="s">
        <v>17</v>
      </c>
      <c r="B54" s="337">
        <v>141</v>
      </c>
      <c r="C54" s="338">
        <v>40</v>
      </c>
      <c r="D54" s="338">
        <v>40.999000000000002</v>
      </c>
      <c r="E54" s="337">
        <v>4912</v>
      </c>
      <c r="F54" s="830">
        <v>40.6</v>
      </c>
      <c r="G54" s="514">
        <v>1.4999999999999999E-2</v>
      </c>
      <c r="H54" s="339">
        <v>40.25</v>
      </c>
      <c r="I54" s="320">
        <v>42.4</v>
      </c>
      <c r="J54" s="446">
        <v>39.250999999999998</v>
      </c>
      <c r="K54" s="324">
        <v>40</v>
      </c>
      <c r="L54" s="355">
        <v>25867</v>
      </c>
      <c r="M54" s="324">
        <v>64057</v>
      </c>
      <c r="N54" s="355">
        <v>62</v>
      </c>
      <c r="O54" s="438">
        <v>45310.674583333333</v>
      </c>
      <c r="P54" s="448">
        <v>53</v>
      </c>
      <c r="Q54" s="388">
        <v>0</v>
      </c>
      <c r="R54" s="413">
        <v>0</v>
      </c>
      <c r="S54" s="421">
        <v>0</v>
      </c>
      <c r="T54" s="349">
        <v>0</v>
      </c>
      <c r="U54" s="403">
        <v>0</v>
      </c>
      <c r="V54" s="473">
        <v>0</v>
      </c>
      <c r="W54" s="764">
        <f t="shared" ref="W54" si="38">(V54*X54)</f>
        <v>0</v>
      </c>
      <c r="X54" s="775"/>
      <c r="Y54" s="766">
        <f>IF(D54&lt;&gt;0,($C55*(1-$V$1))-$D54,0)</f>
        <v>-1.7490000000000023</v>
      </c>
      <c r="Z54" s="495">
        <f>IFERROR(IF(C54&lt;&gt;"",$Y$1/(D52/100)*(C54/100),""),"")</f>
        <v>78.431372549019613</v>
      </c>
      <c r="AA54" s="620">
        <f>IFERROR($AA$1/(D54/100)*(C52/100),"")</f>
        <v>123612.77104319618</v>
      </c>
      <c r="AB54" s="38"/>
    </row>
    <row r="55" spans="1:29" ht="12.75" customHeight="1">
      <c r="A55" s="450" t="s">
        <v>6</v>
      </c>
      <c r="B55" s="333">
        <v>250000</v>
      </c>
      <c r="C55" s="335">
        <v>39.25</v>
      </c>
      <c r="D55" s="335">
        <v>41</v>
      </c>
      <c r="E55" s="333">
        <v>50000</v>
      </c>
      <c r="F55" s="336">
        <v>39.5</v>
      </c>
      <c r="G55" s="513">
        <v>-1.2500000000000001E-2</v>
      </c>
      <c r="H55" s="328">
        <v>40</v>
      </c>
      <c r="I55" s="319">
        <v>40.04</v>
      </c>
      <c r="J55" s="440">
        <v>39.5</v>
      </c>
      <c r="K55" s="323">
        <v>40</v>
      </c>
      <c r="L55" s="326">
        <v>1832</v>
      </c>
      <c r="M55" s="323">
        <v>4610</v>
      </c>
      <c r="N55" s="326">
        <v>4</v>
      </c>
      <c r="O55" s="436">
        <v>45310.701099537036</v>
      </c>
      <c r="P55" s="447">
        <v>54</v>
      </c>
      <c r="Q55" s="387">
        <v>0</v>
      </c>
      <c r="R55" s="412">
        <v>0</v>
      </c>
      <c r="S55" s="416">
        <v>0</v>
      </c>
      <c r="T55" s="350">
        <v>0</v>
      </c>
      <c r="U55" s="404">
        <v>0</v>
      </c>
      <c r="V55" s="472">
        <v>0</v>
      </c>
      <c r="W55" s="765">
        <f>V54*(F54/100)</f>
        <v>0</v>
      </c>
      <c r="X55" s="776"/>
      <c r="Y55" s="774">
        <f>IFERROR(INT($AA$1/(F54/100)),"")</f>
        <v>246</v>
      </c>
      <c r="Z55" s="494">
        <f>IFERROR(IF(C55&lt;&gt;"",$Y$1/(D53/100)*(C55/100),""),"")</f>
        <v>75.713734567901241</v>
      </c>
      <c r="AA55" s="622">
        <f>IFERROR($AA$1/(D55/100)*(C53/100),"")</f>
        <v>125243.90243902439</v>
      </c>
      <c r="AB55" s="38"/>
    </row>
    <row r="56" spans="1:29" ht="12.75" customHeight="1">
      <c r="A56" s="682" t="s">
        <v>18</v>
      </c>
      <c r="B56" s="340">
        <v>14360</v>
      </c>
      <c r="C56" s="338">
        <v>41</v>
      </c>
      <c r="D56" s="338">
        <v>41.3</v>
      </c>
      <c r="E56" s="340">
        <v>8105</v>
      </c>
      <c r="F56" s="830">
        <v>41.012</v>
      </c>
      <c r="G56" s="514">
        <v>-3.5999999999999999E-3</v>
      </c>
      <c r="H56" s="339">
        <v>42</v>
      </c>
      <c r="I56" s="320">
        <v>42.287999999999997</v>
      </c>
      <c r="J56" s="446">
        <v>40.950000000000003</v>
      </c>
      <c r="K56" s="324">
        <v>41.161000000000001</v>
      </c>
      <c r="L56" s="355">
        <v>2050007</v>
      </c>
      <c r="M56" s="324">
        <v>4973759</v>
      </c>
      <c r="N56" s="355">
        <v>3081</v>
      </c>
      <c r="O56" s="438">
        <v>45310.687824074077</v>
      </c>
      <c r="P56" s="448">
        <v>55</v>
      </c>
      <c r="Q56" s="388">
        <v>0</v>
      </c>
      <c r="R56" s="413">
        <v>0</v>
      </c>
      <c r="S56" s="421">
        <v>0</v>
      </c>
      <c r="T56" s="349">
        <v>0</v>
      </c>
      <c r="U56" s="403">
        <v>0</v>
      </c>
      <c r="V56" s="751">
        <v>482</v>
      </c>
      <c r="W56" s="752">
        <f t="shared" si="37"/>
        <v>198.61292</v>
      </c>
      <c r="X56" s="753">
        <v>0.41205999999999998</v>
      </c>
      <c r="Y56" s="748">
        <f>IF(D56&lt;&gt;0,($C57*(1-$V$1))-$D56,0)</f>
        <v>-0.26999999999999602</v>
      </c>
      <c r="Z56" s="493">
        <f>IFERROR(IF(C56&lt;&gt;"",$Y$1/(D52/100)*(C56/100),""),"")</f>
        <v>80.392156862745097</v>
      </c>
      <c r="AA56" s="621">
        <f>IFERROR($Z$1/(D56/100)*(C52/100),"")</f>
        <v>104121.01694915254</v>
      </c>
      <c r="AB56" s="38"/>
    </row>
    <row r="57" spans="1:29" ht="12.75" customHeight="1">
      <c r="A57" s="736" t="s">
        <v>7</v>
      </c>
      <c r="B57" s="743">
        <v>300</v>
      </c>
      <c r="C57" s="738">
        <v>41.03</v>
      </c>
      <c r="D57" s="738">
        <v>41.25</v>
      </c>
      <c r="E57" s="737">
        <v>2321</v>
      </c>
      <c r="F57" s="739">
        <v>41.145000000000003</v>
      </c>
      <c r="G57" s="740">
        <v>-6.0999999999999995E-3</v>
      </c>
      <c r="H57" s="711">
        <v>42</v>
      </c>
      <c r="I57" s="712">
        <v>42</v>
      </c>
      <c r="J57" s="713">
        <v>40.5</v>
      </c>
      <c r="K57" s="714">
        <v>41.4</v>
      </c>
      <c r="L57" s="727">
        <v>258899</v>
      </c>
      <c r="M57" s="714">
        <v>629192</v>
      </c>
      <c r="N57" s="695">
        <v>368</v>
      </c>
      <c r="O57" s="696">
        <v>45310.705625000002</v>
      </c>
      <c r="P57" s="697">
        <v>56</v>
      </c>
      <c r="Q57" s="698">
        <v>0</v>
      </c>
      <c r="R57" s="741">
        <v>0</v>
      </c>
      <c r="S57" s="700">
        <v>0</v>
      </c>
      <c r="T57" s="717">
        <v>0</v>
      </c>
      <c r="U57" s="679">
        <v>0</v>
      </c>
      <c r="V57" s="756">
        <v>0</v>
      </c>
      <c r="W57" s="762">
        <f>V56*(F56/100)</f>
        <v>197.67784</v>
      </c>
      <c r="X57" s="755"/>
      <c r="Y57" s="749">
        <f>IFERROR(INT($Z$1/(F56/100)),"")</f>
        <v>206</v>
      </c>
      <c r="Z57" s="729">
        <f>IFERROR(IF(C57&lt;&gt;"",$Y$1/(D53/100)*(C57/100),""),"")</f>
        <v>79.147376543209873</v>
      </c>
      <c r="AA57" s="742">
        <f>IFERROR($Z$1/(D57/100)*(C53/100),"")</f>
        <v>105625.39393939394</v>
      </c>
      <c r="AB57" s="38"/>
    </row>
    <row r="58" spans="1:29" ht="12.75" customHeight="1">
      <c r="A58" s="410" t="s">
        <v>673</v>
      </c>
      <c r="B58" s="358">
        <v>1520036</v>
      </c>
      <c r="C58" s="497">
        <v>163.19999999999999</v>
      </c>
      <c r="D58" s="372">
        <v>163.5</v>
      </c>
      <c r="E58" s="358">
        <v>19963648</v>
      </c>
      <c r="F58" s="425">
        <v>163.27000000000001</v>
      </c>
      <c r="G58" s="510">
        <v>-2.7000000000000001E-3</v>
      </c>
      <c r="H58" s="329">
        <v>164.95</v>
      </c>
      <c r="I58" s="321">
        <v>164.95</v>
      </c>
      <c r="J58" s="443">
        <v>163</v>
      </c>
      <c r="K58" s="325">
        <v>163.72</v>
      </c>
      <c r="L58" s="367">
        <v>18931509015</v>
      </c>
      <c r="M58" s="325">
        <v>11566979833</v>
      </c>
      <c r="N58" s="367">
        <v>3307</v>
      </c>
      <c r="O58" s="435">
        <v>45310.6877662037</v>
      </c>
      <c r="P58" s="448">
        <v>57</v>
      </c>
      <c r="Q58" s="390">
        <v>0</v>
      </c>
      <c r="R58" s="411">
        <v>0</v>
      </c>
      <c r="S58" s="419">
        <v>0</v>
      </c>
      <c r="T58" s="351">
        <v>0</v>
      </c>
      <c r="U58" s="734">
        <v>0</v>
      </c>
      <c r="V58" s="468">
        <v>0</v>
      </c>
      <c r="W58" s="757"/>
      <c r="X58" s="758"/>
      <c r="Y58" s="669">
        <f>IF(D58&lt;&gt;0,($C59*(1-$V$1))-$D58,0)</f>
        <v>1.5</v>
      </c>
      <c r="Z58" s="670"/>
      <c r="AA58" s="535"/>
      <c r="AB58" s="38"/>
    </row>
    <row r="59" spans="1:29" ht="12.75" customHeight="1">
      <c r="A59" s="408" t="s">
        <v>674</v>
      </c>
      <c r="B59" s="359">
        <v>200000000</v>
      </c>
      <c r="C59" s="335">
        <v>165</v>
      </c>
      <c r="D59" s="335">
        <v>165.2</v>
      </c>
      <c r="E59" s="334">
        <v>200000000</v>
      </c>
      <c r="F59" s="336">
        <v>165.05</v>
      </c>
      <c r="G59" s="513">
        <v>2.9999999999999997E-4</v>
      </c>
      <c r="H59" s="328">
        <v>165</v>
      </c>
      <c r="I59" s="319">
        <v>166</v>
      </c>
      <c r="J59" s="440">
        <v>163</v>
      </c>
      <c r="K59" s="323">
        <v>165</v>
      </c>
      <c r="L59" s="326">
        <v>8683133397</v>
      </c>
      <c r="M59" s="323">
        <v>5257595453</v>
      </c>
      <c r="N59" s="326">
        <v>3574</v>
      </c>
      <c r="O59" s="436">
        <v>45310.708622685182</v>
      </c>
      <c r="P59" s="447">
        <v>58</v>
      </c>
      <c r="Q59" s="387">
        <v>0</v>
      </c>
      <c r="R59" s="412">
        <v>0</v>
      </c>
      <c r="S59" s="416">
        <v>0</v>
      </c>
      <c r="T59" s="350">
        <v>0</v>
      </c>
      <c r="U59" s="404">
        <v>0</v>
      </c>
      <c r="V59" s="759">
        <v>0</v>
      </c>
      <c r="W59" s="763">
        <f>V58*(F58/100)</f>
        <v>0</v>
      </c>
      <c r="X59" s="760"/>
      <c r="Y59" s="750">
        <f>IFERROR(INT($Y$1/(F58/100)),"")</f>
        <v>61248</v>
      </c>
      <c r="Z59" s="666"/>
      <c r="AA59" s="536"/>
      <c r="AB59" s="38"/>
    </row>
    <row r="60" spans="1:29" ht="12.75" customHeight="1">
      <c r="A60" s="341" t="s">
        <v>675</v>
      </c>
      <c r="B60" s="360">
        <v>680332556</v>
      </c>
      <c r="C60" s="338">
        <v>0.126</v>
      </c>
      <c r="D60" s="338">
        <v>0.128</v>
      </c>
      <c r="E60" s="337">
        <v>475000000</v>
      </c>
      <c r="F60" s="830">
        <v>0.126</v>
      </c>
      <c r="G60" s="514">
        <v>-2.3199999999999998E-2</v>
      </c>
      <c r="H60" s="339">
        <v>0.129</v>
      </c>
      <c r="I60" s="320">
        <v>0.13</v>
      </c>
      <c r="J60" s="446">
        <v>0.126</v>
      </c>
      <c r="K60" s="324">
        <v>0.129</v>
      </c>
      <c r="L60" s="355">
        <v>8857941</v>
      </c>
      <c r="M60" s="324">
        <v>6936761812</v>
      </c>
      <c r="N60" s="355">
        <v>1092</v>
      </c>
      <c r="O60" s="438">
        <v>45310.687824074077</v>
      </c>
      <c r="P60" s="448">
        <v>59</v>
      </c>
      <c r="Q60" s="388">
        <v>0</v>
      </c>
      <c r="R60" s="413">
        <v>0</v>
      </c>
      <c r="S60" s="421">
        <v>0</v>
      </c>
      <c r="T60" s="349">
        <v>0</v>
      </c>
      <c r="U60" s="403">
        <v>0</v>
      </c>
      <c r="V60" s="473">
        <v>0</v>
      </c>
      <c r="W60" s="764">
        <f t="shared" ref="W60" si="39">(V60*X60)</f>
        <v>0</v>
      </c>
      <c r="X60" s="775"/>
      <c r="Y60" s="766">
        <f>IF(D60&lt;&gt;0,($C61*(1-$V$1))-$D60,0)</f>
        <v>0</v>
      </c>
      <c r="Z60" s="495">
        <f>IFERROR(IF(C60&lt;&gt;"",$Y$1/(D58/100)*(C60/100),""),"")</f>
        <v>77.064220183486242</v>
      </c>
      <c r="AA60" s="620">
        <f>IFERROR($AA$1/(D60/100)*(C58/100),"")</f>
        <v>127499.99999999999</v>
      </c>
      <c r="AB60" s="38"/>
    </row>
    <row r="61" spans="1:29" ht="12.75" customHeight="1">
      <c r="A61" s="450" t="s">
        <v>676</v>
      </c>
      <c r="B61" s="333">
        <v>333600</v>
      </c>
      <c r="C61" s="335">
        <v>0.128</v>
      </c>
      <c r="D61" s="335"/>
      <c r="E61" s="333"/>
      <c r="F61" s="336"/>
      <c r="G61" s="513"/>
      <c r="H61" s="328"/>
      <c r="I61" s="319"/>
      <c r="J61" s="440"/>
      <c r="K61" s="323"/>
      <c r="L61" s="326"/>
      <c r="M61" s="323"/>
      <c r="N61" s="326"/>
      <c r="O61" s="436"/>
      <c r="P61" s="447">
        <v>60</v>
      </c>
      <c r="Q61" s="387">
        <v>0</v>
      </c>
      <c r="R61" s="412">
        <v>0</v>
      </c>
      <c r="S61" s="416">
        <v>0</v>
      </c>
      <c r="T61" s="350">
        <v>0</v>
      </c>
      <c r="U61" s="404">
        <v>0</v>
      </c>
      <c r="V61" s="472">
        <v>0</v>
      </c>
      <c r="W61" s="765">
        <f>V60*(F60/100)</f>
        <v>0</v>
      </c>
      <c r="X61" s="776"/>
      <c r="Y61" s="774">
        <f>IFERROR(INT($AA$1/(F60/100)),"")</f>
        <v>79365</v>
      </c>
      <c r="Z61" s="494">
        <f>IFERROR(IF(C61&lt;&gt;"",$Y$1/(D59/100)*(C61/100),""),"")</f>
        <v>77.481840193704613</v>
      </c>
      <c r="AA61" s="622" t="str">
        <f>IFERROR($AA$1/(D61/100)*(C59/100),"")</f>
        <v/>
      </c>
      <c r="AB61" s="38"/>
    </row>
    <row r="62" spans="1:29" ht="12.75" customHeight="1">
      <c r="A62" s="682" t="s">
        <v>677</v>
      </c>
      <c r="B62" s="340">
        <v>2196969</v>
      </c>
      <c r="C62" s="338">
        <v>0.13200000000000001</v>
      </c>
      <c r="D62" s="338">
        <v>0.13300000000000001</v>
      </c>
      <c r="E62" s="340">
        <v>234016656</v>
      </c>
      <c r="F62" s="830">
        <v>0.13200000000000001</v>
      </c>
      <c r="G62" s="514">
        <v>-2.2200000000000001E-2</v>
      </c>
      <c r="H62" s="339">
        <v>0.13200000000000001</v>
      </c>
      <c r="I62" s="320">
        <v>0.13600000000000001</v>
      </c>
      <c r="J62" s="446">
        <v>0.13200000000000001</v>
      </c>
      <c r="K62" s="324">
        <v>0.13500000000000001</v>
      </c>
      <c r="L62" s="355">
        <v>7771983</v>
      </c>
      <c r="M62" s="324">
        <v>5806470111</v>
      </c>
      <c r="N62" s="355">
        <v>860</v>
      </c>
      <c r="O62" s="438">
        <v>45310.684131944443</v>
      </c>
      <c r="P62" s="448">
        <v>61</v>
      </c>
      <c r="Q62" s="388">
        <v>0</v>
      </c>
      <c r="R62" s="413">
        <v>0</v>
      </c>
      <c r="S62" s="421">
        <v>0</v>
      </c>
      <c r="T62" s="349">
        <v>0</v>
      </c>
      <c r="U62" s="403">
        <v>0</v>
      </c>
      <c r="V62" s="751">
        <v>1511</v>
      </c>
      <c r="W62" s="752">
        <f t="shared" si="37"/>
        <v>2.02474</v>
      </c>
      <c r="X62" s="753">
        <v>1.34E-3</v>
      </c>
      <c r="Y62" s="748">
        <f>IF(D62&lt;&gt;0,($C63*(1-$V$1))-$D62,0)</f>
        <v>-3.3000000000000002E-2</v>
      </c>
      <c r="Z62" s="493">
        <f>IFERROR(IF(C62&lt;&gt;"",$Y$1/(D58/100)*(C62/100),""),"")</f>
        <v>80.733944954128432</v>
      </c>
      <c r="AA62" s="621">
        <f>IFERROR($Z$1/(D62/100)*(C58/100),"")</f>
        <v>104116.69172932328</v>
      </c>
      <c r="AB62" s="38"/>
      <c r="AC62"/>
    </row>
    <row r="63" spans="1:29" ht="12.75" customHeight="1">
      <c r="A63" s="736" t="s">
        <v>678</v>
      </c>
      <c r="B63" s="737">
        <v>100</v>
      </c>
      <c r="C63" s="738">
        <v>0.1</v>
      </c>
      <c r="D63" s="738">
        <v>0.13300000000000001</v>
      </c>
      <c r="E63" s="737">
        <v>363153</v>
      </c>
      <c r="F63" s="739">
        <v>0.13300000000000001</v>
      </c>
      <c r="G63" s="740">
        <v>-4.3099999999999999E-2</v>
      </c>
      <c r="H63" s="711">
        <v>0.13100000000000001</v>
      </c>
      <c r="I63" s="712">
        <v>0.13900000000000001</v>
      </c>
      <c r="J63" s="713">
        <v>0.13100000000000001</v>
      </c>
      <c r="K63" s="714">
        <v>0.13900000000000001</v>
      </c>
      <c r="L63" s="695">
        <v>3553</v>
      </c>
      <c r="M63" s="714">
        <v>2563952</v>
      </c>
      <c r="N63" s="695">
        <v>28</v>
      </c>
      <c r="O63" s="696">
        <v>45310.708344907405</v>
      </c>
      <c r="P63" s="697">
        <v>62</v>
      </c>
      <c r="Q63" s="698">
        <v>0</v>
      </c>
      <c r="R63" s="741">
        <v>0</v>
      </c>
      <c r="S63" s="700">
        <v>0</v>
      </c>
      <c r="T63" s="717">
        <v>0</v>
      </c>
      <c r="U63" s="679">
        <v>0</v>
      </c>
      <c r="V63" s="756">
        <v>0</v>
      </c>
      <c r="W63" s="762">
        <f>V62*(F62/100)</f>
        <v>1.9945200000000001</v>
      </c>
      <c r="X63" s="755"/>
      <c r="Y63" s="749">
        <f>IFERROR(INT($Z$1/(F62/100)),"")</f>
        <v>64280</v>
      </c>
      <c r="Z63" s="729">
        <f>IFERROR(IF(C63&lt;&gt;"",$Y$1/(D59/100)*(C63/100),""),"")</f>
        <v>60.532687651331727</v>
      </c>
      <c r="AA63" s="742">
        <f>IFERROR($Z$1/(D63/100)*(C59/100),"")</f>
        <v>105265.03759398495</v>
      </c>
      <c r="AB63" s="38"/>
      <c r="AC63"/>
    </row>
    <row r="64" spans="1:29" ht="12.75" customHeight="1">
      <c r="A64" s="410" t="s">
        <v>679</v>
      </c>
      <c r="B64" s="358">
        <v>302648</v>
      </c>
      <c r="C64" s="497">
        <v>156.5</v>
      </c>
      <c r="D64" s="372">
        <v>160.5</v>
      </c>
      <c r="E64" s="358">
        <v>305000</v>
      </c>
      <c r="F64" s="425">
        <v>160.5</v>
      </c>
      <c r="G64" s="510">
        <v>3.6799999999999999E-2</v>
      </c>
      <c r="H64" s="329">
        <v>163</v>
      </c>
      <c r="I64" s="321">
        <v>171</v>
      </c>
      <c r="J64" s="443">
        <v>155</v>
      </c>
      <c r="K64" s="325">
        <v>154.80000000000001</v>
      </c>
      <c r="L64" s="367">
        <v>240690163</v>
      </c>
      <c r="M64" s="325">
        <v>148785792</v>
      </c>
      <c r="N64" s="367">
        <v>33</v>
      </c>
      <c r="O64" s="435">
        <v>45310.687777777777</v>
      </c>
      <c r="P64" s="448">
        <v>63</v>
      </c>
      <c r="Q64" s="390">
        <v>0</v>
      </c>
      <c r="R64" s="411">
        <v>0</v>
      </c>
      <c r="S64" s="419">
        <v>0</v>
      </c>
      <c r="T64" s="351">
        <v>0</v>
      </c>
      <c r="U64" s="734">
        <v>0</v>
      </c>
      <c r="V64" s="470"/>
      <c r="W64" s="757">
        <f t="shared" si="37"/>
        <v>0</v>
      </c>
      <c r="X64" s="758"/>
      <c r="Y64" s="669">
        <f>IF(D64&lt;&gt;0,($C65*(1-$V$1))-$D64,0)</f>
        <v>-0.90000000000000568</v>
      </c>
      <c r="Z64" s="670"/>
      <c r="AA64" s="535"/>
      <c r="AB64" s="38"/>
      <c r="AC64"/>
    </row>
    <row r="65" spans="1:29" ht="12.75" customHeight="1">
      <c r="A65" s="408" t="s">
        <v>680</v>
      </c>
      <c r="B65" s="334">
        <v>31328</v>
      </c>
      <c r="C65" s="335">
        <v>159.6</v>
      </c>
      <c r="D65" s="335">
        <v>159.94999999999999</v>
      </c>
      <c r="E65" s="334">
        <v>15355707</v>
      </c>
      <c r="F65" s="336">
        <v>159.94999999999999</v>
      </c>
      <c r="G65" s="513">
        <v>2.0999999999999999E-3</v>
      </c>
      <c r="H65" s="328">
        <v>159</v>
      </c>
      <c r="I65" s="319">
        <v>160.5</v>
      </c>
      <c r="J65" s="440">
        <v>159</v>
      </c>
      <c r="K65" s="323">
        <v>159.6</v>
      </c>
      <c r="L65" s="326">
        <v>1256332309</v>
      </c>
      <c r="M65" s="323">
        <v>784765945</v>
      </c>
      <c r="N65" s="326">
        <v>376</v>
      </c>
      <c r="O65" s="436">
        <v>45310.708506944444</v>
      </c>
      <c r="P65" s="447">
        <v>64</v>
      </c>
      <c r="Q65" s="387">
        <v>0</v>
      </c>
      <c r="R65" s="412">
        <v>0</v>
      </c>
      <c r="S65" s="416">
        <v>0</v>
      </c>
      <c r="T65" s="350">
        <v>0</v>
      </c>
      <c r="U65" s="404">
        <v>0</v>
      </c>
      <c r="V65" s="471">
        <v>0</v>
      </c>
      <c r="W65" s="763">
        <f>V64*(F64/100)</f>
        <v>0</v>
      </c>
      <c r="X65" s="760"/>
      <c r="Y65" s="750">
        <f>IFERROR(INT($Y$1/(F64/100)),"")</f>
        <v>62305</v>
      </c>
      <c r="Z65" s="666"/>
      <c r="AA65" s="536"/>
      <c r="AB65" s="38"/>
      <c r="AC65"/>
    </row>
    <row r="66" spans="1:29" ht="12.75" customHeight="1">
      <c r="A66" s="341" t="s">
        <v>681</v>
      </c>
      <c r="B66" s="337"/>
      <c r="C66" s="338"/>
      <c r="D66" s="338"/>
      <c r="E66" s="337"/>
      <c r="F66" s="830"/>
      <c r="G66" s="514"/>
      <c r="H66" s="339"/>
      <c r="I66" s="320"/>
      <c r="J66" s="446"/>
      <c r="K66" s="324"/>
      <c r="L66" s="355"/>
      <c r="M66" s="324"/>
      <c r="N66" s="355"/>
      <c r="O66" s="438"/>
      <c r="P66" s="448">
        <v>65</v>
      </c>
      <c r="Q66" s="388">
        <v>0</v>
      </c>
      <c r="R66" s="413">
        <v>0</v>
      </c>
      <c r="S66" s="421">
        <v>0</v>
      </c>
      <c r="T66" s="349">
        <v>0</v>
      </c>
      <c r="U66" s="403">
        <v>0</v>
      </c>
      <c r="V66" s="473"/>
      <c r="W66" s="764">
        <f t="shared" ref="W66" si="40">(V66*X66)</f>
        <v>0</v>
      </c>
      <c r="X66" s="775"/>
      <c r="Y66" s="766">
        <f>IF(D66&lt;&gt;0,($C67*(1-$V$1))-$D66,0)</f>
        <v>0</v>
      </c>
      <c r="Z66" s="495" t="str">
        <f>IFERROR(IF(C66&lt;&gt;"",$Y$1/(D64/100)*(C66/100),""),"")</f>
        <v/>
      </c>
      <c r="AA66" s="620" t="str">
        <f>IFERROR($AA$1/(D66/100)*(C64/100),"")</f>
        <v/>
      </c>
      <c r="AB66" s="38"/>
      <c r="AC66"/>
    </row>
    <row r="67" spans="1:29" ht="12.75" customHeight="1">
      <c r="A67" s="450" t="s">
        <v>682</v>
      </c>
      <c r="B67" s="333"/>
      <c r="C67" s="335"/>
      <c r="D67" s="335"/>
      <c r="E67" s="333"/>
      <c r="F67" s="336"/>
      <c r="G67" s="513"/>
      <c r="H67" s="328"/>
      <c r="I67" s="319"/>
      <c r="J67" s="440"/>
      <c r="K67" s="323"/>
      <c r="L67" s="326"/>
      <c r="M67" s="323"/>
      <c r="N67" s="326"/>
      <c r="O67" s="436"/>
      <c r="P67" s="447">
        <v>66</v>
      </c>
      <c r="Q67" s="387">
        <v>0</v>
      </c>
      <c r="R67" s="412">
        <v>0</v>
      </c>
      <c r="S67" s="416">
        <v>0</v>
      </c>
      <c r="T67" s="350">
        <v>0</v>
      </c>
      <c r="U67" s="404">
        <v>0</v>
      </c>
      <c r="V67" s="472">
        <v>0</v>
      </c>
      <c r="W67" s="765">
        <f>V66*(F66/100)</f>
        <v>0</v>
      </c>
      <c r="X67" s="776"/>
      <c r="Y67" s="774" t="str">
        <f>IFERROR(INT($AA$1/(F66/100)),"")</f>
        <v/>
      </c>
      <c r="Z67" s="494" t="str">
        <f>IFERROR(IF(C67&lt;&gt;"",$Y$1/(D65/100)*(C67/100),""),"")</f>
        <v/>
      </c>
      <c r="AA67" s="622" t="str">
        <f>IFERROR($AA$1/(D67/100)*(C65/100),"")</f>
        <v/>
      </c>
      <c r="AB67" s="38"/>
      <c r="AC67"/>
    </row>
    <row r="68" spans="1:29" ht="12.75" customHeight="1">
      <c r="A68" s="682" t="s">
        <v>683</v>
      </c>
      <c r="B68" s="340"/>
      <c r="C68" s="338"/>
      <c r="D68" s="338"/>
      <c r="E68" s="340"/>
      <c r="F68" s="830"/>
      <c r="G68" s="514"/>
      <c r="H68" s="339"/>
      <c r="I68" s="320"/>
      <c r="J68" s="446"/>
      <c r="K68" s="324"/>
      <c r="L68" s="355"/>
      <c r="M68" s="324"/>
      <c r="N68" s="355"/>
      <c r="O68" s="438"/>
      <c r="P68" s="448">
        <v>67</v>
      </c>
      <c r="Q68" s="388">
        <v>0</v>
      </c>
      <c r="R68" s="413">
        <v>0</v>
      </c>
      <c r="S68" s="421">
        <v>0</v>
      </c>
      <c r="T68" s="349">
        <v>0</v>
      </c>
      <c r="U68" s="403">
        <v>0</v>
      </c>
      <c r="V68" s="751">
        <v>0</v>
      </c>
      <c r="W68" s="752">
        <f t="shared" ref="W68" si="41">(V68*X68)</f>
        <v>0</v>
      </c>
      <c r="X68" s="753"/>
      <c r="Y68" s="748">
        <f>IF(D68&lt;&gt;0,($C69*(1-$V$1))-$D68,0)</f>
        <v>0</v>
      </c>
      <c r="Z68" s="493" t="str">
        <f>IFERROR(IF(C68&lt;&gt;"",$Y$1/(D64/100)*(C68/100),""),"")</f>
        <v/>
      </c>
      <c r="AA68" s="621" t="str">
        <f>IFERROR($Z$1/(D68/100)*(C64/100),"")</f>
        <v/>
      </c>
      <c r="AB68" s="38"/>
      <c r="AC68"/>
    </row>
    <row r="69" spans="1:29" ht="12.75" customHeight="1">
      <c r="A69" s="736" t="s">
        <v>684</v>
      </c>
      <c r="B69" s="737"/>
      <c r="C69" s="738"/>
      <c r="D69" s="738"/>
      <c r="E69" s="737"/>
      <c r="F69" s="739"/>
      <c r="G69" s="740"/>
      <c r="H69" s="711"/>
      <c r="I69" s="712"/>
      <c r="J69" s="713"/>
      <c r="K69" s="714"/>
      <c r="L69" s="695"/>
      <c r="M69" s="714"/>
      <c r="N69" s="695"/>
      <c r="O69" s="696"/>
      <c r="P69" s="697">
        <v>68</v>
      </c>
      <c r="Q69" s="698">
        <v>0</v>
      </c>
      <c r="R69" s="741">
        <v>0</v>
      </c>
      <c r="S69" s="700">
        <v>0</v>
      </c>
      <c r="T69" s="717">
        <v>0</v>
      </c>
      <c r="U69" s="679">
        <v>0</v>
      </c>
      <c r="V69" s="756">
        <v>0</v>
      </c>
      <c r="W69" s="762">
        <f>V68*(F68/100)</f>
        <v>0</v>
      </c>
      <c r="X69" s="755"/>
      <c r="Y69" s="749" t="str">
        <f>IFERROR(INT($Z$1/(F68/100)),"")</f>
        <v/>
      </c>
      <c r="Z69" s="729" t="str">
        <f>IFERROR(IF(C69&lt;&gt;"",$Y$1/(D65/100)*(C69/100),""),"")</f>
        <v/>
      </c>
      <c r="AA69" s="742" t="str">
        <f>IFERROR($Z$1/(D69/100)*(C65/100),"")</f>
        <v/>
      </c>
      <c r="AB69" s="38"/>
      <c r="AC69"/>
    </row>
    <row r="70" spans="1:29" ht="12.75" customHeight="1">
      <c r="A70" s="410" t="s">
        <v>543</v>
      </c>
      <c r="B70" s="358">
        <v>25</v>
      </c>
      <c r="C70" s="497">
        <v>52100</v>
      </c>
      <c r="D70" s="372">
        <v>52320</v>
      </c>
      <c r="E70" s="358">
        <v>944</v>
      </c>
      <c r="F70" s="425">
        <v>51950</v>
      </c>
      <c r="G70" s="510">
        <v>2.4399999999999998E-2</v>
      </c>
      <c r="H70" s="329">
        <v>51900</v>
      </c>
      <c r="I70" s="321">
        <v>53000</v>
      </c>
      <c r="J70" s="443">
        <v>50590</v>
      </c>
      <c r="K70" s="325">
        <v>50710</v>
      </c>
      <c r="L70" s="367">
        <v>16027746</v>
      </c>
      <c r="M70" s="325">
        <v>31027</v>
      </c>
      <c r="N70" s="367">
        <v>159</v>
      </c>
      <c r="O70" s="435">
        <v>45310.66988425926</v>
      </c>
      <c r="P70" s="448">
        <v>69</v>
      </c>
      <c r="Q70" s="390">
        <v>0</v>
      </c>
      <c r="R70" s="411">
        <v>0</v>
      </c>
      <c r="S70" s="419">
        <v>0</v>
      </c>
      <c r="T70" s="351">
        <v>0</v>
      </c>
      <c r="U70" s="734">
        <v>0</v>
      </c>
      <c r="V70" s="470"/>
      <c r="W70" s="757">
        <f t="shared" ref="W70" si="42">(V70*X70)</f>
        <v>0</v>
      </c>
      <c r="X70" s="758"/>
      <c r="Y70" s="669">
        <f>IF(D70&lt;&gt;0,($C71*(1-$V$1))-$D70,0)</f>
        <v>-400</v>
      </c>
      <c r="Z70" s="670"/>
      <c r="AA70" s="535"/>
      <c r="AB70" s="38"/>
      <c r="AC70"/>
    </row>
    <row r="71" spans="1:29" ht="12.75" customHeight="1">
      <c r="A71" s="408" t="s">
        <v>544</v>
      </c>
      <c r="B71" s="334">
        <v>240</v>
      </c>
      <c r="C71" s="335">
        <v>51920</v>
      </c>
      <c r="D71" s="335">
        <v>52430</v>
      </c>
      <c r="E71" s="334">
        <v>170</v>
      </c>
      <c r="F71" s="336">
        <v>52430</v>
      </c>
      <c r="G71" s="513">
        <v>1.8000000000000002E-2</v>
      </c>
      <c r="H71" s="328">
        <v>50620</v>
      </c>
      <c r="I71" s="319">
        <v>52880</v>
      </c>
      <c r="J71" s="440">
        <v>50620</v>
      </c>
      <c r="K71" s="323">
        <v>51500</v>
      </c>
      <c r="L71" s="326">
        <v>604500741</v>
      </c>
      <c r="M71" s="323">
        <v>1156636</v>
      </c>
      <c r="N71" s="326">
        <v>618</v>
      </c>
      <c r="O71" s="436">
        <v>45310.708460648151</v>
      </c>
      <c r="P71" s="447">
        <v>70</v>
      </c>
      <c r="Q71" s="387">
        <v>0</v>
      </c>
      <c r="R71" s="412">
        <v>0</v>
      </c>
      <c r="S71" s="416">
        <v>0</v>
      </c>
      <c r="T71" s="350">
        <v>0</v>
      </c>
      <c r="U71" s="404">
        <v>0</v>
      </c>
      <c r="V71" s="471">
        <v>0</v>
      </c>
      <c r="W71" s="763">
        <f>V70*(F70/100)</f>
        <v>0</v>
      </c>
      <c r="X71" s="760"/>
      <c r="Y71" s="750">
        <f>IFERROR(INT($Y$1/(F70/100)),"")</f>
        <v>192</v>
      </c>
      <c r="Z71" s="666"/>
      <c r="AA71" s="536"/>
      <c r="AB71" s="38"/>
      <c r="AC71"/>
    </row>
    <row r="72" spans="1:29" ht="12.75" customHeight="1">
      <c r="A72" s="341" t="s">
        <v>545</v>
      </c>
      <c r="B72" s="337"/>
      <c r="C72" s="338"/>
      <c r="D72" s="338"/>
      <c r="E72" s="337"/>
      <c r="F72" s="830"/>
      <c r="G72" s="514"/>
      <c r="H72" s="339"/>
      <c r="I72" s="320"/>
      <c r="J72" s="320"/>
      <c r="K72" s="385">
        <v>40.299999999999997</v>
      </c>
      <c r="L72" s="355"/>
      <c r="M72" s="324"/>
      <c r="N72" s="355"/>
      <c r="O72" s="438"/>
      <c r="P72" s="448">
        <v>71</v>
      </c>
      <c r="Q72" s="388">
        <v>0</v>
      </c>
      <c r="R72" s="413">
        <v>0</v>
      </c>
      <c r="S72" s="421">
        <v>0</v>
      </c>
      <c r="T72" s="349">
        <v>0</v>
      </c>
      <c r="U72" s="403">
        <v>0</v>
      </c>
      <c r="V72" s="473"/>
      <c r="W72" s="764">
        <f t="shared" ref="W72" si="43">(V72*X72)</f>
        <v>0</v>
      </c>
      <c r="X72" s="775"/>
      <c r="Y72" s="766">
        <f>IF(D72&lt;&gt;0,($C73*(1-$V$1))-$D72,0)</f>
        <v>0</v>
      </c>
      <c r="Z72" s="495" t="str">
        <f>IFERROR(IF(C72&lt;&gt;"",$Y$1/(D70/100)*(C72/100),""),"")</f>
        <v/>
      </c>
      <c r="AA72" s="620" t="str">
        <f>IFERROR($AA$1/(D72/100)*(C70/100),"")</f>
        <v/>
      </c>
      <c r="AB72" s="38"/>
      <c r="AC72"/>
    </row>
    <row r="73" spans="1:29" ht="12.75" customHeight="1">
      <c r="A73" s="450" t="s">
        <v>546</v>
      </c>
      <c r="B73" s="333"/>
      <c r="C73" s="335"/>
      <c r="D73" s="335"/>
      <c r="E73" s="333"/>
      <c r="F73" s="336"/>
      <c r="G73" s="513"/>
      <c r="H73" s="328"/>
      <c r="I73" s="319"/>
      <c r="J73" s="319"/>
      <c r="K73" s="382">
        <v>36.005000000000003</v>
      </c>
      <c r="L73" s="326"/>
      <c r="M73" s="323"/>
      <c r="N73" s="326"/>
      <c r="O73" s="436"/>
      <c r="P73" s="447">
        <v>72</v>
      </c>
      <c r="Q73" s="387">
        <v>0</v>
      </c>
      <c r="R73" s="412">
        <v>0</v>
      </c>
      <c r="S73" s="416">
        <v>0</v>
      </c>
      <c r="T73" s="350">
        <v>0</v>
      </c>
      <c r="U73" s="404">
        <v>0</v>
      </c>
      <c r="V73" s="472">
        <v>0</v>
      </c>
      <c r="W73" s="765">
        <f>V72*(F72/100)</f>
        <v>0</v>
      </c>
      <c r="X73" s="776"/>
      <c r="Y73" s="774" t="str">
        <f>IFERROR(INT($AA$1/(F72/100)),"")</f>
        <v/>
      </c>
      <c r="Z73" s="494" t="str">
        <f>IFERROR(IF(C73&lt;&gt;"",$Y$1/(D71/100)*(C73/100),""),"")</f>
        <v/>
      </c>
      <c r="AA73" s="622" t="str">
        <f>IFERROR($AA$1/(D73/100)*(C71/100),"")</f>
        <v/>
      </c>
      <c r="AB73" s="38"/>
      <c r="AC73"/>
    </row>
    <row r="74" spans="1:29" ht="12.75" customHeight="1">
      <c r="A74" s="682" t="s">
        <v>547</v>
      </c>
      <c r="B74" s="340">
        <v>300</v>
      </c>
      <c r="C74" s="338">
        <v>42.4</v>
      </c>
      <c r="D74" s="338">
        <v>43</v>
      </c>
      <c r="E74" s="340">
        <v>2520</v>
      </c>
      <c r="F74" s="830">
        <v>42.98</v>
      </c>
      <c r="G74" s="514">
        <v>1.3600000000000001E-2</v>
      </c>
      <c r="H74" s="339">
        <v>42.4</v>
      </c>
      <c r="I74" s="320">
        <v>42.98</v>
      </c>
      <c r="J74" s="320">
        <v>42</v>
      </c>
      <c r="K74" s="385">
        <v>42.4</v>
      </c>
      <c r="L74" s="355">
        <v>1946</v>
      </c>
      <c r="M74" s="324">
        <v>4608</v>
      </c>
      <c r="N74" s="355">
        <v>11</v>
      </c>
      <c r="O74" s="438">
        <v>45310.63795138889</v>
      </c>
      <c r="P74" s="448">
        <v>73</v>
      </c>
      <c r="Q74" s="388">
        <v>0</v>
      </c>
      <c r="R74" s="413">
        <v>0</v>
      </c>
      <c r="S74" s="421">
        <v>0</v>
      </c>
      <c r="T74" s="349">
        <v>0</v>
      </c>
      <c r="U74" s="403">
        <v>0</v>
      </c>
      <c r="V74" s="751">
        <v>0</v>
      </c>
      <c r="W74" s="752">
        <f t="shared" ref="W74" si="44">(V74*X74)</f>
        <v>0</v>
      </c>
      <c r="X74" s="753"/>
      <c r="Y74" s="748">
        <f>IF(D74&lt;&gt;0,($C75*(1-$V$1))-$D74,0)</f>
        <v>-0.5</v>
      </c>
      <c r="Z74" s="493">
        <f>IFERROR(IF(C74&lt;&gt;"",$Y$1/(D70/100)*(C74/100),""),"")</f>
        <v>81.039755351681947</v>
      </c>
      <c r="AA74" s="621">
        <f>IFERROR($Z$1/(D74/100)*(C70/100),"")</f>
        <v>102806.62790697673</v>
      </c>
      <c r="AB74" s="38"/>
      <c r="AC74"/>
    </row>
    <row r="75" spans="1:29" ht="12.75" customHeight="1">
      <c r="A75" s="736" t="s">
        <v>548</v>
      </c>
      <c r="B75" s="737">
        <v>100</v>
      </c>
      <c r="C75" s="738">
        <v>42.5</v>
      </c>
      <c r="D75" s="738">
        <v>42.95</v>
      </c>
      <c r="E75" s="737">
        <v>300</v>
      </c>
      <c r="F75" s="739">
        <v>42.6</v>
      </c>
      <c r="G75" s="740">
        <v>-4.5999999999999999E-3</v>
      </c>
      <c r="H75" s="711">
        <v>41.6</v>
      </c>
      <c r="I75" s="712">
        <v>43.399000000000001</v>
      </c>
      <c r="J75" s="712">
        <v>41.6</v>
      </c>
      <c r="K75" s="744">
        <v>42.8</v>
      </c>
      <c r="L75" s="695">
        <v>46010</v>
      </c>
      <c r="M75" s="714">
        <v>107929</v>
      </c>
      <c r="N75" s="695">
        <v>98</v>
      </c>
      <c r="O75" s="696">
        <v>45310.70412037037</v>
      </c>
      <c r="P75" s="697">
        <v>74</v>
      </c>
      <c r="Q75" s="698">
        <v>0</v>
      </c>
      <c r="R75" s="741">
        <v>0</v>
      </c>
      <c r="S75" s="700">
        <v>0</v>
      </c>
      <c r="T75" s="717">
        <v>0</v>
      </c>
      <c r="U75" s="679">
        <v>0</v>
      </c>
      <c r="V75" s="756">
        <v>0</v>
      </c>
      <c r="W75" s="762">
        <f>V74*(F74/100)</f>
        <v>0</v>
      </c>
      <c r="X75" s="755"/>
      <c r="Y75" s="749">
        <f>IFERROR(INT($Z$1/(F74/100)),"")</f>
        <v>197</v>
      </c>
      <c r="Z75" s="729">
        <f>IFERROR(IF(C75&lt;&gt;"",$Y$1/(D71/100)*(C75/100),""),"")</f>
        <v>81.060461567804694</v>
      </c>
      <c r="AA75" s="742">
        <f>IFERROR($Z$1/(D75/100)*(C71/100),"")</f>
        <v>102570.71012805587</v>
      </c>
      <c r="AB75" s="38"/>
      <c r="AC75"/>
    </row>
    <row r="76" spans="1:29" ht="12.75" customHeight="1">
      <c r="A76" s="410" t="s">
        <v>671</v>
      </c>
      <c r="B76" s="358"/>
      <c r="C76" s="497"/>
      <c r="D76" s="372"/>
      <c r="E76" s="358"/>
      <c r="F76" s="425"/>
      <c r="G76" s="510"/>
      <c r="H76" s="329"/>
      <c r="I76" s="321"/>
      <c r="J76" s="321"/>
      <c r="K76" s="384"/>
      <c r="L76" s="367"/>
      <c r="M76" s="325"/>
      <c r="N76" s="367"/>
      <c r="O76" s="435"/>
      <c r="P76" s="448">
        <v>75</v>
      </c>
      <c r="Q76" s="390">
        <v>0</v>
      </c>
      <c r="R76" s="411">
        <v>0</v>
      </c>
      <c r="S76" s="419">
        <v>0</v>
      </c>
      <c r="T76" s="351">
        <v>0</v>
      </c>
      <c r="U76" s="734">
        <v>0</v>
      </c>
      <c r="V76" s="470"/>
      <c r="W76" s="757">
        <f t="shared" ref="W76" si="45">(V76*X76)</f>
        <v>0</v>
      </c>
      <c r="X76" s="758"/>
      <c r="Y76" s="669">
        <f>IF(D76&lt;&gt;0,($C77*(1-$V$1))-$D76,0)</f>
        <v>0</v>
      </c>
      <c r="Z76" s="670"/>
      <c r="AA76" s="535"/>
      <c r="AB76" s="38"/>
      <c r="AC76"/>
    </row>
    <row r="77" spans="1:29" ht="12.75" customHeight="1">
      <c r="A77" s="408" t="s">
        <v>672</v>
      </c>
      <c r="B77" s="334">
        <v>100</v>
      </c>
      <c r="C77" s="335">
        <v>84800</v>
      </c>
      <c r="D77" s="335">
        <v>85800</v>
      </c>
      <c r="E77" s="334">
        <v>249800</v>
      </c>
      <c r="F77" s="336">
        <v>85800</v>
      </c>
      <c r="G77" s="513">
        <v>-2.3E-3</v>
      </c>
      <c r="H77" s="328">
        <v>86000</v>
      </c>
      <c r="I77" s="319">
        <v>87000</v>
      </c>
      <c r="J77" s="319">
        <v>83820</v>
      </c>
      <c r="K77" s="382">
        <v>86000</v>
      </c>
      <c r="L77" s="326">
        <v>310226142</v>
      </c>
      <c r="M77" s="323">
        <v>366840</v>
      </c>
      <c r="N77" s="326">
        <v>44</v>
      </c>
      <c r="O77" s="436">
        <v>45310.708611111113</v>
      </c>
      <c r="P77" s="447">
        <v>76</v>
      </c>
      <c r="Q77" s="387">
        <v>0</v>
      </c>
      <c r="R77" s="412">
        <v>0</v>
      </c>
      <c r="S77" s="416">
        <v>0</v>
      </c>
      <c r="T77" s="350">
        <v>0</v>
      </c>
      <c r="U77" s="404">
        <v>0</v>
      </c>
      <c r="V77" s="471">
        <v>0</v>
      </c>
      <c r="W77" s="763">
        <f>V76*(F76/100)</f>
        <v>0</v>
      </c>
      <c r="X77" s="760"/>
      <c r="Y77" s="750" t="str">
        <f>IFERROR(INT($Y$1/(F76/100)),"")</f>
        <v/>
      </c>
      <c r="Z77" s="666"/>
      <c r="AA77" s="536"/>
      <c r="AB77" s="38"/>
      <c r="AC77"/>
    </row>
    <row r="78" spans="1:29" ht="12.75" customHeight="1">
      <c r="A78" s="341" t="s">
        <v>667</v>
      </c>
      <c r="B78" s="337"/>
      <c r="C78" s="338"/>
      <c r="D78" s="338"/>
      <c r="E78" s="337"/>
      <c r="F78" s="830">
        <v>67.5</v>
      </c>
      <c r="G78" s="514"/>
      <c r="H78" s="339">
        <v>67.5</v>
      </c>
      <c r="I78" s="320">
        <v>67.5</v>
      </c>
      <c r="J78" s="320">
        <v>67.5</v>
      </c>
      <c r="K78" s="385"/>
      <c r="L78" s="355">
        <v>133043</v>
      </c>
      <c r="M78" s="324">
        <v>197100</v>
      </c>
      <c r="N78" s="355">
        <v>1</v>
      </c>
      <c r="O78" s="438">
        <v>45310.568773148145</v>
      </c>
      <c r="P78" s="448">
        <v>77</v>
      </c>
      <c r="Q78" s="388">
        <v>0</v>
      </c>
      <c r="R78" s="413">
        <v>0</v>
      </c>
      <c r="S78" s="421">
        <v>0</v>
      </c>
      <c r="T78" s="349">
        <v>0</v>
      </c>
      <c r="U78" s="403">
        <v>0</v>
      </c>
      <c r="V78" s="473"/>
      <c r="W78" s="764">
        <f t="shared" ref="W78" si="46">(V78*X78)</f>
        <v>0</v>
      </c>
      <c r="X78" s="775"/>
      <c r="Y78" s="766">
        <f>IF(D78&lt;&gt;0,($C79*(1-$V$1))-$D78,0)</f>
        <v>0</v>
      </c>
      <c r="Z78" s="495" t="str">
        <f>IFERROR(IF(C78&lt;&gt;"",$Y$1/(D76/100)*(C78/100),""),"")</f>
        <v/>
      </c>
      <c r="AA78" s="620" t="str">
        <f>IFERROR($AA$1/(D78/100)*(C76/100),"")</f>
        <v/>
      </c>
      <c r="AB78" s="38"/>
      <c r="AC78"/>
    </row>
    <row r="79" spans="1:29" ht="12.75" customHeight="1">
      <c r="A79" s="450" t="s">
        <v>668</v>
      </c>
      <c r="B79" s="333">
        <v>100000</v>
      </c>
      <c r="C79" s="335">
        <v>64.599999999999994</v>
      </c>
      <c r="D79" s="335">
        <v>65.7</v>
      </c>
      <c r="E79" s="333">
        <v>100000</v>
      </c>
      <c r="F79" s="336">
        <v>65</v>
      </c>
      <c r="G79" s="513">
        <v>-3.8E-3</v>
      </c>
      <c r="H79" s="328">
        <v>67</v>
      </c>
      <c r="I79" s="319">
        <v>67</v>
      </c>
      <c r="J79" s="319">
        <v>64.75</v>
      </c>
      <c r="K79" s="382">
        <v>65</v>
      </c>
      <c r="L79" s="326">
        <v>2960952</v>
      </c>
      <c r="M79" s="323">
        <v>4532840</v>
      </c>
      <c r="N79" s="326">
        <v>20</v>
      </c>
      <c r="O79" s="436">
        <v>45310.69</v>
      </c>
      <c r="P79" s="447">
        <v>78</v>
      </c>
      <c r="Q79" s="387">
        <v>0</v>
      </c>
      <c r="R79" s="412">
        <v>0</v>
      </c>
      <c r="S79" s="416">
        <v>0</v>
      </c>
      <c r="T79" s="350">
        <v>0</v>
      </c>
      <c r="U79" s="404">
        <v>0</v>
      </c>
      <c r="V79" s="472">
        <v>0</v>
      </c>
      <c r="W79" s="765">
        <f>V78*(F78/100)</f>
        <v>0</v>
      </c>
      <c r="X79" s="776"/>
      <c r="Y79" s="774">
        <f>IFERROR(INT($AA$1/(F78/100)),"")</f>
        <v>148</v>
      </c>
      <c r="Z79" s="494">
        <f>IFERROR(IF(C79&lt;&gt;"",$Y$1/(D77/100)*(C79/100),""),"")</f>
        <v>75.291375291375289</v>
      </c>
      <c r="AA79" s="622">
        <f>IFERROR($AA$1/(D79/100)*(C77/100),"")</f>
        <v>129071.53729071538</v>
      </c>
      <c r="AB79" s="38"/>
    </row>
    <row r="80" spans="1:29" ht="12.75" customHeight="1">
      <c r="A80" s="682" t="s">
        <v>669</v>
      </c>
      <c r="B80" s="340"/>
      <c r="C80" s="338"/>
      <c r="D80" s="338"/>
      <c r="E80" s="340"/>
      <c r="F80" s="830"/>
      <c r="G80" s="514"/>
      <c r="H80" s="339"/>
      <c r="I80" s="320"/>
      <c r="J80" s="320"/>
      <c r="K80" s="385"/>
      <c r="L80" s="355"/>
      <c r="M80" s="324"/>
      <c r="N80" s="355"/>
      <c r="O80" s="438"/>
      <c r="P80" s="448">
        <v>79</v>
      </c>
      <c r="Q80" s="388">
        <v>0</v>
      </c>
      <c r="R80" s="413">
        <v>0</v>
      </c>
      <c r="S80" s="421">
        <v>0</v>
      </c>
      <c r="T80" s="349">
        <v>0</v>
      </c>
      <c r="U80" s="403">
        <v>0</v>
      </c>
      <c r="V80" s="751">
        <v>0</v>
      </c>
      <c r="W80" s="752">
        <f t="shared" ref="W80" si="47">(V80*X80)</f>
        <v>0</v>
      </c>
      <c r="X80" s="753"/>
      <c r="Y80" s="748">
        <f>IF(D80&lt;&gt;0,($C81*(1-$V$1))-$D80,0)</f>
        <v>0</v>
      </c>
      <c r="Z80" s="493" t="str">
        <f>IFERROR(IF(C80&lt;&gt;"",$Y$1/(D76/100)*(C80/100),""),"")</f>
        <v/>
      </c>
      <c r="AA80" s="621" t="str">
        <f>IFERROR($Z$1/(D80/100)*(C76/100),"")</f>
        <v/>
      </c>
      <c r="AB80" s="38"/>
      <c r="AC80" s="11"/>
    </row>
    <row r="81" spans="1:29" ht="12.75" customHeight="1">
      <c r="A81" s="736" t="s">
        <v>670</v>
      </c>
      <c r="B81" s="737">
        <v>30000</v>
      </c>
      <c r="C81" s="738">
        <v>65.400000000000006</v>
      </c>
      <c r="D81" s="738">
        <v>70</v>
      </c>
      <c r="E81" s="737">
        <v>499000</v>
      </c>
      <c r="F81" s="739">
        <v>70</v>
      </c>
      <c r="G81" s="740"/>
      <c r="H81" s="711">
        <v>70</v>
      </c>
      <c r="I81" s="712">
        <v>70</v>
      </c>
      <c r="J81" s="712">
        <v>70</v>
      </c>
      <c r="K81" s="744"/>
      <c r="L81" s="695">
        <v>700</v>
      </c>
      <c r="M81" s="714">
        <v>1000</v>
      </c>
      <c r="N81" s="695">
        <v>1</v>
      </c>
      <c r="O81" s="696">
        <v>45310.686759259261</v>
      </c>
      <c r="P81" s="697">
        <v>80</v>
      </c>
      <c r="Q81" s="698">
        <v>0</v>
      </c>
      <c r="R81" s="741">
        <v>0</v>
      </c>
      <c r="S81" s="700">
        <v>0</v>
      </c>
      <c r="T81" s="717">
        <v>0</v>
      </c>
      <c r="U81" s="679">
        <v>0</v>
      </c>
      <c r="V81" s="756">
        <v>0</v>
      </c>
      <c r="W81" s="762">
        <f>V80*(F80/100)</f>
        <v>0</v>
      </c>
      <c r="X81" s="755"/>
      <c r="Y81" s="749" t="str">
        <f>IFERROR(INT($Z$1/(F80/100)),"")</f>
        <v/>
      </c>
      <c r="Z81" s="729">
        <f>IFERROR(IF(C81&lt;&gt;"",$Y$1/(D77/100)*(C81/100),""),"")</f>
        <v>76.223776223776227</v>
      </c>
      <c r="AA81" s="742">
        <f>IFERROR($Z$1/(D81/100)*(C77/100),"")</f>
        <v>102789.71428571428</v>
      </c>
      <c r="AB81" s="38"/>
      <c r="AC81" s="11"/>
    </row>
    <row r="82" spans="1:29" ht="12.75" customHeight="1">
      <c r="A82" s="410" t="s">
        <v>592</v>
      </c>
      <c r="B82" s="358">
        <v>7</v>
      </c>
      <c r="C82" s="497">
        <v>99850</v>
      </c>
      <c r="D82" s="372">
        <v>100000</v>
      </c>
      <c r="E82" s="358">
        <v>105</v>
      </c>
      <c r="F82" s="425">
        <v>99900</v>
      </c>
      <c r="G82" s="510">
        <v>6.9999999999999993E-3</v>
      </c>
      <c r="H82" s="329">
        <v>101000</v>
      </c>
      <c r="I82" s="321">
        <v>101990</v>
      </c>
      <c r="J82" s="321">
        <v>97160</v>
      </c>
      <c r="K82" s="384">
        <v>99200</v>
      </c>
      <c r="L82" s="367">
        <v>39359370</v>
      </c>
      <c r="M82" s="325">
        <v>39552</v>
      </c>
      <c r="N82" s="367">
        <v>247</v>
      </c>
      <c r="O82" s="435">
        <v>45310.687685185185</v>
      </c>
      <c r="P82" s="448">
        <v>81</v>
      </c>
      <c r="Q82" s="390">
        <v>0</v>
      </c>
      <c r="R82" s="411">
        <v>0</v>
      </c>
      <c r="S82" s="419">
        <v>0</v>
      </c>
      <c r="T82" s="351">
        <v>0</v>
      </c>
      <c r="U82" s="734">
        <v>0</v>
      </c>
      <c r="V82" s="470"/>
      <c r="W82" s="757">
        <f t="shared" ref="W82" si="48">(V82*X82)</f>
        <v>0</v>
      </c>
      <c r="X82" s="758"/>
      <c r="Y82" s="669">
        <f>IF(D82&lt;&gt;0,($C83*(1-$V$1))-$D82,0)</f>
        <v>900</v>
      </c>
      <c r="Z82" s="670"/>
      <c r="AA82" s="535"/>
      <c r="AB82" s="38"/>
      <c r="AC82" s="11"/>
    </row>
    <row r="83" spans="1:29" ht="12.75" customHeight="1">
      <c r="A83" s="408" t="s">
        <v>593</v>
      </c>
      <c r="B83" s="334">
        <v>1</v>
      </c>
      <c r="C83" s="335">
        <v>100900</v>
      </c>
      <c r="D83" s="335">
        <v>100950</v>
      </c>
      <c r="E83" s="334">
        <v>33</v>
      </c>
      <c r="F83" s="336">
        <v>100950</v>
      </c>
      <c r="G83" s="513">
        <v>1.7600000000000001E-2</v>
      </c>
      <c r="H83" s="328">
        <v>99200</v>
      </c>
      <c r="I83" s="319">
        <v>101500</v>
      </c>
      <c r="J83" s="319">
        <v>99200</v>
      </c>
      <c r="K83" s="382">
        <v>99200</v>
      </c>
      <c r="L83" s="326">
        <v>650639436</v>
      </c>
      <c r="M83" s="323">
        <v>649487</v>
      </c>
      <c r="N83" s="326">
        <v>1549</v>
      </c>
      <c r="O83" s="436">
        <v>45310.708541666667</v>
      </c>
      <c r="P83" s="447">
        <v>82</v>
      </c>
      <c r="Q83" s="387">
        <v>0</v>
      </c>
      <c r="R83" s="412">
        <v>0</v>
      </c>
      <c r="S83" s="416">
        <v>0</v>
      </c>
      <c r="T83" s="350">
        <v>0</v>
      </c>
      <c r="U83" s="404">
        <v>0</v>
      </c>
      <c r="V83" s="471">
        <v>0</v>
      </c>
      <c r="W83" s="763">
        <f>V82*(F82/100)</f>
        <v>0</v>
      </c>
      <c r="X83" s="760"/>
      <c r="Y83" s="750">
        <f>IFERROR(INT($Y$1/(F82/100)),"")</f>
        <v>100</v>
      </c>
      <c r="Z83" s="666"/>
      <c r="AA83" s="536"/>
      <c r="AB83" s="38"/>
      <c r="AC83" s="11"/>
    </row>
    <row r="84" spans="1:29" ht="12.75" customHeight="1">
      <c r="A84" s="341" t="s">
        <v>594</v>
      </c>
      <c r="B84" s="337"/>
      <c r="C84" s="338"/>
      <c r="D84" s="338"/>
      <c r="E84" s="337"/>
      <c r="F84" s="830"/>
      <c r="G84" s="514"/>
      <c r="H84" s="339"/>
      <c r="I84" s="320"/>
      <c r="J84" s="320"/>
      <c r="K84" s="385">
        <v>72.757000000000005</v>
      </c>
      <c r="L84" s="355"/>
      <c r="M84" s="324"/>
      <c r="N84" s="355"/>
      <c r="O84" s="438"/>
      <c r="P84" s="448">
        <v>83</v>
      </c>
      <c r="Q84" s="388">
        <v>0</v>
      </c>
      <c r="R84" s="413">
        <v>0</v>
      </c>
      <c r="S84" s="421">
        <v>0</v>
      </c>
      <c r="T84" s="349">
        <v>0</v>
      </c>
      <c r="U84" s="403">
        <v>0</v>
      </c>
      <c r="V84" s="473"/>
      <c r="W84" s="764">
        <f t="shared" ref="W84" si="49">(V84*X84)</f>
        <v>0</v>
      </c>
      <c r="X84" s="775"/>
      <c r="Y84" s="766">
        <f>IF(D84&lt;&gt;0,($C85*(1-$V$1))-$D84,0)</f>
        <v>0</v>
      </c>
      <c r="Z84" s="495" t="str">
        <f>IFERROR(IF(C84&lt;&gt;"",$Y$1/(D82/100)*(C84/100),""),"")</f>
        <v/>
      </c>
      <c r="AA84" s="620" t="str">
        <f>IFERROR($AA$1/(D84/100)*(C82/100),"")</f>
        <v/>
      </c>
      <c r="AB84" s="38"/>
      <c r="AC84" s="11"/>
    </row>
    <row r="85" spans="1:29" ht="12.75" customHeight="1">
      <c r="A85" s="450" t="s">
        <v>595</v>
      </c>
      <c r="B85" s="333"/>
      <c r="C85" s="335"/>
      <c r="D85" s="335"/>
      <c r="E85" s="333"/>
      <c r="F85" s="336"/>
      <c r="G85" s="513"/>
      <c r="H85" s="328"/>
      <c r="I85" s="319"/>
      <c r="J85" s="319"/>
      <c r="K85" s="382"/>
      <c r="L85" s="326"/>
      <c r="M85" s="323"/>
      <c r="N85" s="326"/>
      <c r="O85" s="436"/>
      <c r="P85" s="447">
        <v>84</v>
      </c>
      <c r="Q85" s="387">
        <v>0</v>
      </c>
      <c r="R85" s="412">
        <v>0</v>
      </c>
      <c r="S85" s="416">
        <v>0</v>
      </c>
      <c r="T85" s="350">
        <v>0</v>
      </c>
      <c r="U85" s="404">
        <v>0</v>
      </c>
      <c r="V85" s="472">
        <v>0</v>
      </c>
      <c r="W85" s="765">
        <f>V84*(F84/100)</f>
        <v>0</v>
      </c>
      <c r="X85" s="776"/>
      <c r="Y85" s="774" t="str">
        <f>IFERROR(INT($AA$1/(F84/100)),"")</f>
        <v/>
      </c>
      <c r="Z85" s="494" t="str">
        <f>IFERROR(IF(C85&lt;&gt;"",$Y$1/(D83/100)*(C85/100),""),"")</f>
        <v/>
      </c>
      <c r="AA85" s="622" t="str">
        <f>IFERROR($AA$1/(D85/100)*(C83/100),"")</f>
        <v/>
      </c>
      <c r="AB85" s="38"/>
      <c r="AC85" s="11"/>
    </row>
    <row r="86" spans="1:29" ht="12.75" customHeight="1">
      <c r="A86" s="682" t="s">
        <v>596</v>
      </c>
      <c r="B86" s="340">
        <v>5878</v>
      </c>
      <c r="C86" s="338">
        <v>81.5</v>
      </c>
      <c r="D86" s="338">
        <v>82.18</v>
      </c>
      <c r="E86" s="340">
        <v>8409</v>
      </c>
      <c r="F86" s="830">
        <v>81.5</v>
      </c>
      <c r="G86" s="514">
        <v>-6.0000000000000001E-3</v>
      </c>
      <c r="H86" s="339">
        <v>82</v>
      </c>
      <c r="I86" s="320">
        <v>82.6</v>
      </c>
      <c r="J86" s="320">
        <v>81</v>
      </c>
      <c r="K86" s="385">
        <v>82</v>
      </c>
      <c r="L86" s="355">
        <v>23280</v>
      </c>
      <c r="M86" s="324">
        <v>28516</v>
      </c>
      <c r="N86" s="355">
        <v>51</v>
      </c>
      <c r="O86" s="438">
        <v>45310.682488425926</v>
      </c>
      <c r="P86" s="448">
        <v>85</v>
      </c>
      <c r="Q86" s="388">
        <v>0</v>
      </c>
      <c r="R86" s="413">
        <v>0</v>
      </c>
      <c r="S86" s="421">
        <v>0</v>
      </c>
      <c r="T86" s="349">
        <v>0</v>
      </c>
      <c r="U86" s="403">
        <v>0</v>
      </c>
      <c r="V86" s="751">
        <v>0</v>
      </c>
      <c r="W86" s="752">
        <f t="shared" ref="W86" si="50">(V86*X86)</f>
        <v>0</v>
      </c>
      <c r="X86" s="753"/>
      <c r="Y86" s="748">
        <f>IF(D86&lt;&gt;0,($C87*(1-$V$1))-$D86,0)</f>
        <v>-0.78000000000000114</v>
      </c>
      <c r="Z86" s="493">
        <f>IFERROR(IF(C86&lt;&gt;"",$Y$1/(D82/100)*(C86/100),""),"")</f>
        <v>81.5</v>
      </c>
      <c r="AA86" s="621">
        <f>IFERROR($Z$1/(D86/100)*(C82/100),"")</f>
        <v>103094.09223655389</v>
      </c>
      <c r="AB86" s="38"/>
      <c r="AC86" s="11"/>
    </row>
    <row r="87" spans="1:29" ht="12.75" customHeight="1">
      <c r="A87" s="736" t="s">
        <v>597</v>
      </c>
      <c r="B87" s="737">
        <v>135</v>
      </c>
      <c r="C87" s="738">
        <v>81.400000000000006</v>
      </c>
      <c r="D87" s="738">
        <v>82</v>
      </c>
      <c r="E87" s="737">
        <v>5000</v>
      </c>
      <c r="F87" s="739">
        <v>82.2</v>
      </c>
      <c r="G87" s="740">
        <v>8.5000000000000006E-3</v>
      </c>
      <c r="H87" s="711">
        <v>82.8</v>
      </c>
      <c r="I87" s="712">
        <v>82.8</v>
      </c>
      <c r="J87" s="712">
        <v>80.739999999999995</v>
      </c>
      <c r="K87" s="744">
        <v>81.5</v>
      </c>
      <c r="L87" s="695">
        <v>593482</v>
      </c>
      <c r="M87" s="714">
        <v>728529</v>
      </c>
      <c r="N87" s="695">
        <v>690</v>
      </c>
      <c r="O87" s="696">
        <v>45310.706145833334</v>
      </c>
      <c r="P87" s="697">
        <v>86</v>
      </c>
      <c r="Q87" s="698">
        <v>0</v>
      </c>
      <c r="R87" s="741">
        <v>0</v>
      </c>
      <c r="S87" s="700">
        <v>0</v>
      </c>
      <c r="T87" s="717">
        <v>0</v>
      </c>
      <c r="U87" s="679">
        <v>0</v>
      </c>
      <c r="V87" s="756">
        <v>0</v>
      </c>
      <c r="W87" s="762">
        <f>V86*(F86/100)</f>
        <v>0</v>
      </c>
      <c r="X87" s="755"/>
      <c r="Y87" s="749">
        <f>IFERROR(INT($Z$1/(F86/100)),"")</f>
        <v>104</v>
      </c>
      <c r="Z87" s="729">
        <f>IFERROR(IF(C87&lt;&gt;"",$Y$1/(D83/100)*(C87/100),""),"")</f>
        <v>80.633977216443796</v>
      </c>
      <c r="AA87" s="742">
        <f>IFERROR($Z$1/(D87/100)*(C83/100),"")</f>
        <v>104406.89024390244</v>
      </c>
      <c r="AB87" s="38"/>
    </row>
    <row r="88" spans="1:29" ht="12.75" customHeight="1">
      <c r="A88" s="410" t="s">
        <v>600</v>
      </c>
      <c r="B88" s="358">
        <v>855</v>
      </c>
      <c r="C88" s="497">
        <v>31860</v>
      </c>
      <c r="D88" s="372">
        <v>33000</v>
      </c>
      <c r="E88" s="358">
        <v>266</v>
      </c>
      <c r="F88" s="425">
        <v>33000</v>
      </c>
      <c r="G88" s="510">
        <v>-2.6499999999999999E-2</v>
      </c>
      <c r="H88" s="329">
        <v>32000</v>
      </c>
      <c r="I88" s="321">
        <v>33300</v>
      </c>
      <c r="J88" s="321">
        <v>31600</v>
      </c>
      <c r="K88" s="384">
        <v>33900</v>
      </c>
      <c r="L88" s="367">
        <v>4729439</v>
      </c>
      <c r="M88" s="325">
        <v>14516</v>
      </c>
      <c r="N88" s="367">
        <v>38</v>
      </c>
      <c r="O88" s="435">
        <v>45310.674733796295</v>
      </c>
      <c r="P88" s="448">
        <v>87</v>
      </c>
      <c r="Q88" s="390">
        <v>0</v>
      </c>
      <c r="R88" s="411">
        <v>0</v>
      </c>
      <c r="S88" s="419">
        <v>0</v>
      </c>
      <c r="T88" s="351">
        <v>0</v>
      </c>
      <c r="U88" s="734">
        <v>0</v>
      </c>
      <c r="V88" s="470"/>
      <c r="W88" s="757">
        <f t="shared" ref="W88" si="51">(V88*X88)</f>
        <v>0</v>
      </c>
      <c r="X88" s="758"/>
      <c r="Y88" s="669">
        <f>IF(D88&lt;&gt;0,($C89*(1-$V$1))-$D88,0)</f>
        <v>200</v>
      </c>
      <c r="Z88" s="670"/>
      <c r="AA88" s="535"/>
      <c r="AB88" s="38"/>
    </row>
    <row r="89" spans="1:29" ht="12.75" customHeight="1">
      <c r="A89" s="408" t="s">
        <v>601</v>
      </c>
      <c r="B89" s="334">
        <v>3292</v>
      </c>
      <c r="C89" s="335">
        <v>33200</v>
      </c>
      <c r="D89" s="335">
        <v>33290</v>
      </c>
      <c r="E89" s="334">
        <v>4388</v>
      </c>
      <c r="F89" s="336">
        <v>33290</v>
      </c>
      <c r="G89" s="513">
        <v>1.8000000000000002E-2</v>
      </c>
      <c r="H89" s="328">
        <v>32700</v>
      </c>
      <c r="I89" s="319">
        <v>33400</v>
      </c>
      <c r="J89" s="319">
        <v>32000</v>
      </c>
      <c r="K89" s="382">
        <v>32700</v>
      </c>
      <c r="L89" s="326">
        <v>80626760</v>
      </c>
      <c r="M89" s="323">
        <v>245182</v>
      </c>
      <c r="N89" s="326">
        <v>333</v>
      </c>
      <c r="O89" s="436">
        <v>45310.705879629626</v>
      </c>
      <c r="P89" s="447">
        <v>88</v>
      </c>
      <c r="Q89" s="387">
        <v>0</v>
      </c>
      <c r="R89" s="412">
        <v>0</v>
      </c>
      <c r="S89" s="416">
        <v>0</v>
      </c>
      <c r="T89" s="350">
        <v>0</v>
      </c>
      <c r="U89" s="404">
        <v>0</v>
      </c>
      <c r="V89" s="471">
        <v>0</v>
      </c>
      <c r="W89" s="763">
        <f>V88*(F88/100)</f>
        <v>0</v>
      </c>
      <c r="X89" s="760"/>
      <c r="Y89" s="750">
        <f>IFERROR(INT($Y$1/(F88/100)),"")</f>
        <v>303</v>
      </c>
      <c r="Z89" s="666"/>
      <c r="AA89" s="536"/>
      <c r="AB89" s="38"/>
    </row>
    <row r="90" spans="1:29" ht="12.75" customHeight="1">
      <c r="A90" s="341" t="s">
        <v>602</v>
      </c>
      <c r="B90" s="337"/>
      <c r="C90" s="338"/>
      <c r="D90" s="338"/>
      <c r="E90" s="337"/>
      <c r="F90" s="830"/>
      <c r="G90" s="514"/>
      <c r="H90" s="339"/>
      <c r="I90" s="320"/>
      <c r="J90" s="320"/>
      <c r="K90" s="385">
        <v>30.7</v>
      </c>
      <c r="L90" s="355"/>
      <c r="M90" s="324"/>
      <c r="N90" s="355"/>
      <c r="O90" s="438"/>
      <c r="P90" s="448">
        <v>89</v>
      </c>
      <c r="Q90" s="388">
        <v>0</v>
      </c>
      <c r="R90" s="413">
        <v>0</v>
      </c>
      <c r="S90" s="421">
        <v>0</v>
      </c>
      <c r="T90" s="349">
        <v>0</v>
      </c>
      <c r="U90" s="403">
        <v>0</v>
      </c>
      <c r="V90" s="473"/>
      <c r="W90" s="764">
        <f t="shared" ref="W90" si="52">(V90*X90)</f>
        <v>0</v>
      </c>
      <c r="X90" s="775"/>
      <c r="Y90" s="766">
        <f>IF(D90&lt;&gt;0,($C91*(1-$V$1))-$D90,0)</f>
        <v>0</v>
      </c>
      <c r="Z90" s="495" t="str">
        <f>IFERROR(IF(C90&lt;&gt;"",$Y$1/(D88/100)*(C90/100),""),"")</f>
        <v/>
      </c>
      <c r="AA90" s="620" t="str">
        <f>IFERROR($AA$1/(D90/100)*(C88/100),"")</f>
        <v/>
      </c>
      <c r="AB90" s="38"/>
    </row>
    <row r="91" spans="1:29" ht="12.75" customHeight="1">
      <c r="A91" s="450" t="s">
        <v>603</v>
      </c>
      <c r="B91" s="333"/>
      <c r="C91" s="335"/>
      <c r="D91" s="335">
        <v>28.5</v>
      </c>
      <c r="E91" s="333">
        <v>50000</v>
      </c>
      <c r="F91" s="336"/>
      <c r="G91" s="513"/>
      <c r="H91" s="328"/>
      <c r="I91" s="319"/>
      <c r="J91" s="319"/>
      <c r="K91" s="382">
        <v>31</v>
      </c>
      <c r="L91" s="326"/>
      <c r="M91" s="323"/>
      <c r="N91" s="326"/>
      <c r="O91" s="436"/>
      <c r="P91" s="447">
        <v>90</v>
      </c>
      <c r="Q91" s="387">
        <v>0</v>
      </c>
      <c r="R91" s="412">
        <v>0</v>
      </c>
      <c r="S91" s="416">
        <v>0</v>
      </c>
      <c r="T91" s="350">
        <v>0</v>
      </c>
      <c r="U91" s="404">
        <v>0</v>
      </c>
      <c r="V91" s="472">
        <v>0</v>
      </c>
      <c r="W91" s="765">
        <f>V90*(F90/100)</f>
        <v>0</v>
      </c>
      <c r="X91" s="776"/>
      <c r="Y91" s="774" t="str">
        <f>IFERROR(INT($AA$1/(F90/100)),"")</f>
        <v/>
      </c>
      <c r="Z91" s="494" t="str">
        <f>IFERROR(IF(C91&lt;&gt;"",$Y$1/(D89/100)*(C91/100),""),"")</f>
        <v/>
      </c>
      <c r="AA91" s="622">
        <f>IFERROR($AA$1/(D91/100)*(C89/100),"")</f>
        <v>116491.22807017545</v>
      </c>
      <c r="AB91" s="38"/>
    </row>
    <row r="92" spans="1:29" ht="12.75" customHeight="1">
      <c r="A92" s="682" t="s">
        <v>604</v>
      </c>
      <c r="B92" s="340">
        <v>100</v>
      </c>
      <c r="C92" s="338">
        <v>28</v>
      </c>
      <c r="D92" s="338">
        <v>29</v>
      </c>
      <c r="E92" s="340">
        <v>7165</v>
      </c>
      <c r="F92" s="830">
        <v>27.65</v>
      </c>
      <c r="G92" s="514">
        <v>-2.4900000000000002E-2</v>
      </c>
      <c r="H92" s="339">
        <v>27.2</v>
      </c>
      <c r="I92" s="320">
        <v>31.5</v>
      </c>
      <c r="J92" s="320">
        <v>27.05</v>
      </c>
      <c r="K92" s="385">
        <v>28</v>
      </c>
      <c r="L92" s="355">
        <v>9038</v>
      </c>
      <c r="M92" s="324">
        <v>30093</v>
      </c>
      <c r="N92" s="355">
        <v>25</v>
      </c>
      <c r="O92" s="438">
        <v>45310.654224537036</v>
      </c>
      <c r="P92" s="448">
        <v>91</v>
      </c>
      <c r="Q92" s="388">
        <v>0</v>
      </c>
      <c r="R92" s="413">
        <v>0</v>
      </c>
      <c r="S92" s="421">
        <v>0</v>
      </c>
      <c r="T92" s="349">
        <v>0</v>
      </c>
      <c r="U92" s="403">
        <v>0</v>
      </c>
      <c r="V92" s="751">
        <v>0</v>
      </c>
      <c r="W92" s="752">
        <f t="shared" ref="W92" si="53">(V92*X92)</f>
        <v>0</v>
      </c>
      <c r="X92" s="753"/>
      <c r="Y92" s="748">
        <f>IF(D92&lt;&gt;0,($C93*(1-$V$1))-$D92,0)</f>
        <v>-1.3769999999999989</v>
      </c>
      <c r="Z92" s="493">
        <f>IFERROR(IF(C92&lt;&gt;"",$Y$1/(D88/100)*(C92/100),""),"")</f>
        <v>84.848484848484844</v>
      </c>
      <c r="AA92" s="621">
        <f>IFERROR($Z$1/(D92/100)*(C88/100),"")</f>
        <v>93217.965517241391</v>
      </c>
      <c r="AB92" s="38"/>
    </row>
    <row r="93" spans="1:29" ht="12.75" customHeight="1">
      <c r="A93" s="736" t="s">
        <v>605</v>
      </c>
      <c r="B93" s="737">
        <v>1590</v>
      </c>
      <c r="C93" s="738">
        <v>27.623000000000001</v>
      </c>
      <c r="D93" s="738">
        <v>28.4</v>
      </c>
      <c r="E93" s="737">
        <v>100</v>
      </c>
      <c r="F93" s="739">
        <v>27.623000000000001</v>
      </c>
      <c r="G93" s="740">
        <v>-1.34E-2</v>
      </c>
      <c r="H93" s="711">
        <v>28.75</v>
      </c>
      <c r="I93" s="712">
        <v>28.75</v>
      </c>
      <c r="J93" s="712">
        <v>27.52</v>
      </c>
      <c r="K93" s="744">
        <v>28</v>
      </c>
      <c r="L93" s="695">
        <v>18772</v>
      </c>
      <c r="M93" s="714">
        <v>67662</v>
      </c>
      <c r="N93" s="695">
        <v>87</v>
      </c>
      <c r="O93" s="696">
        <v>45310.706157407411</v>
      </c>
      <c r="P93" s="697">
        <v>92</v>
      </c>
      <c r="Q93" s="698">
        <v>0</v>
      </c>
      <c r="R93" s="741">
        <v>0</v>
      </c>
      <c r="S93" s="700">
        <v>0</v>
      </c>
      <c r="T93" s="717">
        <v>0</v>
      </c>
      <c r="U93" s="679">
        <v>0</v>
      </c>
      <c r="V93" s="756">
        <v>0</v>
      </c>
      <c r="W93" s="762">
        <f>V92*(F92/100)</f>
        <v>0</v>
      </c>
      <c r="X93" s="755"/>
      <c r="Y93" s="749">
        <f>IFERROR(INT($Z$1/(F92/100)),"")</f>
        <v>306</v>
      </c>
      <c r="Z93" s="729">
        <f>IFERROR(IF(C93&lt;&gt;"",$Y$1/(D89/100)*(C93/100),""),"")</f>
        <v>82.976869930910198</v>
      </c>
      <c r="AA93" s="742">
        <f>IFERROR($Z$1/(D93/100)*(C89/100),"")</f>
        <v>99190.84507042254</v>
      </c>
      <c r="AB93" s="38"/>
    </row>
    <row r="94" spans="1:29" ht="12.75" customHeight="1">
      <c r="A94" s="410" t="s">
        <v>571</v>
      </c>
      <c r="B94" s="358">
        <v>1347</v>
      </c>
      <c r="C94" s="497">
        <v>44555</v>
      </c>
      <c r="D94" s="372">
        <v>44700</v>
      </c>
      <c r="E94" s="358">
        <v>199</v>
      </c>
      <c r="F94" s="425">
        <v>44555</v>
      </c>
      <c r="G94" s="510">
        <v>1.1999999999999999E-3</v>
      </c>
      <c r="H94" s="329">
        <v>45100</v>
      </c>
      <c r="I94" s="321">
        <v>45200</v>
      </c>
      <c r="J94" s="321">
        <v>43980</v>
      </c>
      <c r="K94" s="384">
        <v>44500</v>
      </c>
      <c r="L94" s="367">
        <v>181297293</v>
      </c>
      <c r="M94" s="325">
        <v>407897</v>
      </c>
      <c r="N94" s="367">
        <v>593</v>
      </c>
      <c r="O94" s="435">
        <v>45310.6877662037</v>
      </c>
      <c r="P94" s="448">
        <v>93</v>
      </c>
      <c r="Q94" s="390">
        <v>0</v>
      </c>
      <c r="R94" s="411">
        <v>0</v>
      </c>
      <c r="S94" s="419">
        <v>0</v>
      </c>
      <c r="T94" s="351">
        <v>0</v>
      </c>
      <c r="U94" s="734">
        <v>0</v>
      </c>
      <c r="V94" s="470"/>
      <c r="W94" s="757">
        <f t="shared" ref="W94" si="54">(V94*X94)</f>
        <v>0</v>
      </c>
      <c r="X94" s="758"/>
      <c r="Y94" s="669">
        <f>IF(D94&lt;&gt;0,($C95*(1-$V$1))-$D94,0)</f>
        <v>225</v>
      </c>
      <c r="Z94" s="670"/>
      <c r="AA94" s="535"/>
      <c r="AB94" s="38"/>
    </row>
    <row r="95" spans="1:29" ht="12.75" customHeight="1">
      <c r="A95" s="408" t="s">
        <v>183</v>
      </c>
      <c r="B95" s="334">
        <v>200</v>
      </c>
      <c r="C95" s="335">
        <v>44925</v>
      </c>
      <c r="D95" s="335">
        <v>45100</v>
      </c>
      <c r="E95" s="334">
        <v>78</v>
      </c>
      <c r="F95" s="336">
        <v>45100</v>
      </c>
      <c r="G95" s="513">
        <v>4.5999999999999999E-3</v>
      </c>
      <c r="H95" s="328">
        <v>45990</v>
      </c>
      <c r="I95" s="319">
        <v>45990</v>
      </c>
      <c r="J95" s="319">
        <v>42900</v>
      </c>
      <c r="K95" s="382">
        <v>44890</v>
      </c>
      <c r="L95" s="326">
        <v>1553815864</v>
      </c>
      <c r="M95" s="323">
        <v>3462813</v>
      </c>
      <c r="N95" s="326">
        <v>1444</v>
      </c>
      <c r="O95" s="436">
        <v>45310.708518518521</v>
      </c>
      <c r="P95" s="447">
        <v>94</v>
      </c>
      <c r="Q95" s="387">
        <v>0</v>
      </c>
      <c r="R95" s="412">
        <v>0</v>
      </c>
      <c r="S95" s="416">
        <v>0</v>
      </c>
      <c r="T95" s="350">
        <v>0</v>
      </c>
      <c r="U95" s="404">
        <v>0</v>
      </c>
      <c r="V95" s="471">
        <v>0</v>
      </c>
      <c r="W95" s="763">
        <f>V94*(F94/100)</f>
        <v>0</v>
      </c>
      <c r="X95" s="760"/>
      <c r="Y95" s="750">
        <f>IFERROR(INT($Y$1/(F94/100)),"")</f>
        <v>224</v>
      </c>
      <c r="Z95" s="666"/>
      <c r="AA95" s="536"/>
      <c r="AB95" s="38"/>
    </row>
    <row r="96" spans="1:29" ht="12.75" customHeight="1">
      <c r="A96" s="341" t="s">
        <v>572</v>
      </c>
      <c r="B96" s="337"/>
      <c r="C96" s="338"/>
      <c r="D96" s="338"/>
      <c r="E96" s="337"/>
      <c r="F96" s="830"/>
      <c r="G96" s="514"/>
      <c r="H96" s="339"/>
      <c r="I96" s="320"/>
      <c r="J96" s="320"/>
      <c r="K96" s="385">
        <v>30.875</v>
      </c>
      <c r="L96" s="355"/>
      <c r="M96" s="324"/>
      <c r="N96" s="355"/>
      <c r="O96" s="438"/>
      <c r="P96" s="448">
        <v>95</v>
      </c>
      <c r="Q96" s="388">
        <v>0</v>
      </c>
      <c r="R96" s="413">
        <v>0</v>
      </c>
      <c r="S96" s="421">
        <v>0</v>
      </c>
      <c r="T96" s="349">
        <v>0</v>
      </c>
      <c r="U96" s="403">
        <v>0</v>
      </c>
      <c r="V96" s="473"/>
      <c r="W96" s="764">
        <f t="shared" ref="W96" si="55">(V96*X96)</f>
        <v>0</v>
      </c>
      <c r="X96" s="775"/>
      <c r="Y96" s="766">
        <f>IF(D96&lt;&gt;0,($C97*(1-$V$1))-$D96,0)</f>
        <v>0</v>
      </c>
      <c r="Z96" s="495" t="str">
        <f>IFERROR(IF(C96&lt;&gt;"",$Y$1/(D94/100)*(C96/100),""),"")</f>
        <v/>
      </c>
      <c r="AA96" s="620" t="str">
        <f>IFERROR($AA$1/(D96/100)*(C94/100),"")</f>
        <v/>
      </c>
      <c r="AB96" s="38"/>
    </row>
    <row r="97" spans="1:28" ht="12.75" customHeight="1">
      <c r="A97" s="450" t="s">
        <v>230</v>
      </c>
      <c r="B97" s="333"/>
      <c r="C97" s="335"/>
      <c r="D97" s="335"/>
      <c r="E97" s="333"/>
      <c r="F97" s="336"/>
      <c r="G97" s="513"/>
      <c r="H97" s="328"/>
      <c r="I97" s="319"/>
      <c r="J97" s="319"/>
      <c r="K97" s="382">
        <v>35.875</v>
      </c>
      <c r="L97" s="326"/>
      <c r="M97" s="323"/>
      <c r="N97" s="326"/>
      <c r="O97" s="436"/>
      <c r="P97" s="447">
        <v>96</v>
      </c>
      <c r="Q97" s="387">
        <v>0</v>
      </c>
      <c r="R97" s="412">
        <v>0</v>
      </c>
      <c r="S97" s="416">
        <v>0</v>
      </c>
      <c r="T97" s="350">
        <v>0</v>
      </c>
      <c r="U97" s="404">
        <v>0</v>
      </c>
      <c r="V97" s="472">
        <v>0</v>
      </c>
      <c r="W97" s="765">
        <f>V96*(F96/100)</f>
        <v>0</v>
      </c>
      <c r="X97" s="776"/>
      <c r="Y97" s="774" t="str">
        <f>IFERROR(INT($AA$1/(F96/100)),"")</f>
        <v/>
      </c>
      <c r="Z97" s="494" t="str">
        <f>IFERROR(IF(C97&lt;&gt;"",$Y$1/(D95/100)*(C97/100),""),"")</f>
        <v/>
      </c>
      <c r="AA97" s="622" t="str">
        <f>IFERROR($AA$1/(D97/100)*(C95/100),"")</f>
        <v/>
      </c>
      <c r="AB97" s="38"/>
    </row>
    <row r="98" spans="1:28" ht="12.75" customHeight="1">
      <c r="A98" s="682" t="s">
        <v>573</v>
      </c>
      <c r="B98" s="340">
        <v>138</v>
      </c>
      <c r="C98" s="338">
        <v>36.499000000000002</v>
      </c>
      <c r="D98" s="338">
        <v>36.75</v>
      </c>
      <c r="E98" s="340">
        <v>50</v>
      </c>
      <c r="F98" s="830">
        <v>36.499000000000002</v>
      </c>
      <c r="G98" s="514">
        <v>-1.3500000000000002E-2</v>
      </c>
      <c r="H98" s="339">
        <v>36.15</v>
      </c>
      <c r="I98" s="320">
        <v>36.69</v>
      </c>
      <c r="J98" s="320">
        <v>35.654000000000003</v>
      </c>
      <c r="K98" s="385">
        <v>37</v>
      </c>
      <c r="L98" s="355">
        <v>78859</v>
      </c>
      <c r="M98" s="324">
        <v>216875</v>
      </c>
      <c r="N98" s="355">
        <v>154</v>
      </c>
      <c r="O98" s="438">
        <v>45310.684999999998</v>
      </c>
      <c r="P98" s="448">
        <v>97</v>
      </c>
      <c r="Q98" s="388">
        <v>0</v>
      </c>
      <c r="R98" s="413">
        <v>0</v>
      </c>
      <c r="S98" s="421">
        <v>0</v>
      </c>
      <c r="T98" s="349">
        <v>0</v>
      </c>
      <c r="U98" s="403">
        <v>0</v>
      </c>
      <c r="V98" s="751">
        <v>0</v>
      </c>
      <c r="W98" s="752">
        <f t="shared" ref="W98" si="56">(V98*X98)</f>
        <v>0</v>
      </c>
      <c r="X98" s="753"/>
      <c r="Y98" s="748">
        <f>IF(D98&lt;&gt;0,($C99*(1-$V$1))-$D98,0)</f>
        <v>-0.45000000000000284</v>
      </c>
      <c r="Z98" s="493">
        <f>IFERROR(IF(C98&lt;&gt;"",$Y$1/(D94/100)*(C98/100),""),"")</f>
        <v>81.653243847874734</v>
      </c>
      <c r="AA98" s="621">
        <f>IFERROR($Z$1/(D98/100)*(C94/100),"")</f>
        <v>102870.52380952382</v>
      </c>
      <c r="AB98" s="38"/>
    </row>
    <row r="99" spans="1:28" ht="12.75" customHeight="1">
      <c r="A99" s="736" t="s">
        <v>231</v>
      </c>
      <c r="B99" s="737">
        <v>5000</v>
      </c>
      <c r="C99" s="738">
        <v>36.299999999999997</v>
      </c>
      <c r="D99" s="738">
        <v>36.65</v>
      </c>
      <c r="E99" s="737">
        <v>4397</v>
      </c>
      <c r="F99" s="739">
        <v>36.65</v>
      </c>
      <c r="G99" s="740">
        <v>1.2999999999999999E-3</v>
      </c>
      <c r="H99" s="711">
        <v>36.69</v>
      </c>
      <c r="I99" s="712">
        <v>37.119999999999997</v>
      </c>
      <c r="J99" s="712">
        <v>35.534999999999997</v>
      </c>
      <c r="K99" s="744">
        <v>36.6</v>
      </c>
      <c r="L99" s="695">
        <v>105190</v>
      </c>
      <c r="M99" s="714">
        <v>287933</v>
      </c>
      <c r="N99" s="695">
        <v>224</v>
      </c>
      <c r="O99" s="696">
        <v>45310.701203703706</v>
      </c>
      <c r="P99" s="697">
        <v>98</v>
      </c>
      <c r="Q99" s="698">
        <v>0</v>
      </c>
      <c r="R99" s="741">
        <v>0</v>
      </c>
      <c r="S99" s="700">
        <v>0</v>
      </c>
      <c r="T99" s="717">
        <v>0</v>
      </c>
      <c r="U99" s="679">
        <v>0</v>
      </c>
      <c r="V99" s="756">
        <v>0</v>
      </c>
      <c r="W99" s="762">
        <f>V98*(F98/100)</f>
        <v>0</v>
      </c>
      <c r="X99" s="755"/>
      <c r="Y99" s="749">
        <f>IFERROR(INT($Z$1/(F98/100)),"")</f>
        <v>232</v>
      </c>
      <c r="Z99" s="729">
        <f>IFERROR(IF(C99&lt;&gt;"",$Y$1/(D95/100)*(C99/100),""),"")</f>
        <v>80.487804878048777</v>
      </c>
      <c r="AA99" s="742">
        <f>IFERROR($Z$1/(D99/100)*(C95/100),"")</f>
        <v>104007.81036834925</v>
      </c>
      <c r="AB99" s="38"/>
    </row>
    <row r="100" spans="1:28" ht="12.75" customHeight="1">
      <c r="A100" s="410" t="s">
        <v>565</v>
      </c>
      <c r="B100" s="358">
        <v>144</v>
      </c>
      <c r="C100" s="497">
        <v>47060</v>
      </c>
      <c r="D100" s="372">
        <v>47630</v>
      </c>
      <c r="E100" s="358">
        <v>513</v>
      </c>
      <c r="F100" s="425">
        <v>47620</v>
      </c>
      <c r="G100" s="510">
        <v>1.66E-2</v>
      </c>
      <c r="H100" s="329">
        <v>46960</v>
      </c>
      <c r="I100" s="321">
        <v>48600</v>
      </c>
      <c r="J100" s="321">
        <v>46510</v>
      </c>
      <c r="K100" s="384">
        <v>46840</v>
      </c>
      <c r="L100" s="367">
        <v>150497012</v>
      </c>
      <c r="M100" s="325">
        <v>320256</v>
      </c>
      <c r="N100" s="367">
        <v>348</v>
      </c>
      <c r="O100" s="435">
        <v>45310.685254629629</v>
      </c>
      <c r="P100" s="448">
        <v>99</v>
      </c>
      <c r="Q100" s="390">
        <v>0</v>
      </c>
      <c r="R100" s="411">
        <v>0</v>
      </c>
      <c r="S100" s="419">
        <v>0</v>
      </c>
      <c r="T100" s="351">
        <v>0</v>
      </c>
      <c r="U100" s="734">
        <v>0</v>
      </c>
      <c r="V100" s="470"/>
      <c r="W100" s="757">
        <f t="shared" ref="W100" si="57">(V100*X100)</f>
        <v>0</v>
      </c>
      <c r="X100" s="758"/>
      <c r="Y100" s="669">
        <f>IF(D100&lt;&gt;0,($C101*(1-$V$1))-$D100,0)</f>
        <v>220</v>
      </c>
      <c r="Z100" s="670"/>
      <c r="AA100" s="535"/>
      <c r="AB100" s="38"/>
    </row>
    <row r="101" spans="1:28" ht="12.75" customHeight="1">
      <c r="A101" s="408" t="s">
        <v>186</v>
      </c>
      <c r="B101" s="334">
        <v>3760</v>
      </c>
      <c r="C101" s="335">
        <v>47850</v>
      </c>
      <c r="D101" s="335">
        <v>47890</v>
      </c>
      <c r="E101" s="334">
        <v>20</v>
      </c>
      <c r="F101" s="336">
        <v>47850</v>
      </c>
      <c r="G101" s="513">
        <v>1.29E-2</v>
      </c>
      <c r="H101" s="328">
        <v>48000</v>
      </c>
      <c r="I101" s="319">
        <v>48000</v>
      </c>
      <c r="J101" s="319">
        <v>46980</v>
      </c>
      <c r="K101" s="382">
        <v>47240</v>
      </c>
      <c r="L101" s="326">
        <v>277726604</v>
      </c>
      <c r="M101" s="323">
        <v>584288</v>
      </c>
      <c r="N101" s="326">
        <v>739</v>
      </c>
      <c r="O101" s="436">
        <v>45310.708472222221</v>
      </c>
      <c r="P101" s="447">
        <v>100</v>
      </c>
      <c r="Q101" s="387">
        <v>0</v>
      </c>
      <c r="R101" s="412">
        <v>0</v>
      </c>
      <c r="S101" s="416">
        <v>0</v>
      </c>
      <c r="T101" s="350">
        <v>0</v>
      </c>
      <c r="U101" s="404">
        <v>0</v>
      </c>
      <c r="V101" s="471">
        <v>0</v>
      </c>
      <c r="W101" s="763">
        <f>V100*(F100/100)</f>
        <v>0</v>
      </c>
      <c r="X101" s="760"/>
      <c r="Y101" s="750">
        <f>IFERROR(INT($Y$1/(F100/100)),"")</f>
        <v>209</v>
      </c>
      <c r="Z101" s="666"/>
      <c r="AA101" s="536"/>
      <c r="AB101" s="38"/>
    </row>
    <row r="102" spans="1:28" ht="12.75" customHeight="1">
      <c r="A102" s="341" t="s">
        <v>566</v>
      </c>
      <c r="B102" s="337"/>
      <c r="C102" s="338"/>
      <c r="D102" s="338"/>
      <c r="E102" s="337"/>
      <c r="F102" s="830"/>
      <c r="G102" s="514"/>
      <c r="H102" s="339"/>
      <c r="I102" s="320"/>
      <c r="J102" s="320"/>
      <c r="K102" s="385">
        <v>22</v>
      </c>
      <c r="L102" s="355"/>
      <c r="M102" s="324"/>
      <c r="N102" s="355"/>
      <c r="O102" s="438"/>
      <c r="P102" s="448">
        <v>101</v>
      </c>
      <c r="Q102" s="388">
        <v>0</v>
      </c>
      <c r="R102" s="413">
        <v>0</v>
      </c>
      <c r="S102" s="421">
        <v>0</v>
      </c>
      <c r="T102" s="349">
        <v>0</v>
      </c>
      <c r="U102" s="403">
        <v>0</v>
      </c>
      <c r="V102" s="473"/>
      <c r="W102" s="764">
        <f t="shared" ref="W102" si="58">(V102*X102)</f>
        <v>0</v>
      </c>
      <c r="X102" s="775"/>
      <c r="Y102" s="766">
        <f>IF(D102&lt;&gt;0,($C103*(1-$V$1))-$D102,0)</f>
        <v>0</v>
      </c>
      <c r="Z102" s="495" t="str">
        <f>IFERROR(IF(C102&lt;&gt;"",$Y$1/(D100/100)*(C102/100),""),"")</f>
        <v/>
      </c>
      <c r="AA102" s="620" t="str">
        <f>IFERROR($AA$1/(D102/100)*(C100/100),"")</f>
        <v/>
      </c>
      <c r="AB102" s="38"/>
    </row>
    <row r="103" spans="1:28" ht="12.75" customHeight="1">
      <c r="A103" s="450" t="s">
        <v>238</v>
      </c>
      <c r="B103" s="333"/>
      <c r="C103" s="335"/>
      <c r="D103" s="335"/>
      <c r="E103" s="333"/>
      <c r="F103" s="336"/>
      <c r="G103" s="513"/>
      <c r="H103" s="328"/>
      <c r="I103" s="319"/>
      <c r="J103" s="319"/>
      <c r="K103" s="382">
        <v>38</v>
      </c>
      <c r="L103" s="326"/>
      <c r="M103" s="323"/>
      <c r="N103" s="326"/>
      <c r="O103" s="436"/>
      <c r="P103" s="447">
        <v>102</v>
      </c>
      <c r="Q103" s="387">
        <v>0</v>
      </c>
      <c r="R103" s="412">
        <v>0</v>
      </c>
      <c r="S103" s="416">
        <v>0</v>
      </c>
      <c r="T103" s="350">
        <v>0</v>
      </c>
      <c r="U103" s="404">
        <v>0</v>
      </c>
      <c r="V103" s="472">
        <v>0</v>
      </c>
      <c r="W103" s="765">
        <f>V102*(F102/100)</f>
        <v>0</v>
      </c>
      <c r="X103" s="776"/>
      <c r="Y103" s="774" t="str">
        <f>IFERROR(INT($AA$1/(F102/100)),"")</f>
        <v/>
      </c>
      <c r="Z103" s="494" t="str">
        <f>IFERROR(IF(C103&lt;&gt;"",$Y$1/(D101/100)*(C103/100),""),"")</f>
        <v/>
      </c>
      <c r="AA103" s="622" t="str">
        <f>IFERROR($AA$1/(D103/100)*(C101/100),"")</f>
        <v/>
      </c>
      <c r="AB103" s="38"/>
    </row>
    <row r="104" spans="1:28" ht="12.75" customHeight="1">
      <c r="A104" s="682" t="s">
        <v>567</v>
      </c>
      <c r="B104" s="340">
        <v>200</v>
      </c>
      <c r="C104" s="338">
        <v>37.65</v>
      </c>
      <c r="D104" s="338">
        <v>38.200000000000003</v>
      </c>
      <c r="E104" s="340">
        <v>317</v>
      </c>
      <c r="F104" s="830">
        <v>38.200000000000003</v>
      </c>
      <c r="G104" s="514">
        <v>-1.1599999999999999E-2</v>
      </c>
      <c r="H104" s="339">
        <v>38.5</v>
      </c>
      <c r="I104" s="320">
        <v>39</v>
      </c>
      <c r="J104" s="320">
        <v>37.5</v>
      </c>
      <c r="K104" s="385">
        <v>38.65</v>
      </c>
      <c r="L104" s="355">
        <v>61739</v>
      </c>
      <c r="M104" s="324">
        <v>160542</v>
      </c>
      <c r="N104" s="355">
        <v>207</v>
      </c>
      <c r="O104" s="438">
        <v>45310.687511574077</v>
      </c>
      <c r="P104" s="448">
        <v>103</v>
      </c>
      <c r="Q104" s="388">
        <v>0</v>
      </c>
      <c r="R104" s="413">
        <v>0</v>
      </c>
      <c r="S104" s="421">
        <v>0</v>
      </c>
      <c r="T104" s="349">
        <v>0</v>
      </c>
      <c r="U104" s="403">
        <v>0</v>
      </c>
      <c r="V104" s="751">
        <v>0</v>
      </c>
      <c r="W104" s="752">
        <f t="shared" ref="W104" si="59">(V104*X104)</f>
        <v>0</v>
      </c>
      <c r="X104" s="753"/>
      <c r="Y104" s="748">
        <f>IF(D104&lt;&gt;0,($C105*(1-$V$1))-$D104,0)</f>
        <v>9.9999999999994316E-2</v>
      </c>
      <c r="Z104" s="493">
        <f>IFERROR(IF(C104&lt;&gt;"",$Y$1/(D100/100)*(C104/100),""),"")</f>
        <v>79.046819231576734</v>
      </c>
      <c r="AA104" s="621">
        <f>IFERROR($Z$1/(D104/100)*(C100/100),"")</f>
        <v>104529.86910994764</v>
      </c>
      <c r="AB104" s="38"/>
    </row>
    <row r="105" spans="1:28" ht="12.75" customHeight="1">
      <c r="A105" s="736" t="s">
        <v>239</v>
      </c>
      <c r="B105" s="737">
        <v>5000</v>
      </c>
      <c r="C105" s="738">
        <v>38.299999999999997</v>
      </c>
      <c r="D105" s="738">
        <v>38.65</v>
      </c>
      <c r="E105" s="737">
        <v>8552</v>
      </c>
      <c r="F105" s="739">
        <v>38.65</v>
      </c>
      <c r="G105" s="740">
        <v>-2.5000000000000001E-3</v>
      </c>
      <c r="H105" s="711">
        <v>38.75</v>
      </c>
      <c r="I105" s="712">
        <v>39</v>
      </c>
      <c r="J105" s="712">
        <v>37.99</v>
      </c>
      <c r="K105" s="744">
        <v>38.75</v>
      </c>
      <c r="L105" s="695">
        <v>43609</v>
      </c>
      <c r="M105" s="714">
        <v>113147</v>
      </c>
      <c r="N105" s="695">
        <v>181</v>
      </c>
      <c r="O105" s="696">
        <v>45310.708506944444</v>
      </c>
      <c r="P105" s="697">
        <v>104</v>
      </c>
      <c r="Q105" s="698">
        <v>0</v>
      </c>
      <c r="R105" s="741">
        <v>0</v>
      </c>
      <c r="S105" s="700">
        <v>0</v>
      </c>
      <c r="T105" s="717">
        <v>0</v>
      </c>
      <c r="U105" s="679">
        <v>0</v>
      </c>
      <c r="V105" s="756">
        <v>0</v>
      </c>
      <c r="W105" s="762">
        <f>V104*(F104/100)</f>
        <v>0</v>
      </c>
      <c r="X105" s="755"/>
      <c r="Y105" s="749">
        <f>IFERROR(INT($Z$1/(F104/100)),"")</f>
        <v>222</v>
      </c>
      <c r="Z105" s="729">
        <f>IFERROR(IF(C105&lt;&gt;"",$Y$1/(D101/100)*(C105/100),""),"")</f>
        <v>79.974942576738343</v>
      </c>
      <c r="AA105" s="742">
        <f>IFERROR($Z$1/(D105/100)*(C101/100),"")</f>
        <v>105047.15394566623</v>
      </c>
      <c r="AB105" s="38"/>
    </row>
    <row r="106" spans="1:28" ht="12.75" customHeight="1">
      <c r="A106" s="410" t="s">
        <v>568</v>
      </c>
      <c r="B106" s="358">
        <v>26</v>
      </c>
      <c r="C106" s="497">
        <v>41050</v>
      </c>
      <c r="D106" s="372">
        <v>41990</v>
      </c>
      <c r="E106" s="358">
        <v>2327</v>
      </c>
      <c r="F106" s="425">
        <v>41545</v>
      </c>
      <c r="G106" s="510">
        <v>-3.7000000000000002E-3</v>
      </c>
      <c r="H106" s="329">
        <v>41610</v>
      </c>
      <c r="I106" s="321">
        <v>42500</v>
      </c>
      <c r="J106" s="321">
        <v>41000</v>
      </c>
      <c r="K106" s="384">
        <v>41700</v>
      </c>
      <c r="L106" s="367">
        <v>250883819</v>
      </c>
      <c r="M106" s="325">
        <v>602867</v>
      </c>
      <c r="N106" s="367">
        <v>481</v>
      </c>
      <c r="O106" s="435">
        <v>45310.681574074071</v>
      </c>
      <c r="P106" s="448">
        <v>105</v>
      </c>
      <c r="Q106" s="390">
        <v>0</v>
      </c>
      <c r="R106" s="411">
        <v>0</v>
      </c>
      <c r="S106" s="419">
        <v>0</v>
      </c>
      <c r="T106" s="351">
        <v>0</v>
      </c>
      <c r="U106" s="734">
        <v>0</v>
      </c>
      <c r="V106" s="470"/>
      <c r="W106" s="757">
        <f t="shared" ref="W106" si="60">(V106*X106)</f>
        <v>0</v>
      </c>
      <c r="X106" s="758"/>
      <c r="Y106" s="669">
        <f>IF(D106&lt;&gt;0,($C107*(1-$V$1))-$D106,0)</f>
        <v>660</v>
      </c>
      <c r="Z106" s="670"/>
      <c r="AA106" s="535"/>
      <c r="AB106" s="38"/>
    </row>
    <row r="107" spans="1:28" ht="12.75" customHeight="1">
      <c r="A107" s="408" t="s">
        <v>184</v>
      </c>
      <c r="B107" s="334">
        <v>26</v>
      </c>
      <c r="C107" s="335">
        <v>42650</v>
      </c>
      <c r="D107" s="335">
        <v>42770</v>
      </c>
      <c r="E107" s="334">
        <v>640</v>
      </c>
      <c r="F107" s="336">
        <v>42770</v>
      </c>
      <c r="G107" s="513">
        <v>2.07E-2</v>
      </c>
      <c r="H107" s="328">
        <v>42000</v>
      </c>
      <c r="I107" s="319">
        <v>42775</v>
      </c>
      <c r="J107" s="319">
        <v>40000</v>
      </c>
      <c r="K107" s="382">
        <v>41900</v>
      </c>
      <c r="L107" s="326">
        <v>1565239768</v>
      </c>
      <c r="M107" s="323">
        <v>3729818</v>
      </c>
      <c r="N107" s="326">
        <v>913</v>
      </c>
      <c r="O107" s="436">
        <v>45310.708402777775</v>
      </c>
      <c r="P107" s="447">
        <v>106</v>
      </c>
      <c r="Q107" s="387">
        <v>0</v>
      </c>
      <c r="R107" s="412">
        <v>0</v>
      </c>
      <c r="S107" s="416">
        <v>0</v>
      </c>
      <c r="T107" s="350">
        <v>0</v>
      </c>
      <c r="U107" s="404">
        <v>0</v>
      </c>
      <c r="V107" s="471">
        <v>0</v>
      </c>
      <c r="W107" s="763">
        <f>V106*(F106/100)</f>
        <v>0</v>
      </c>
      <c r="X107" s="760"/>
      <c r="Y107" s="750">
        <f>IFERROR(INT($Y$1/(F106/100)),"")</f>
        <v>240</v>
      </c>
      <c r="Z107" s="666"/>
      <c r="AA107" s="536"/>
      <c r="AB107" s="38"/>
    </row>
    <row r="108" spans="1:28" ht="12.75" customHeight="1">
      <c r="A108" s="341" t="s">
        <v>569</v>
      </c>
      <c r="B108" s="337"/>
      <c r="C108" s="338"/>
      <c r="D108" s="338"/>
      <c r="E108" s="337"/>
      <c r="F108" s="830"/>
      <c r="G108" s="514"/>
      <c r="H108" s="339"/>
      <c r="I108" s="320"/>
      <c r="J108" s="320"/>
      <c r="K108" s="385">
        <v>26.437999999999999</v>
      </c>
      <c r="L108" s="355"/>
      <c r="M108" s="324"/>
      <c r="N108" s="355"/>
      <c r="O108" s="438"/>
      <c r="P108" s="448">
        <v>107</v>
      </c>
      <c r="Q108" s="388">
        <v>0</v>
      </c>
      <c r="R108" s="413">
        <v>0</v>
      </c>
      <c r="S108" s="421">
        <v>0</v>
      </c>
      <c r="T108" s="349">
        <v>0</v>
      </c>
      <c r="U108" s="403">
        <v>0</v>
      </c>
      <c r="V108" s="473"/>
      <c r="W108" s="764">
        <f t="shared" ref="W108" si="61">(V108*X108)</f>
        <v>0</v>
      </c>
      <c r="X108" s="775"/>
      <c r="Y108" s="766">
        <f>IF(D108&lt;&gt;0,($C109*(1-$V$1))-$D108,0)</f>
        <v>0</v>
      </c>
      <c r="Z108" s="495" t="str">
        <f>IFERROR(IF(C108&lt;&gt;"",$Y$1/(D106/100)*(C108/100),""),"")</f>
        <v/>
      </c>
      <c r="AA108" s="620" t="str">
        <f>IFERROR($AA$1/(D108/100)*(C106/100),"")</f>
        <v/>
      </c>
      <c r="AB108" s="38"/>
    </row>
    <row r="109" spans="1:28" ht="12.75" customHeight="1">
      <c r="A109" s="450" t="s">
        <v>240</v>
      </c>
      <c r="B109" s="333"/>
      <c r="C109" s="335"/>
      <c r="D109" s="335"/>
      <c r="E109" s="333"/>
      <c r="F109" s="336"/>
      <c r="G109" s="513"/>
      <c r="H109" s="328"/>
      <c r="I109" s="319"/>
      <c r="J109" s="319"/>
      <c r="K109" s="382">
        <v>32.188000000000002</v>
      </c>
      <c r="L109" s="326"/>
      <c r="M109" s="323"/>
      <c r="N109" s="326"/>
      <c r="O109" s="436"/>
      <c r="P109" s="447">
        <v>108</v>
      </c>
      <c r="Q109" s="387">
        <v>0</v>
      </c>
      <c r="R109" s="412">
        <v>0</v>
      </c>
      <c r="S109" s="416">
        <v>0</v>
      </c>
      <c r="T109" s="350">
        <v>0</v>
      </c>
      <c r="U109" s="404">
        <v>0</v>
      </c>
      <c r="V109" s="472">
        <v>0</v>
      </c>
      <c r="W109" s="765">
        <f>V108*(F108/100)</f>
        <v>0</v>
      </c>
      <c r="X109" s="776"/>
      <c r="Y109" s="774" t="str">
        <f>IFERROR(INT($AA$1/(F108/100)),"")</f>
        <v/>
      </c>
      <c r="Z109" s="494" t="str">
        <f>IFERROR(IF(C109&lt;&gt;"",$Y$1/(D107/100)*(C109/100),""),"")</f>
        <v/>
      </c>
      <c r="AA109" s="622" t="str">
        <f>IFERROR($AA$1/(D109/100)*(C107/100),"")</f>
        <v/>
      </c>
      <c r="AB109" s="38"/>
    </row>
    <row r="110" spans="1:28" ht="12.75" customHeight="1">
      <c r="A110" s="682" t="s">
        <v>570</v>
      </c>
      <c r="B110" s="340">
        <v>1</v>
      </c>
      <c r="C110" s="338">
        <v>33.587000000000003</v>
      </c>
      <c r="D110" s="338">
        <v>34.5</v>
      </c>
      <c r="E110" s="340">
        <v>580</v>
      </c>
      <c r="F110" s="830">
        <v>33.65</v>
      </c>
      <c r="G110" s="514">
        <v>-1.89E-2</v>
      </c>
      <c r="H110" s="339">
        <v>34.987000000000002</v>
      </c>
      <c r="I110" s="320">
        <v>34.987000000000002</v>
      </c>
      <c r="J110" s="320">
        <v>33.520000000000003</v>
      </c>
      <c r="K110" s="385">
        <v>34.299999999999997</v>
      </c>
      <c r="L110" s="355">
        <v>105963</v>
      </c>
      <c r="M110" s="324">
        <v>312220</v>
      </c>
      <c r="N110" s="355">
        <v>129</v>
      </c>
      <c r="O110" s="438">
        <v>45310.687685185185</v>
      </c>
      <c r="P110" s="448">
        <v>109</v>
      </c>
      <c r="Q110" s="388">
        <v>0</v>
      </c>
      <c r="R110" s="413">
        <v>0</v>
      </c>
      <c r="S110" s="421">
        <v>0</v>
      </c>
      <c r="T110" s="349">
        <v>0</v>
      </c>
      <c r="U110" s="403">
        <v>0</v>
      </c>
      <c r="V110" s="751">
        <v>0</v>
      </c>
      <c r="W110" s="752">
        <f t="shared" ref="W110" si="62">(V110*X110)</f>
        <v>0</v>
      </c>
      <c r="X110" s="753"/>
      <c r="Y110" s="748">
        <f>IF(D110&lt;&gt;0,($C111*(1-$V$1))-$D110,0)</f>
        <v>-0.54999999999999716</v>
      </c>
      <c r="Z110" s="493">
        <f>IFERROR(IF(C110&lt;&gt;"",$Y$1/(D106/100)*(C110/100),""),"")</f>
        <v>79.9880924029531</v>
      </c>
      <c r="AA110" s="621">
        <f>IFERROR($Z$1/(D110/100)*(C106/100),"")</f>
        <v>100959.20289855072</v>
      </c>
      <c r="AB110" s="38"/>
    </row>
    <row r="111" spans="1:28" ht="12.75" customHeight="1">
      <c r="A111" s="736" t="s">
        <v>241</v>
      </c>
      <c r="B111" s="737">
        <v>581</v>
      </c>
      <c r="C111" s="738">
        <v>33.950000000000003</v>
      </c>
      <c r="D111" s="738">
        <v>34</v>
      </c>
      <c r="E111" s="737">
        <v>84089</v>
      </c>
      <c r="F111" s="739">
        <v>34</v>
      </c>
      <c r="G111" s="740">
        <v>-1.3000000000000001E-2</v>
      </c>
      <c r="H111" s="711">
        <v>34.200000000000003</v>
      </c>
      <c r="I111" s="712">
        <v>34.44</v>
      </c>
      <c r="J111" s="712">
        <v>33.76</v>
      </c>
      <c r="K111" s="744">
        <v>34.450000000000003</v>
      </c>
      <c r="L111" s="695">
        <v>59950</v>
      </c>
      <c r="M111" s="714">
        <v>176413</v>
      </c>
      <c r="N111" s="695">
        <v>229</v>
      </c>
      <c r="O111" s="696">
        <v>45310.708472222221</v>
      </c>
      <c r="P111" s="697">
        <v>110</v>
      </c>
      <c r="Q111" s="698">
        <v>0</v>
      </c>
      <c r="R111" s="741">
        <v>0</v>
      </c>
      <c r="S111" s="700">
        <v>0</v>
      </c>
      <c r="T111" s="717">
        <v>0</v>
      </c>
      <c r="U111" s="679">
        <v>0</v>
      </c>
      <c r="V111" s="756">
        <v>0</v>
      </c>
      <c r="W111" s="762">
        <f>V110*(F110/100)</f>
        <v>0</v>
      </c>
      <c r="X111" s="755"/>
      <c r="Y111" s="749">
        <f>IFERROR(INT($Z$1/(F110/100)),"")</f>
        <v>252</v>
      </c>
      <c r="Z111" s="729">
        <f>IFERROR(IF(C111&lt;&gt;"",$Y$1/(D107/100)*(C111/100),""),"")</f>
        <v>79.378068739770882</v>
      </c>
      <c r="AA111" s="742">
        <f>IFERROR($Z$1/(D111/100)*(C107/100),"")</f>
        <v>106436.83823529411</v>
      </c>
      <c r="AB111" s="38"/>
    </row>
    <row r="112" spans="1:28" ht="12.75" customHeight="1">
      <c r="A112" s="410" t="s">
        <v>574</v>
      </c>
      <c r="B112" s="358">
        <v>66</v>
      </c>
      <c r="C112" s="497">
        <v>40605</v>
      </c>
      <c r="D112" s="372">
        <v>40900</v>
      </c>
      <c r="E112" s="358">
        <v>100</v>
      </c>
      <c r="F112" s="425">
        <v>40605</v>
      </c>
      <c r="G112" s="510">
        <v>2.5000000000000001E-3</v>
      </c>
      <c r="H112" s="329">
        <v>41050</v>
      </c>
      <c r="I112" s="321">
        <v>41200</v>
      </c>
      <c r="J112" s="321">
        <v>39620</v>
      </c>
      <c r="K112" s="384">
        <v>40500</v>
      </c>
      <c r="L112" s="367">
        <v>30213778</v>
      </c>
      <c r="M112" s="325">
        <v>74650</v>
      </c>
      <c r="N112" s="367">
        <v>176</v>
      </c>
      <c r="O112" s="435">
        <v>45310.687511574077</v>
      </c>
      <c r="P112" s="448">
        <v>111</v>
      </c>
      <c r="Q112" s="390">
        <v>0</v>
      </c>
      <c r="R112" s="411">
        <v>0</v>
      </c>
      <c r="S112" s="419">
        <v>0</v>
      </c>
      <c r="T112" s="351">
        <v>0</v>
      </c>
      <c r="U112" s="734">
        <v>0</v>
      </c>
      <c r="V112" s="470"/>
      <c r="W112" s="757">
        <f t="shared" ref="W112" si="63">(V112*X112)</f>
        <v>0</v>
      </c>
      <c r="X112" s="758"/>
      <c r="Y112" s="669">
        <f>IF(D112&lt;&gt;0,($C113*(1-$V$1))-$D112,0)</f>
        <v>190</v>
      </c>
      <c r="Z112" s="670"/>
      <c r="AA112" s="535"/>
      <c r="AB112" s="38"/>
    </row>
    <row r="113" spans="1:28" ht="12.75" customHeight="1">
      <c r="A113" s="408" t="s">
        <v>185</v>
      </c>
      <c r="B113" s="334">
        <v>1</v>
      </c>
      <c r="C113" s="335">
        <v>41090</v>
      </c>
      <c r="D113" s="335">
        <v>41300</v>
      </c>
      <c r="E113" s="334">
        <v>92265</v>
      </c>
      <c r="F113" s="336">
        <v>41300</v>
      </c>
      <c r="G113" s="513">
        <v>1.34E-2</v>
      </c>
      <c r="H113" s="328">
        <v>40600</v>
      </c>
      <c r="I113" s="319">
        <v>42285</v>
      </c>
      <c r="J113" s="319">
        <v>39530</v>
      </c>
      <c r="K113" s="382">
        <v>40750</v>
      </c>
      <c r="L113" s="326">
        <v>101293102</v>
      </c>
      <c r="M113" s="323">
        <v>247863</v>
      </c>
      <c r="N113" s="326">
        <v>447</v>
      </c>
      <c r="O113" s="436">
        <v>45310.708564814813</v>
      </c>
      <c r="P113" s="447">
        <v>112</v>
      </c>
      <c r="Q113" s="387">
        <v>0</v>
      </c>
      <c r="R113" s="412">
        <v>0</v>
      </c>
      <c r="S113" s="416">
        <v>0</v>
      </c>
      <c r="T113" s="350">
        <v>0</v>
      </c>
      <c r="U113" s="404">
        <v>0</v>
      </c>
      <c r="V113" s="471">
        <v>0</v>
      </c>
      <c r="W113" s="763">
        <f>V112*(F112/100)</f>
        <v>0</v>
      </c>
      <c r="X113" s="760"/>
      <c r="Y113" s="750">
        <f>IFERROR(INT($Y$1/(F112/100)),"")</f>
        <v>246</v>
      </c>
      <c r="Z113" s="666"/>
      <c r="AA113" s="536"/>
      <c r="AB113" s="38"/>
    </row>
    <row r="114" spans="1:28" ht="12.75" customHeight="1">
      <c r="A114" s="341" t="s">
        <v>575</v>
      </c>
      <c r="B114" s="337"/>
      <c r="C114" s="338"/>
      <c r="D114" s="338"/>
      <c r="E114" s="337"/>
      <c r="F114" s="830"/>
      <c r="G114" s="514"/>
      <c r="H114" s="339"/>
      <c r="I114" s="320"/>
      <c r="J114" s="320"/>
      <c r="K114" s="385">
        <v>23.22</v>
      </c>
      <c r="L114" s="355"/>
      <c r="M114" s="324"/>
      <c r="N114" s="355"/>
      <c r="O114" s="438"/>
      <c r="P114" s="448">
        <v>113</v>
      </c>
      <c r="Q114" s="388">
        <v>0</v>
      </c>
      <c r="R114" s="413">
        <v>0</v>
      </c>
      <c r="S114" s="421">
        <v>0</v>
      </c>
      <c r="T114" s="349">
        <v>0</v>
      </c>
      <c r="U114" s="403">
        <v>0</v>
      </c>
      <c r="V114" s="473"/>
      <c r="W114" s="764">
        <f t="shared" ref="W114" si="64">(V114*X114)</f>
        <v>0</v>
      </c>
      <c r="X114" s="775"/>
      <c r="Y114" s="766">
        <f>IF(D114&lt;&gt;0,($C115*(1-$V$1))-$D114,0)</f>
        <v>0</v>
      </c>
      <c r="Z114" s="495" t="str">
        <f>IFERROR(IF(C114&lt;&gt;"",$Y$1/(D112/100)*(C114/100),""),"")</f>
        <v/>
      </c>
      <c r="AA114" s="620" t="str">
        <f>IFERROR($AA$1/(D114/100)*(C112/100),"")</f>
        <v/>
      </c>
      <c r="AB114" s="38"/>
    </row>
    <row r="115" spans="1:28" ht="12.75" customHeight="1">
      <c r="A115" s="450" t="s">
        <v>242</v>
      </c>
      <c r="B115" s="333"/>
      <c r="C115" s="335"/>
      <c r="D115" s="335"/>
      <c r="E115" s="333"/>
      <c r="F115" s="336"/>
      <c r="G115" s="513"/>
      <c r="H115" s="328"/>
      <c r="I115" s="319"/>
      <c r="J115" s="319"/>
      <c r="K115" s="382">
        <v>26</v>
      </c>
      <c r="L115" s="326"/>
      <c r="M115" s="323"/>
      <c r="N115" s="326"/>
      <c r="O115" s="436"/>
      <c r="P115" s="447">
        <v>114</v>
      </c>
      <c r="Q115" s="387">
        <v>0</v>
      </c>
      <c r="R115" s="412">
        <v>0</v>
      </c>
      <c r="S115" s="416">
        <v>0</v>
      </c>
      <c r="T115" s="350">
        <v>0</v>
      </c>
      <c r="U115" s="404">
        <v>0</v>
      </c>
      <c r="V115" s="472">
        <v>0</v>
      </c>
      <c r="W115" s="765">
        <f>V114*(F114/100)</f>
        <v>0</v>
      </c>
      <c r="X115" s="776"/>
      <c r="Y115" s="774" t="str">
        <f>IFERROR(INT($AA$1/(F114/100)),"")</f>
        <v/>
      </c>
      <c r="Z115" s="494" t="str">
        <f>IFERROR(IF(C115&lt;&gt;"",$Y$1/(D113/100)*(C115/100),""),"")</f>
        <v/>
      </c>
      <c r="AA115" s="622" t="str">
        <f>IFERROR($AA$1/(D115/100)*(C113/100),"")</f>
        <v/>
      </c>
      <c r="AB115" s="38"/>
    </row>
    <row r="116" spans="1:28" ht="12.75" customHeight="1">
      <c r="A116" s="682" t="s">
        <v>576</v>
      </c>
      <c r="B116" s="340">
        <v>1000</v>
      </c>
      <c r="C116" s="338">
        <v>33</v>
      </c>
      <c r="D116" s="338">
        <v>33.6</v>
      </c>
      <c r="E116" s="340">
        <v>11</v>
      </c>
      <c r="F116" s="830">
        <v>33</v>
      </c>
      <c r="G116" s="514">
        <v>-6.0000000000000001E-3</v>
      </c>
      <c r="H116" s="339">
        <v>33.6</v>
      </c>
      <c r="I116" s="320">
        <v>33.6</v>
      </c>
      <c r="J116" s="320">
        <v>32.404000000000003</v>
      </c>
      <c r="K116" s="385">
        <v>33.200000000000003</v>
      </c>
      <c r="L116" s="355">
        <v>22721</v>
      </c>
      <c r="M116" s="324">
        <v>68413</v>
      </c>
      <c r="N116" s="355">
        <v>88</v>
      </c>
      <c r="O116" s="438">
        <v>45310.671493055554</v>
      </c>
      <c r="P116" s="448">
        <v>115</v>
      </c>
      <c r="Q116" s="388">
        <v>0</v>
      </c>
      <c r="R116" s="413">
        <v>0</v>
      </c>
      <c r="S116" s="421">
        <v>0</v>
      </c>
      <c r="T116" s="349">
        <v>0</v>
      </c>
      <c r="U116" s="403">
        <v>0</v>
      </c>
      <c r="V116" s="751">
        <v>0</v>
      </c>
      <c r="W116" s="752">
        <f t="shared" ref="W116" si="65">(V116*X116)</f>
        <v>0</v>
      </c>
      <c r="X116" s="753"/>
      <c r="Y116" s="748">
        <f>IF(D116&lt;&gt;0,($C117*(1-$V$1))-$D116,0)</f>
        <v>-0.60000000000000142</v>
      </c>
      <c r="Z116" s="493">
        <f>IFERROR(IF(C116&lt;&gt;"",$Y$1/(D112/100)*(C116/100),""),"")</f>
        <v>80.684596577017118</v>
      </c>
      <c r="AA116" s="621">
        <f>IFERROR($Z$1/(D116/100)*(C112/100),"")</f>
        <v>102539.70982142857</v>
      </c>
      <c r="AB116" s="38"/>
    </row>
    <row r="117" spans="1:28" ht="12.75" customHeight="1">
      <c r="A117" s="736" t="s">
        <v>243</v>
      </c>
      <c r="B117" s="737">
        <v>1011</v>
      </c>
      <c r="C117" s="738">
        <v>33</v>
      </c>
      <c r="D117" s="738">
        <v>33.531999999999996</v>
      </c>
      <c r="E117" s="737">
        <v>50</v>
      </c>
      <c r="F117" s="739">
        <v>33.6</v>
      </c>
      <c r="G117" s="740"/>
      <c r="H117" s="711">
        <v>34</v>
      </c>
      <c r="I117" s="712">
        <v>34</v>
      </c>
      <c r="J117" s="712">
        <v>32.439</v>
      </c>
      <c r="K117" s="744">
        <v>33.598999999999997</v>
      </c>
      <c r="L117" s="695">
        <v>19448</v>
      </c>
      <c r="M117" s="714">
        <v>58668</v>
      </c>
      <c r="N117" s="695">
        <v>51</v>
      </c>
      <c r="O117" s="696">
        <v>45310.683310185188</v>
      </c>
      <c r="P117" s="697">
        <v>116</v>
      </c>
      <c r="Q117" s="698">
        <v>0</v>
      </c>
      <c r="R117" s="741">
        <v>0</v>
      </c>
      <c r="S117" s="700">
        <v>0</v>
      </c>
      <c r="T117" s="717">
        <v>0</v>
      </c>
      <c r="U117" s="679">
        <v>0</v>
      </c>
      <c r="V117" s="756">
        <v>0</v>
      </c>
      <c r="W117" s="762">
        <f>V116*(F116/100)</f>
        <v>0</v>
      </c>
      <c r="X117" s="755"/>
      <c r="Y117" s="749">
        <f>IFERROR(INT($Z$1/(F116/100)),"")</f>
        <v>257</v>
      </c>
      <c r="Z117" s="729">
        <f>IFERROR(IF(C117&lt;&gt;"",$Y$1/(D113/100)*(C117/100),""),"")</f>
        <v>79.903147699757881</v>
      </c>
      <c r="AA117" s="742">
        <f>IFERROR($Z$1/(D117/100)*(C113/100),"")</f>
        <v>103974.90456877014</v>
      </c>
      <c r="AB117" s="38"/>
    </row>
    <row r="118" spans="1:28" ht="12.75" customHeight="1">
      <c r="A118" s="410" t="s">
        <v>577</v>
      </c>
      <c r="B118" s="358">
        <v>1150</v>
      </c>
      <c r="C118" s="497">
        <v>51500</v>
      </c>
      <c r="D118" s="372">
        <v>52000</v>
      </c>
      <c r="E118" s="358">
        <v>303</v>
      </c>
      <c r="F118" s="425">
        <v>51630</v>
      </c>
      <c r="G118" s="510">
        <v>2.7000000000000001E-3</v>
      </c>
      <c r="H118" s="329">
        <v>52030</v>
      </c>
      <c r="I118" s="321">
        <v>52030</v>
      </c>
      <c r="J118" s="321">
        <v>50010</v>
      </c>
      <c r="K118" s="384">
        <v>51490</v>
      </c>
      <c r="L118" s="367">
        <v>39047715</v>
      </c>
      <c r="M118" s="325">
        <v>75832</v>
      </c>
      <c r="N118" s="367">
        <v>86</v>
      </c>
      <c r="O118" s="435">
        <v>45310.681921296295</v>
      </c>
      <c r="P118" s="448">
        <v>117</v>
      </c>
      <c r="Q118" s="390">
        <v>0</v>
      </c>
      <c r="R118" s="411">
        <v>0</v>
      </c>
      <c r="S118" s="419">
        <v>0</v>
      </c>
      <c r="T118" s="351">
        <v>0</v>
      </c>
      <c r="U118" s="734">
        <v>0</v>
      </c>
      <c r="V118" s="470"/>
      <c r="W118" s="757">
        <f t="shared" ref="W118" si="66">(V118*X118)</f>
        <v>0</v>
      </c>
      <c r="X118" s="758"/>
      <c r="Y118" s="669">
        <f>IF(D118&lt;&gt;0,($C119*(1-$V$1))-$D118,0)</f>
        <v>100</v>
      </c>
      <c r="Z118" s="670"/>
      <c r="AA118" s="535"/>
      <c r="AB118" s="38"/>
    </row>
    <row r="119" spans="1:28" ht="12.75" customHeight="1">
      <c r="A119" s="408" t="s">
        <v>187</v>
      </c>
      <c r="B119" s="334">
        <v>49</v>
      </c>
      <c r="C119" s="335">
        <v>52100</v>
      </c>
      <c r="D119" s="335">
        <v>52500</v>
      </c>
      <c r="E119" s="334">
        <v>100</v>
      </c>
      <c r="F119" s="336">
        <v>52100</v>
      </c>
      <c r="G119" s="513">
        <v>7.9000000000000008E-3</v>
      </c>
      <c r="H119" s="328">
        <v>51690</v>
      </c>
      <c r="I119" s="319">
        <v>54000</v>
      </c>
      <c r="J119" s="319">
        <v>50000</v>
      </c>
      <c r="K119" s="382">
        <v>51690</v>
      </c>
      <c r="L119" s="326">
        <v>199072808</v>
      </c>
      <c r="M119" s="323">
        <v>382482</v>
      </c>
      <c r="N119" s="326">
        <v>358</v>
      </c>
      <c r="O119" s="436">
        <v>45310.708541666667</v>
      </c>
      <c r="P119" s="447">
        <v>118</v>
      </c>
      <c r="Q119" s="387">
        <v>0</v>
      </c>
      <c r="R119" s="412">
        <v>0</v>
      </c>
      <c r="S119" s="416">
        <v>0</v>
      </c>
      <c r="T119" s="350">
        <v>0</v>
      </c>
      <c r="U119" s="404">
        <v>0</v>
      </c>
      <c r="V119" s="471">
        <v>0</v>
      </c>
      <c r="W119" s="763">
        <f>V118*(F118/100)</f>
        <v>0</v>
      </c>
      <c r="X119" s="760"/>
      <c r="Y119" s="750">
        <f>IFERROR(INT($Y$1/(F118/100)),"")</f>
        <v>193</v>
      </c>
      <c r="Z119" s="666"/>
      <c r="AA119" s="536"/>
      <c r="AB119" s="38"/>
    </row>
    <row r="120" spans="1:28" ht="12.75" customHeight="1">
      <c r="A120" s="341" t="s">
        <v>578</v>
      </c>
      <c r="B120" s="337"/>
      <c r="C120" s="338"/>
      <c r="D120" s="338"/>
      <c r="E120" s="337"/>
      <c r="F120" s="830"/>
      <c r="G120" s="514"/>
      <c r="H120" s="339"/>
      <c r="I120" s="320"/>
      <c r="J120" s="320"/>
      <c r="K120" s="385">
        <v>23.3</v>
      </c>
      <c r="L120" s="355"/>
      <c r="M120" s="324"/>
      <c r="N120" s="355"/>
      <c r="O120" s="438"/>
      <c r="P120" s="448">
        <v>119</v>
      </c>
      <c r="Q120" s="388">
        <v>0</v>
      </c>
      <c r="R120" s="413">
        <v>0</v>
      </c>
      <c r="S120" s="421">
        <v>0</v>
      </c>
      <c r="T120" s="349">
        <v>0</v>
      </c>
      <c r="U120" s="403">
        <v>0</v>
      </c>
      <c r="V120" s="473"/>
      <c r="W120" s="764">
        <f t="shared" ref="W120" si="67">(V120*X120)</f>
        <v>0</v>
      </c>
      <c r="X120" s="775"/>
      <c r="Y120" s="766">
        <f>IF(D120&lt;&gt;0,($C121*(1-$V$1))-$D120,0)</f>
        <v>0</v>
      </c>
      <c r="Z120" s="495" t="str">
        <f>IFERROR(IF(C120&lt;&gt;"",$Y$1/(D118/100)*(C120/100),""),"")</f>
        <v/>
      </c>
      <c r="AA120" s="620" t="str">
        <f>IFERROR($Z$1/(D120/100)*(C118/100),"")</f>
        <v/>
      </c>
      <c r="AB120" s="38"/>
    </row>
    <row r="121" spans="1:28" ht="12.75" customHeight="1">
      <c r="A121" s="450" t="s">
        <v>232</v>
      </c>
      <c r="B121" s="333"/>
      <c r="C121" s="335"/>
      <c r="D121" s="335"/>
      <c r="E121" s="333"/>
      <c r="F121" s="336"/>
      <c r="G121" s="513"/>
      <c r="H121" s="328"/>
      <c r="I121" s="319"/>
      <c r="J121" s="319"/>
      <c r="K121" s="382">
        <v>40</v>
      </c>
      <c r="L121" s="326"/>
      <c r="M121" s="323"/>
      <c r="N121" s="326"/>
      <c r="O121" s="436"/>
      <c r="P121" s="447">
        <v>120</v>
      </c>
      <c r="Q121" s="387">
        <v>0</v>
      </c>
      <c r="R121" s="412">
        <v>0</v>
      </c>
      <c r="S121" s="416">
        <v>0</v>
      </c>
      <c r="T121" s="350">
        <v>0</v>
      </c>
      <c r="U121" s="404">
        <v>0</v>
      </c>
      <c r="V121" s="472">
        <v>0</v>
      </c>
      <c r="W121" s="765">
        <f>V120*(F120/100)</f>
        <v>0</v>
      </c>
      <c r="X121" s="776"/>
      <c r="Y121" s="774" t="str">
        <f>IFERROR(INT($AA$1/(F120/100)),"")</f>
        <v/>
      </c>
      <c r="Z121" s="494" t="str">
        <f>IFERROR(IF(C121&lt;&gt;"",$Y$1/(D119/100)*(C121/100),""),"")</f>
        <v/>
      </c>
      <c r="AA121" s="622" t="str">
        <f>IFERROR($Z$1/(D121/100)*(C119/100),"")</f>
        <v/>
      </c>
      <c r="AB121" s="38"/>
    </row>
    <row r="122" spans="1:28" ht="12.75" customHeight="1">
      <c r="A122" s="682" t="s">
        <v>579</v>
      </c>
      <c r="B122" s="340">
        <v>876</v>
      </c>
      <c r="C122" s="338">
        <v>41.05</v>
      </c>
      <c r="D122" s="338">
        <v>43.5</v>
      </c>
      <c r="E122" s="340">
        <v>809</v>
      </c>
      <c r="F122" s="830">
        <v>41</v>
      </c>
      <c r="G122" s="514">
        <v>-4.2000000000000003E-2</v>
      </c>
      <c r="H122" s="339">
        <v>42</v>
      </c>
      <c r="I122" s="320">
        <v>43</v>
      </c>
      <c r="J122" s="320">
        <v>40.901000000000003</v>
      </c>
      <c r="K122" s="385">
        <v>42.8</v>
      </c>
      <c r="L122" s="355">
        <v>11138</v>
      </c>
      <c r="M122" s="324">
        <v>26798</v>
      </c>
      <c r="N122" s="355">
        <v>30</v>
      </c>
      <c r="O122" s="438">
        <v>45310.653912037036</v>
      </c>
      <c r="P122" s="448">
        <v>121</v>
      </c>
      <c r="Q122" s="388">
        <v>0</v>
      </c>
      <c r="R122" s="413">
        <v>0</v>
      </c>
      <c r="S122" s="421">
        <v>0</v>
      </c>
      <c r="T122" s="349">
        <v>0</v>
      </c>
      <c r="U122" s="403">
        <v>0</v>
      </c>
      <c r="V122" s="751">
        <v>0</v>
      </c>
      <c r="W122" s="752">
        <f t="shared" ref="W122" si="68">(V122*X122)</f>
        <v>0</v>
      </c>
      <c r="X122" s="753"/>
      <c r="Y122" s="748">
        <f>IF(D122&lt;&gt;0,($C123*(1-$V$1))-$D122,0)</f>
        <v>-2</v>
      </c>
      <c r="Z122" s="493">
        <f>IFERROR(IF(C122&lt;&gt;"",$Y$1/(D118/100)*(C122/100),""),"")</f>
        <v>78.942307692307693</v>
      </c>
      <c r="AA122" s="621">
        <f>IFERROR($Z$1/(D122/100)*(C118/100),"")</f>
        <v>100454.59770114941</v>
      </c>
      <c r="AB122" s="38"/>
    </row>
    <row r="123" spans="1:28" ht="12.75" customHeight="1">
      <c r="A123" s="736" t="s">
        <v>233</v>
      </c>
      <c r="B123" s="737">
        <v>2593</v>
      </c>
      <c r="C123" s="738">
        <v>41.5</v>
      </c>
      <c r="D123" s="738">
        <v>42</v>
      </c>
      <c r="E123" s="737">
        <v>240</v>
      </c>
      <c r="F123" s="739">
        <v>42</v>
      </c>
      <c r="G123" s="740">
        <v>4.6999999999999993E-3</v>
      </c>
      <c r="H123" s="711">
        <v>42</v>
      </c>
      <c r="I123" s="712">
        <v>44</v>
      </c>
      <c r="J123" s="712">
        <v>40</v>
      </c>
      <c r="K123" s="744">
        <v>41.8</v>
      </c>
      <c r="L123" s="695">
        <v>9986</v>
      </c>
      <c r="M123" s="714">
        <v>23643</v>
      </c>
      <c r="N123" s="695">
        <v>54</v>
      </c>
      <c r="O123" s="696">
        <v>45310.703692129631</v>
      </c>
      <c r="P123" s="697">
        <v>122</v>
      </c>
      <c r="Q123" s="698">
        <v>0</v>
      </c>
      <c r="R123" s="741">
        <v>0</v>
      </c>
      <c r="S123" s="700">
        <v>0</v>
      </c>
      <c r="T123" s="717">
        <v>0</v>
      </c>
      <c r="U123" s="679">
        <v>0</v>
      </c>
      <c r="V123" s="756">
        <v>0</v>
      </c>
      <c r="W123" s="762">
        <f>V122*(F122/100)</f>
        <v>0</v>
      </c>
      <c r="X123" s="755"/>
      <c r="Y123" s="749">
        <f>IFERROR(INT($Z$1/(F122/100)),"")</f>
        <v>206</v>
      </c>
      <c r="Z123" s="729">
        <f>IFERROR(IF(C123&lt;&gt;"",$Y$1/(D119/100)*(C123/100),""),"")</f>
        <v>79.047619047619051</v>
      </c>
      <c r="AA123" s="742">
        <f>IFERROR($Z$1/(D123/100)*(C119/100),"")</f>
        <v>105254.40476190476</v>
      </c>
      <c r="AB123" s="38"/>
    </row>
    <row r="124" spans="1:28" ht="12.75" customHeight="1">
      <c r="A124" s="410" t="s">
        <v>580</v>
      </c>
      <c r="B124" s="358">
        <v>1906</v>
      </c>
      <c r="C124" s="497">
        <v>42950</v>
      </c>
      <c r="D124" s="372">
        <v>43300</v>
      </c>
      <c r="E124" s="358">
        <v>1</v>
      </c>
      <c r="F124" s="425">
        <v>42950</v>
      </c>
      <c r="G124" s="510">
        <v>9.3999999999999986E-3</v>
      </c>
      <c r="H124" s="329">
        <v>42990</v>
      </c>
      <c r="I124" s="321">
        <v>43850</v>
      </c>
      <c r="J124" s="321">
        <v>42100</v>
      </c>
      <c r="K124" s="384">
        <v>42550</v>
      </c>
      <c r="L124" s="367">
        <v>314952790</v>
      </c>
      <c r="M124" s="325">
        <v>736566</v>
      </c>
      <c r="N124" s="367">
        <v>709</v>
      </c>
      <c r="O124" s="435">
        <v>45310.687511574077</v>
      </c>
      <c r="P124" s="448">
        <v>123</v>
      </c>
      <c r="Q124" s="390">
        <v>0</v>
      </c>
      <c r="R124" s="411">
        <v>0</v>
      </c>
      <c r="S124" s="419">
        <v>0</v>
      </c>
      <c r="T124" s="351">
        <v>0</v>
      </c>
      <c r="U124" s="734">
        <v>0</v>
      </c>
      <c r="V124" s="470"/>
      <c r="W124" s="757">
        <f t="shared" ref="W124" si="69">(V124*X124)</f>
        <v>0</v>
      </c>
      <c r="X124" s="758"/>
      <c r="Y124" s="669">
        <f>IF(D124&lt;&gt;0,($C125*(1-$V$1))-$D124,0)</f>
        <v>200</v>
      </c>
      <c r="Z124" s="670"/>
      <c r="AA124" s="535"/>
      <c r="AB124" s="38"/>
    </row>
    <row r="125" spans="1:28" ht="12.75" customHeight="1">
      <c r="A125" s="408" t="s">
        <v>164</v>
      </c>
      <c r="B125" s="334">
        <v>40</v>
      </c>
      <c r="C125" s="335">
        <v>43500</v>
      </c>
      <c r="D125" s="335">
        <v>43645</v>
      </c>
      <c r="E125" s="334">
        <v>11674</v>
      </c>
      <c r="F125" s="336">
        <v>43645</v>
      </c>
      <c r="G125" s="513">
        <v>1.52E-2</v>
      </c>
      <c r="H125" s="328">
        <v>44000</v>
      </c>
      <c r="I125" s="319">
        <v>44000</v>
      </c>
      <c r="J125" s="319">
        <v>42500</v>
      </c>
      <c r="K125" s="382">
        <v>42990</v>
      </c>
      <c r="L125" s="326">
        <v>4910874157</v>
      </c>
      <c r="M125" s="323">
        <v>11391539</v>
      </c>
      <c r="N125" s="326">
        <v>1955</v>
      </c>
      <c r="O125" s="436">
        <v>45310.708344907405</v>
      </c>
      <c r="P125" s="447">
        <v>124</v>
      </c>
      <c r="Q125" s="387">
        <v>0</v>
      </c>
      <c r="R125" s="412">
        <v>0</v>
      </c>
      <c r="S125" s="416">
        <v>0</v>
      </c>
      <c r="T125" s="350">
        <v>0</v>
      </c>
      <c r="U125" s="404">
        <v>0</v>
      </c>
      <c r="V125" s="471">
        <v>0</v>
      </c>
      <c r="W125" s="763">
        <f>V124*(F124/100)</f>
        <v>0</v>
      </c>
      <c r="X125" s="760"/>
      <c r="Y125" s="750">
        <f>IFERROR(INT($Y$1/(F124/100)),"")</f>
        <v>232</v>
      </c>
      <c r="Z125" s="666"/>
      <c r="AA125" s="536"/>
      <c r="AB125" s="38"/>
    </row>
    <row r="126" spans="1:28" ht="12.75" customHeight="1">
      <c r="A126" s="341" t="s">
        <v>581</v>
      </c>
      <c r="B126" s="337"/>
      <c r="C126" s="338"/>
      <c r="D126" s="338"/>
      <c r="E126" s="337"/>
      <c r="F126" s="830"/>
      <c r="G126" s="514"/>
      <c r="H126" s="339"/>
      <c r="I126" s="320"/>
      <c r="J126" s="320"/>
      <c r="K126" s="385">
        <v>35.299999999999997</v>
      </c>
      <c r="L126" s="355"/>
      <c r="M126" s="324"/>
      <c r="N126" s="355"/>
      <c r="O126" s="438"/>
      <c r="P126" s="448">
        <v>125</v>
      </c>
      <c r="Q126" s="388">
        <v>0</v>
      </c>
      <c r="R126" s="413">
        <v>0</v>
      </c>
      <c r="S126" s="421">
        <v>0</v>
      </c>
      <c r="T126" s="349">
        <v>0</v>
      </c>
      <c r="U126" s="403">
        <v>0</v>
      </c>
      <c r="V126" s="473"/>
      <c r="W126" s="764">
        <f t="shared" ref="W126" si="70">(V126*X126)</f>
        <v>0</v>
      </c>
      <c r="X126" s="775"/>
      <c r="Y126" s="766">
        <f>IF(D126&lt;&gt;0,($C127*(1-$V$1))-$D126,0)</f>
        <v>0</v>
      </c>
      <c r="Z126" s="495" t="str">
        <f>IFERROR(IF(C126&lt;&gt;"",$Y$1/(D124/100)*(C126/100),""),"")</f>
        <v/>
      </c>
      <c r="AA126" s="620" t="str">
        <f>IFERROR($AA$1/(D126/100)*(C124/100),"")</f>
        <v/>
      </c>
      <c r="AB126" s="38"/>
    </row>
    <row r="127" spans="1:28" ht="12.75" customHeight="1">
      <c r="A127" s="450" t="s">
        <v>220</v>
      </c>
      <c r="B127" s="333">
        <v>5013</v>
      </c>
      <c r="C127" s="335">
        <v>34.1</v>
      </c>
      <c r="D127" s="335">
        <v>36.5</v>
      </c>
      <c r="E127" s="333">
        <v>5630</v>
      </c>
      <c r="F127" s="336">
        <v>34.1</v>
      </c>
      <c r="G127" s="513">
        <v>-8.6999999999999994E-3</v>
      </c>
      <c r="H127" s="328">
        <v>34.1</v>
      </c>
      <c r="I127" s="319">
        <v>34.1</v>
      </c>
      <c r="J127" s="319">
        <v>34.1</v>
      </c>
      <c r="K127" s="382">
        <v>34.4</v>
      </c>
      <c r="L127" s="326">
        <v>2269</v>
      </c>
      <c r="M127" s="323">
        <v>6654</v>
      </c>
      <c r="N127" s="326">
        <v>3</v>
      </c>
      <c r="O127" s="436">
        <v>45310.602349537039</v>
      </c>
      <c r="P127" s="447">
        <v>126</v>
      </c>
      <c r="Q127" s="387">
        <v>0</v>
      </c>
      <c r="R127" s="412">
        <v>0</v>
      </c>
      <c r="S127" s="416">
        <v>0</v>
      </c>
      <c r="T127" s="350">
        <v>0</v>
      </c>
      <c r="U127" s="404">
        <v>0</v>
      </c>
      <c r="V127" s="472">
        <v>0</v>
      </c>
      <c r="W127" s="765">
        <f>V126*(F126/100)</f>
        <v>0</v>
      </c>
      <c r="X127" s="776"/>
      <c r="Y127" s="774" t="str">
        <f>IFERROR(INT($AA$1/(F126/100)),"")</f>
        <v/>
      </c>
      <c r="Z127" s="494">
        <f>IFERROR(IF(C127&lt;&gt;"",$Y$1/(D125/100)*(C127/100),""),"")</f>
        <v>78.130370030931388</v>
      </c>
      <c r="AA127" s="622">
        <f>IFERROR($AA$1/(D127/100)*(C125/100),"")</f>
        <v>119178.08219178082</v>
      </c>
      <c r="AB127" s="38"/>
    </row>
    <row r="128" spans="1:28" ht="12.75" customHeight="1">
      <c r="A128" s="682" t="s">
        <v>582</v>
      </c>
      <c r="B128" s="340">
        <v>8746</v>
      </c>
      <c r="C128" s="338">
        <v>35</v>
      </c>
      <c r="D128" s="338">
        <v>35.499000000000002</v>
      </c>
      <c r="E128" s="340">
        <v>500</v>
      </c>
      <c r="F128" s="830">
        <v>35.26</v>
      </c>
      <c r="G128" s="514">
        <v>-2.5000000000000001E-3</v>
      </c>
      <c r="H128" s="339">
        <v>35.49</v>
      </c>
      <c r="I128" s="320">
        <v>35.799999999999997</v>
      </c>
      <c r="J128" s="320">
        <v>34.75</v>
      </c>
      <c r="K128" s="385">
        <v>35.35</v>
      </c>
      <c r="L128" s="355">
        <v>27447</v>
      </c>
      <c r="M128" s="324">
        <v>78111</v>
      </c>
      <c r="N128" s="355">
        <v>141</v>
      </c>
      <c r="O128" s="438">
        <v>45310.6877662037</v>
      </c>
      <c r="P128" s="448">
        <v>127</v>
      </c>
      <c r="Q128" s="388">
        <v>0</v>
      </c>
      <c r="R128" s="413">
        <v>0</v>
      </c>
      <c r="S128" s="421">
        <v>0</v>
      </c>
      <c r="T128" s="349">
        <v>0</v>
      </c>
      <c r="U128" s="403">
        <v>0</v>
      </c>
      <c r="V128" s="751">
        <v>0</v>
      </c>
      <c r="W128" s="752">
        <f t="shared" ref="W128" si="71">(V128*X128)</f>
        <v>0</v>
      </c>
      <c r="X128" s="753"/>
      <c r="Y128" s="748">
        <f>IF(D128&lt;&gt;0,($C129*(1-$V$1))-$D128,0)</f>
        <v>-0.59900000000000375</v>
      </c>
      <c r="Z128" s="493">
        <f>IFERROR(IF(C128&lt;&gt;"",$Y$1/(D124/100)*(C128/100),""),"")</f>
        <v>80.831408775981515</v>
      </c>
      <c r="AA128" s="621">
        <f>IFERROR($Z$1/(D128/100)*(C124/100),"")</f>
        <v>102659.44111101719</v>
      </c>
      <c r="AB128" s="38"/>
    </row>
    <row r="129" spans="1:28" ht="12.75" customHeight="1">
      <c r="A129" s="736" t="s">
        <v>221</v>
      </c>
      <c r="B129" s="737">
        <v>44314</v>
      </c>
      <c r="C129" s="738">
        <v>34.9</v>
      </c>
      <c r="D129" s="738">
        <v>35.450000000000003</v>
      </c>
      <c r="E129" s="737">
        <v>3999</v>
      </c>
      <c r="F129" s="739">
        <v>35.450000000000003</v>
      </c>
      <c r="G129" s="740">
        <v>-1.4000000000000002E-3</v>
      </c>
      <c r="H129" s="711">
        <v>35.999000000000002</v>
      </c>
      <c r="I129" s="712">
        <v>35.999000000000002</v>
      </c>
      <c r="J129" s="712">
        <v>34.9</v>
      </c>
      <c r="K129" s="744">
        <v>35.5</v>
      </c>
      <c r="L129" s="695">
        <v>276151</v>
      </c>
      <c r="M129" s="714">
        <v>783655</v>
      </c>
      <c r="N129" s="695">
        <v>225</v>
      </c>
      <c r="O129" s="696">
        <v>45310.708449074074</v>
      </c>
      <c r="P129" s="697">
        <v>128</v>
      </c>
      <c r="Q129" s="698">
        <v>0</v>
      </c>
      <c r="R129" s="741">
        <v>0</v>
      </c>
      <c r="S129" s="700">
        <v>0</v>
      </c>
      <c r="T129" s="717">
        <v>0</v>
      </c>
      <c r="U129" s="679">
        <v>0</v>
      </c>
      <c r="V129" s="756">
        <v>0</v>
      </c>
      <c r="W129" s="762">
        <f>V128*(F128/100)</f>
        <v>0</v>
      </c>
      <c r="X129" s="755"/>
      <c r="Y129" s="749">
        <f>IFERROR(INT($Z$1/(F128/100)),"")</f>
        <v>240</v>
      </c>
      <c r="Z129" s="729">
        <f>IFERROR(IF(C129&lt;&gt;"",$Y$1/(D125/100)*(C129/100),""),"")</f>
        <v>79.963340588841788</v>
      </c>
      <c r="AA129" s="742">
        <f>IFERROR($Z$1/(D129/100)*(C125/100),"")</f>
        <v>104117.77150916783</v>
      </c>
      <c r="AB129" s="38"/>
    </row>
    <row r="130" spans="1:28" ht="12.75" customHeight="1">
      <c r="A130" s="410" t="s">
        <v>586</v>
      </c>
      <c r="B130" s="358">
        <v>746</v>
      </c>
      <c r="C130" s="497">
        <v>50470</v>
      </c>
      <c r="D130" s="372">
        <v>51000</v>
      </c>
      <c r="E130" s="358">
        <v>10786</v>
      </c>
      <c r="F130" s="425">
        <v>51000</v>
      </c>
      <c r="G130" s="510">
        <v>0.02</v>
      </c>
      <c r="H130" s="329">
        <v>50200</v>
      </c>
      <c r="I130" s="321">
        <v>51000</v>
      </c>
      <c r="J130" s="321">
        <v>49300</v>
      </c>
      <c r="K130" s="384">
        <v>50000</v>
      </c>
      <c r="L130" s="367">
        <v>860735903</v>
      </c>
      <c r="M130" s="325">
        <v>1710159</v>
      </c>
      <c r="N130" s="367">
        <v>808</v>
      </c>
      <c r="O130" s="435">
        <v>45310.680150462962</v>
      </c>
      <c r="P130" s="448">
        <v>129</v>
      </c>
      <c r="Q130" s="390">
        <v>0</v>
      </c>
      <c r="R130" s="411">
        <v>0</v>
      </c>
      <c r="S130" s="419">
        <v>0</v>
      </c>
      <c r="T130" s="351">
        <v>0</v>
      </c>
      <c r="U130" s="734">
        <v>0</v>
      </c>
      <c r="V130" s="470"/>
      <c r="W130" s="757">
        <f t="shared" ref="W130" si="72">(V130*X130)</f>
        <v>0</v>
      </c>
      <c r="X130" s="758"/>
      <c r="Y130" s="669">
        <f>IF(D130&lt;&gt;0,($C131*(1-$V$1))-$D130,0)</f>
        <v>-290</v>
      </c>
      <c r="Z130" s="670"/>
      <c r="AA130" s="535"/>
      <c r="AB130" s="38"/>
    </row>
    <row r="131" spans="1:28" ht="12.75" customHeight="1">
      <c r="A131" s="408" t="s">
        <v>190</v>
      </c>
      <c r="B131" s="334">
        <v>834</v>
      </c>
      <c r="C131" s="335">
        <v>50710</v>
      </c>
      <c r="D131" s="335">
        <v>50940</v>
      </c>
      <c r="E131" s="334">
        <v>103</v>
      </c>
      <c r="F131" s="336">
        <v>50710</v>
      </c>
      <c r="G131" s="513">
        <v>6.0999999999999995E-3</v>
      </c>
      <c r="H131" s="328">
        <v>50500</v>
      </c>
      <c r="I131" s="319">
        <v>51440</v>
      </c>
      <c r="J131" s="319">
        <v>49560</v>
      </c>
      <c r="K131" s="382">
        <v>50400</v>
      </c>
      <c r="L131" s="326">
        <v>2530868164</v>
      </c>
      <c r="M131" s="323">
        <v>4988028</v>
      </c>
      <c r="N131" s="326">
        <v>1247</v>
      </c>
      <c r="O131" s="436">
        <v>45310.708564814813</v>
      </c>
      <c r="P131" s="447">
        <v>130</v>
      </c>
      <c r="Q131" s="387">
        <v>0</v>
      </c>
      <c r="R131" s="412">
        <v>0</v>
      </c>
      <c r="S131" s="416">
        <v>0</v>
      </c>
      <c r="T131" s="350">
        <v>0</v>
      </c>
      <c r="U131" s="404">
        <v>0</v>
      </c>
      <c r="V131" s="471">
        <v>0</v>
      </c>
      <c r="W131" s="763">
        <f>V130*(F130/100)</f>
        <v>0</v>
      </c>
      <c r="X131" s="760"/>
      <c r="Y131" s="750">
        <f>IFERROR(INT($Y$1/(F130/100)),"")</f>
        <v>196</v>
      </c>
      <c r="Z131" s="666"/>
      <c r="AA131" s="536"/>
      <c r="AB131" s="38"/>
    </row>
    <row r="132" spans="1:28" ht="12.75" customHeight="1">
      <c r="A132" s="341" t="s">
        <v>587</v>
      </c>
      <c r="B132" s="337"/>
      <c r="C132" s="338"/>
      <c r="D132" s="338"/>
      <c r="E132" s="337"/>
      <c r="F132" s="830"/>
      <c r="G132" s="514"/>
      <c r="H132" s="339"/>
      <c r="I132" s="320"/>
      <c r="J132" s="320"/>
      <c r="K132" s="385">
        <v>40.5</v>
      </c>
      <c r="L132" s="355"/>
      <c r="M132" s="324"/>
      <c r="N132" s="355"/>
      <c r="O132" s="438"/>
      <c r="P132" s="448">
        <v>131</v>
      </c>
      <c r="Q132" s="388">
        <v>0</v>
      </c>
      <c r="R132" s="413">
        <v>0</v>
      </c>
      <c r="S132" s="421">
        <v>0</v>
      </c>
      <c r="T132" s="349">
        <v>0</v>
      </c>
      <c r="U132" s="403">
        <v>0</v>
      </c>
      <c r="V132" s="473"/>
      <c r="W132" s="764">
        <f t="shared" ref="W132" si="73">(V132*X132)</f>
        <v>0</v>
      </c>
      <c r="X132" s="775"/>
      <c r="Y132" s="766">
        <f>IF(D132&lt;&gt;0,($C133*(1-$V$1))-$D132,0)</f>
        <v>0</v>
      </c>
      <c r="Z132" s="495" t="str">
        <f>IFERROR(IF(C132&lt;&gt;"",$Y$1/(D130/100)*(C132/100),""),"")</f>
        <v/>
      </c>
      <c r="AA132" s="620" t="str">
        <f>IFERROR($AA$1/(D132/100)*(C130/100),"")</f>
        <v/>
      </c>
      <c r="AB132" s="38"/>
    </row>
    <row r="133" spans="1:28" ht="12.75" customHeight="1">
      <c r="A133" s="450" t="s">
        <v>234</v>
      </c>
      <c r="B133" s="333"/>
      <c r="C133" s="335"/>
      <c r="D133" s="335"/>
      <c r="E133" s="333"/>
      <c r="F133" s="336"/>
      <c r="G133" s="513"/>
      <c r="H133" s="328"/>
      <c r="I133" s="319"/>
      <c r="J133" s="319"/>
      <c r="K133" s="382">
        <v>40.375</v>
      </c>
      <c r="L133" s="326"/>
      <c r="M133" s="323"/>
      <c r="N133" s="326"/>
      <c r="O133" s="436"/>
      <c r="P133" s="447">
        <v>132</v>
      </c>
      <c r="Q133" s="387">
        <v>0</v>
      </c>
      <c r="R133" s="412">
        <v>0</v>
      </c>
      <c r="S133" s="416">
        <v>0</v>
      </c>
      <c r="T133" s="350">
        <v>0</v>
      </c>
      <c r="U133" s="404">
        <v>0</v>
      </c>
      <c r="V133" s="472">
        <v>0</v>
      </c>
      <c r="W133" s="765">
        <f>V132*(F132/100)</f>
        <v>0</v>
      </c>
      <c r="X133" s="776"/>
      <c r="Y133" s="774" t="str">
        <f>IFERROR(INT($AA$1/(F132/100)),"")</f>
        <v/>
      </c>
      <c r="Z133" s="494" t="str">
        <f>IFERROR(IF(C133&lt;&gt;"",$Y$1/(D131/100)*(C133/100),""),"")</f>
        <v/>
      </c>
      <c r="AA133" s="622" t="str">
        <f>IFERROR($AA$1/(D133/100)*(C131/100),"")</f>
        <v/>
      </c>
      <c r="AB133" s="38"/>
    </row>
    <row r="134" spans="1:28" ht="12.75" customHeight="1">
      <c r="A134" s="682" t="s">
        <v>588</v>
      </c>
      <c r="B134" s="340">
        <v>9909</v>
      </c>
      <c r="C134" s="338">
        <v>40.799999999999997</v>
      </c>
      <c r="D134" s="338">
        <v>41.6</v>
      </c>
      <c r="E134" s="340">
        <v>60</v>
      </c>
      <c r="F134" s="830">
        <v>40.701000000000001</v>
      </c>
      <c r="G134" s="514">
        <v>-3.7000000000000002E-3</v>
      </c>
      <c r="H134" s="339">
        <v>41.89</v>
      </c>
      <c r="I134" s="320">
        <v>41.89</v>
      </c>
      <c r="J134" s="320">
        <v>40.500999999999998</v>
      </c>
      <c r="K134" s="385">
        <v>40.853999999999999</v>
      </c>
      <c r="L134" s="355">
        <v>2129</v>
      </c>
      <c r="M134" s="324">
        <v>5218</v>
      </c>
      <c r="N134" s="355">
        <v>10</v>
      </c>
      <c r="O134" s="438">
        <v>45310.637974537036</v>
      </c>
      <c r="P134" s="448">
        <v>133</v>
      </c>
      <c r="Q134" s="388">
        <v>0</v>
      </c>
      <c r="R134" s="413">
        <v>0</v>
      </c>
      <c r="S134" s="421">
        <v>0</v>
      </c>
      <c r="T134" s="349">
        <v>0</v>
      </c>
      <c r="U134" s="403">
        <v>0</v>
      </c>
      <c r="V134" s="751">
        <v>0</v>
      </c>
      <c r="W134" s="752">
        <f t="shared" ref="W134" si="74">(V134*X134)</f>
        <v>0</v>
      </c>
      <c r="X134" s="753"/>
      <c r="Y134" s="748">
        <f>IF(D134&lt;&gt;0,($C135*(1-$V$1))-$D134,0)</f>
        <v>-0.70000000000000284</v>
      </c>
      <c r="Z134" s="493">
        <f>IFERROR(IF(C134&lt;&gt;"",$Y$1/(D130/100)*(C134/100),""),"")</f>
        <v>80</v>
      </c>
      <c r="AA134" s="621">
        <f>IFERROR($Z$1/(D134/100)*(C130/100),"")</f>
        <v>102941.81490384614</v>
      </c>
      <c r="AB134" s="38"/>
    </row>
    <row r="135" spans="1:28" ht="12.75" customHeight="1">
      <c r="A135" s="736" t="s">
        <v>235</v>
      </c>
      <c r="B135" s="737">
        <v>9988</v>
      </c>
      <c r="C135" s="738">
        <v>40.9</v>
      </c>
      <c r="D135" s="738">
        <v>41.2</v>
      </c>
      <c r="E135" s="737">
        <v>4880</v>
      </c>
      <c r="F135" s="739">
        <v>41.4</v>
      </c>
      <c r="G135" s="740">
        <v>1.4199999999999999E-2</v>
      </c>
      <c r="H135" s="711">
        <v>40.85</v>
      </c>
      <c r="I135" s="712">
        <v>41.98</v>
      </c>
      <c r="J135" s="712">
        <v>40.85</v>
      </c>
      <c r="K135" s="744">
        <v>40.82</v>
      </c>
      <c r="L135" s="695">
        <v>5849</v>
      </c>
      <c r="M135" s="714">
        <v>14142</v>
      </c>
      <c r="N135" s="695">
        <v>32</v>
      </c>
      <c r="O135" s="696">
        <v>45310.68822916667</v>
      </c>
      <c r="P135" s="697">
        <v>134</v>
      </c>
      <c r="Q135" s="698">
        <v>0</v>
      </c>
      <c r="R135" s="741">
        <v>0</v>
      </c>
      <c r="S135" s="700">
        <v>0</v>
      </c>
      <c r="T135" s="717">
        <v>0</v>
      </c>
      <c r="U135" s="679">
        <v>0</v>
      </c>
      <c r="V135" s="756">
        <v>0</v>
      </c>
      <c r="W135" s="762">
        <f>V134*(F134/100)</f>
        <v>0</v>
      </c>
      <c r="X135" s="755"/>
      <c r="Y135" s="749">
        <f>IFERROR(INT($Z$1/(F134/100)),"")</f>
        <v>208</v>
      </c>
      <c r="Z135" s="729">
        <f>IFERROR(IF(C135&lt;&gt;"",$Y$1/(D131/100)*(C135/100),""),"")</f>
        <v>80.290537887711039</v>
      </c>
      <c r="AA135" s="742">
        <f>IFERROR($Z$1/(D135/100)*(C131/100),"")</f>
        <v>104435.52184466018</v>
      </c>
      <c r="AB135" s="38"/>
    </row>
    <row r="136" spans="1:28" ht="12.75" customHeight="1">
      <c r="A136" s="410" t="s">
        <v>583</v>
      </c>
      <c r="B136" s="358">
        <v>232</v>
      </c>
      <c r="C136" s="497">
        <v>43000</v>
      </c>
      <c r="D136" s="372">
        <v>43900</v>
      </c>
      <c r="E136" s="358">
        <v>6339</v>
      </c>
      <c r="F136" s="425">
        <v>42940</v>
      </c>
      <c r="G136" s="510">
        <v>-8.5000000000000006E-3</v>
      </c>
      <c r="H136" s="329">
        <v>43620</v>
      </c>
      <c r="I136" s="321">
        <v>44800</v>
      </c>
      <c r="J136" s="321">
        <v>42600</v>
      </c>
      <c r="K136" s="384">
        <v>43310</v>
      </c>
      <c r="L136" s="367">
        <v>191524523</v>
      </c>
      <c r="M136" s="325">
        <v>445314</v>
      </c>
      <c r="N136" s="367">
        <v>176</v>
      </c>
      <c r="O136" s="435">
        <v>45310.683078703703</v>
      </c>
      <c r="P136" s="448">
        <v>135</v>
      </c>
      <c r="Q136" s="390">
        <v>0</v>
      </c>
      <c r="R136" s="411">
        <v>0</v>
      </c>
      <c r="S136" s="419">
        <v>0</v>
      </c>
      <c r="T136" s="351">
        <v>0</v>
      </c>
      <c r="U136" s="734">
        <v>0</v>
      </c>
      <c r="V136" s="470"/>
      <c r="W136" s="757">
        <f t="shared" ref="W136" si="75">(V136*X136)</f>
        <v>0</v>
      </c>
      <c r="X136" s="758"/>
      <c r="Y136" s="669">
        <f>IF(D136&lt;&gt;0,($C137*(1-$V$1))-$D136,0)</f>
        <v>-550</v>
      </c>
      <c r="Z136" s="670"/>
      <c r="AA136" s="535"/>
      <c r="AB136" s="38"/>
    </row>
    <row r="137" spans="1:28" ht="12.75" customHeight="1">
      <c r="A137" s="408" t="s">
        <v>188</v>
      </c>
      <c r="B137" s="334">
        <v>483</v>
      </c>
      <c r="C137" s="335">
        <v>43350</v>
      </c>
      <c r="D137" s="335">
        <v>43450</v>
      </c>
      <c r="E137" s="334">
        <v>42</v>
      </c>
      <c r="F137" s="336">
        <v>43350</v>
      </c>
      <c r="G137" s="513">
        <v>-2.3E-3</v>
      </c>
      <c r="H137" s="328">
        <v>43450</v>
      </c>
      <c r="I137" s="319">
        <v>44360</v>
      </c>
      <c r="J137" s="319">
        <v>42800</v>
      </c>
      <c r="K137" s="382">
        <v>43450</v>
      </c>
      <c r="L137" s="326">
        <v>260379479</v>
      </c>
      <c r="M137" s="323">
        <v>601569</v>
      </c>
      <c r="N137" s="326">
        <v>459</v>
      </c>
      <c r="O137" s="436">
        <v>45310.70857638889</v>
      </c>
      <c r="P137" s="447">
        <v>136</v>
      </c>
      <c r="Q137" s="387">
        <v>0</v>
      </c>
      <c r="R137" s="412">
        <v>0</v>
      </c>
      <c r="S137" s="416">
        <v>0</v>
      </c>
      <c r="T137" s="350">
        <v>0</v>
      </c>
      <c r="U137" s="404">
        <v>0</v>
      </c>
      <c r="V137" s="471">
        <v>0</v>
      </c>
      <c r="W137" s="763">
        <f>V136*(F136/100)</f>
        <v>0</v>
      </c>
      <c r="X137" s="760"/>
      <c r="Y137" s="750">
        <f>IFERROR(INT($Y$1/(F136/100)),"")</f>
        <v>232</v>
      </c>
      <c r="Z137" s="666"/>
      <c r="AA137" s="536"/>
      <c r="AB137" s="38"/>
    </row>
    <row r="138" spans="1:28" ht="12.75" customHeight="1">
      <c r="A138" s="341" t="s">
        <v>584</v>
      </c>
      <c r="B138" s="337"/>
      <c r="C138" s="338"/>
      <c r="D138" s="338"/>
      <c r="E138" s="337"/>
      <c r="F138" s="830"/>
      <c r="G138" s="514"/>
      <c r="H138" s="339"/>
      <c r="I138" s="320"/>
      <c r="J138" s="320"/>
      <c r="K138" s="385">
        <v>27.25</v>
      </c>
      <c r="L138" s="355"/>
      <c r="M138" s="324"/>
      <c r="N138" s="355"/>
      <c r="O138" s="438"/>
      <c r="P138" s="448">
        <v>137</v>
      </c>
      <c r="Q138" s="388">
        <v>0</v>
      </c>
      <c r="R138" s="413">
        <v>0</v>
      </c>
      <c r="S138" s="421">
        <v>0</v>
      </c>
      <c r="T138" s="349">
        <v>0</v>
      </c>
      <c r="U138" s="403">
        <v>0</v>
      </c>
      <c r="V138" s="473"/>
      <c r="W138" s="764">
        <f t="shared" ref="W138" si="76">(V138*X138)</f>
        <v>0</v>
      </c>
      <c r="X138" s="775"/>
      <c r="Y138" s="766">
        <f>IF(D138&lt;&gt;0,($C139*(1-$V$1))-$D138,0)</f>
        <v>0</v>
      </c>
      <c r="Z138" s="495" t="str">
        <f>IFERROR(IF(C138&lt;&gt;"",$Y$1/(D136/100)*(C138/100),""),"")</f>
        <v/>
      </c>
      <c r="AA138" s="620" t="str">
        <f>IFERROR($AA$1/(D138/100)*(C136/100),"")</f>
        <v/>
      </c>
      <c r="AB138" s="38"/>
    </row>
    <row r="139" spans="1:28" ht="12.75" customHeight="1">
      <c r="A139" s="450" t="s">
        <v>236</v>
      </c>
      <c r="B139" s="333"/>
      <c r="C139" s="335"/>
      <c r="D139" s="335"/>
      <c r="E139" s="333"/>
      <c r="F139" s="336"/>
      <c r="G139" s="513"/>
      <c r="H139" s="328"/>
      <c r="I139" s="319"/>
      <c r="J139" s="319"/>
      <c r="K139" s="382">
        <v>27.25</v>
      </c>
      <c r="L139" s="326"/>
      <c r="M139" s="323"/>
      <c r="N139" s="326"/>
      <c r="O139" s="436"/>
      <c r="P139" s="447">
        <v>138</v>
      </c>
      <c r="Q139" s="387">
        <v>0</v>
      </c>
      <c r="R139" s="412">
        <v>0</v>
      </c>
      <c r="S139" s="416">
        <v>0</v>
      </c>
      <c r="T139" s="350">
        <v>0</v>
      </c>
      <c r="U139" s="404">
        <v>0</v>
      </c>
      <c r="V139" s="472">
        <v>0</v>
      </c>
      <c r="W139" s="765">
        <f>V138*(F138/100)</f>
        <v>0</v>
      </c>
      <c r="X139" s="776"/>
      <c r="Y139" s="774" t="str">
        <f>IFERROR(INT($AA$1/(F138/100)),"")</f>
        <v/>
      </c>
      <c r="Z139" s="494" t="str">
        <f>IFERROR(IF(C139&lt;&gt;"",$Y$1/(D137/100)*(C139/100),""),"")</f>
        <v/>
      </c>
      <c r="AA139" s="622" t="str">
        <f>IFERROR($AA$1/(D139/100)*(C137/100),"")</f>
        <v/>
      </c>
      <c r="AB139" s="38"/>
    </row>
    <row r="140" spans="1:28" ht="12.75" customHeight="1">
      <c r="A140" s="682" t="s">
        <v>585</v>
      </c>
      <c r="B140" s="340">
        <v>2107</v>
      </c>
      <c r="C140" s="338">
        <v>34.71</v>
      </c>
      <c r="D140" s="338">
        <v>34.999000000000002</v>
      </c>
      <c r="E140" s="340">
        <v>13</v>
      </c>
      <c r="F140" s="830">
        <v>35</v>
      </c>
      <c r="G140" s="514">
        <v>8.6E-3</v>
      </c>
      <c r="H140" s="339">
        <v>35</v>
      </c>
      <c r="I140" s="320">
        <v>36</v>
      </c>
      <c r="J140" s="320">
        <v>34.512999999999998</v>
      </c>
      <c r="K140" s="385">
        <v>34.701000000000001</v>
      </c>
      <c r="L140" s="355">
        <v>14613</v>
      </c>
      <c r="M140" s="324">
        <v>41457</v>
      </c>
      <c r="N140" s="355">
        <v>42</v>
      </c>
      <c r="O140" s="438">
        <v>45310.67523148148</v>
      </c>
      <c r="P140" s="448">
        <v>139</v>
      </c>
      <c r="Q140" s="388">
        <v>0</v>
      </c>
      <c r="R140" s="413">
        <v>0</v>
      </c>
      <c r="S140" s="421">
        <v>0</v>
      </c>
      <c r="T140" s="349">
        <v>0</v>
      </c>
      <c r="U140" s="403">
        <v>0</v>
      </c>
      <c r="V140" s="751">
        <v>0</v>
      </c>
      <c r="W140" s="752">
        <f t="shared" ref="W140" si="77">(V140*X140)</f>
        <v>0</v>
      </c>
      <c r="X140" s="753"/>
      <c r="Y140" s="748">
        <f>IF(D140&lt;&gt;0,($C141*(1-$V$1))-$D140,0)</f>
        <v>-0.19900000000000517</v>
      </c>
      <c r="Z140" s="493">
        <f>IFERROR(IF(C140&lt;&gt;"",$Y$1/(D136/100)*(C140/100),""),"")</f>
        <v>79.066059225512532</v>
      </c>
      <c r="AA140" s="621">
        <f>IFERROR($Z$1/(D140/100)*(C136/100),"")</f>
        <v>104247.26420754877</v>
      </c>
      <c r="AB140" s="38"/>
    </row>
    <row r="141" spans="1:28" ht="12.75" customHeight="1">
      <c r="A141" s="736" t="s">
        <v>237</v>
      </c>
      <c r="B141" s="737">
        <v>4310</v>
      </c>
      <c r="C141" s="738">
        <v>34.799999999999997</v>
      </c>
      <c r="D141" s="738">
        <v>35</v>
      </c>
      <c r="E141" s="737">
        <v>2000</v>
      </c>
      <c r="F141" s="739">
        <v>35</v>
      </c>
      <c r="G141" s="740">
        <v>1.1200000000000002E-2</v>
      </c>
      <c r="H141" s="711">
        <v>34.9</v>
      </c>
      <c r="I141" s="712">
        <v>36.798000000000002</v>
      </c>
      <c r="J141" s="712">
        <v>34.9</v>
      </c>
      <c r="K141" s="744">
        <v>34.612000000000002</v>
      </c>
      <c r="L141" s="695">
        <v>18057</v>
      </c>
      <c r="M141" s="714">
        <v>51201</v>
      </c>
      <c r="N141" s="695">
        <v>72</v>
      </c>
      <c r="O141" s="696">
        <v>45310.700173611112</v>
      </c>
      <c r="P141" s="697">
        <v>140</v>
      </c>
      <c r="Q141" s="698">
        <v>0</v>
      </c>
      <c r="R141" s="741">
        <v>0</v>
      </c>
      <c r="S141" s="700">
        <v>0</v>
      </c>
      <c r="T141" s="717">
        <v>0</v>
      </c>
      <c r="U141" s="679">
        <v>0</v>
      </c>
      <c r="V141" s="756">
        <v>0</v>
      </c>
      <c r="W141" s="762">
        <f>V140*(F140/100)</f>
        <v>0</v>
      </c>
      <c r="X141" s="755"/>
      <c r="Y141" s="749">
        <f>IFERROR(INT($Z$1/(F140/100)),"")</f>
        <v>242</v>
      </c>
      <c r="Z141" s="729">
        <f>IFERROR(IF(C141&lt;&gt;"",$Y$1/(D137/100)*(C141/100),""),"")</f>
        <v>80.092059838895267</v>
      </c>
      <c r="AA141" s="742">
        <f>IFERROR($Z$1/(D141/100)*(C137/100),"")</f>
        <v>105092.78571428571</v>
      </c>
      <c r="AB141" s="38"/>
    </row>
    <row r="142" spans="1:28" ht="12.75" customHeight="1">
      <c r="A142" s="410" t="s">
        <v>589</v>
      </c>
      <c r="B142" s="358">
        <v>1459</v>
      </c>
      <c r="C142" s="497">
        <v>44000</v>
      </c>
      <c r="D142" s="372">
        <v>44900</v>
      </c>
      <c r="E142" s="358">
        <v>7401</v>
      </c>
      <c r="F142" s="425">
        <v>44000</v>
      </c>
      <c r="G142" s="510">
        <v>-6.7000000000000002E-3</v>
      </c>
      <c r="H142" s="329">
        <v>44500</v>
      </c>
      <c r="I142" s="321">
        <v>46000</v>
      </c>
      <c r="J142" s="321">
        <v>42600</v>
      </c>
      <c r="K142" s="384">
        <v>44300</v>
      </c>
      <c r="L142" s="367">
        <v>27029515</v>
      </c>
      <c r="M142" s="325">
        <v>60796</v>
      </c>
      <c r="N142" s="367">
        <v>69</v>
      </c>
      <c r="O142" s="435">
        <v>45310.671342592592</v>
      </c>
      <c r="P142" s="448">
        <v>141</v>
      </c>
      <c r="Q142" s="390">
        <v>0</v>
      </c>
      <c r="R142" s="411">
        <v>0</v>
      </c>
      <c r="S142" s="419">
        <v>0</v>
      </c>
      <c r="T142" s="351">
        <v>0</v>
      </c>
      <c r="U142" s="734">
        <v>0</v>
      </c>
      <c r="V142" s="470"/>
      <c r="W142" s="757">
        <f t="shared" ref="W142" si="78">(V142*X142)</f>
        <v>0</v>
      </c>
      <c r="X142" s="758"/>
      <c r="Y142" s="669">
        <f>IF(D142&lt;&gt;0,($C143*(1-$V$1))-$D142,0)</f>
        <v>-400</v>
      </c>
      <c r="Z142" s="670"/>
      <c r="AA142" s="535"/>
      <c r="AB142" s="38"/>
    </row>
    <row r="143" spans="1:28" ht="12.75" customHeight="1">
      <c r="A143" s="408" t="s">
        <v>189</v>
      </c>
      <c r="B143" s="334">
        <v>3200</v>
      </c>
      <c r="C143" s="335">
        <v>44500</v>
      </c>
      <c r="D143" s="335">
        <v>44900</v>
      </c>
      <c r="E143" s="334">
        <v>2954</v>
      </c>
      <c r="F143" s="336">
        <v>44900</v>
      </c>
      <c r="G143" s="513">
        <v>1.3600000000000001E-2</v>
      </c>
      <c r="H143" s="328">
        <v>43860</v>
      </c>
      <c r="I143" s="319">
        <v>45690</v>
      </c>
      <c r="J143" s="319">
        <v>43410</v>
      </c>
      <c r="K143" s="382">
        <v>44295</v>
      </c>
      <c r="L143" s="326">
        <v>137857887</v>
      </c>
      <c r="M143" s="323">
        <v>309809</v>
      </c>
      <c r="N143" s="326">
        <v>187</v>
      </c>
      <c r="O143" s="436">
        <v>45310.708518518521</v>
      </c>
      <c r="P143" s="447">
        <v>142</v>
      </c>
      <c r="Q143" s="387">
        <v>0</v>
      </c>
      <c r="R143" s="412">
        <v>0</v>
      </c>
      <c r="S143" s="416">
        <v>0</v>
      </c>
      <c r="T143" s="350">
        <v>0</v>
      </c>
      <c r="U143" s="404">
        <v>0</v>
      </c>
      <c r="V143" s="471">
        <v>0</v>
      </c>
      <c r="W143" s="763">
        <f>V142*(F142/100)</f>
        <v>0</v>
      </c>
      <c r="X143" s="760"/>
      <c r="Y143" s="750">
        <f>IFERROR(INT($Y$1/(F142/100)),"")</f>
        <v>227</v>
      </c>
      <c r="Z143" s="666"/>
      <c r="AA143" s="536"/>
      <c r="AB143" s="38"/>
    </row>
    <row r="144" spans="1:28" ht="12.75" customHeight="1">
      <c r="A144" s="341" t="s">
        <v>590</v>
      </c>
      <c r="B144" s="337"/>
      <c r="C144" s="338"/>
      <c r="D144" s="338"/>
      <c r="E144" s="337"/>
      <c r="F144" s="830"/>
      <c r="G144" s="514"/>
      <c r="H144" s="339"/>
      <c r="I144" s="320"/>
      <c r="J144" s="320"/>
      <c r="K144" s="385">
        <v>21.007999999999999</v>
      </c>
      <c r="L144" s="355"/>
      <c r="M144" s="324"/>
      <c r="N144" s="355"/>
      <c r="O144" s="438"/>
      <c r="P144" s="448">
        <v>143</v>
      </c>
      <c r="Q144" s="388">
        <v>0</v>
      </c>
      <c r="R144" s="413">
        <v>0</v>
      </c>
      <c r="S144" s="421">
        <v>0</v>
      </c>
      <c r="T144" s="349">
        <v>0</v>
      </c>
      <c r="U144" s="403">
        <v>0</v>
      </c>
      <c r="V144" s="473"/>
      <c r="W144" s="764">
        <f t="shared" ref="W144" si="79">(V144*X144)</f>
        <v>0</v>
      </c>
      <c r="X144" s="775"/>
      <c r="Y144" s="766">
        <f>IF(D144&lt;&gt;0,($C145*(1-$V$1))-$D144,0)</f>
        <v>0</v>
      </c>
      <c r="Z144" s="495" t="str">
        <f>IFERROR(IF(C144&lt;&gt;"",$Y$1/(D142/100)*(C144/100),""),"")</f>
        <v/>
      </c>
      <c r="AA144" s="620" t="str">
        <f>IFERROR($AA$1/(D144/100)*(C142/100),"")</f>
        <v/>
      </c>
      <c r="AB144" s="38"/>
    </row>
    <row r="145" spans="1:28" ht="12.75" customHeight="1">
      <c r="A145" s="450" t="s">
        <v>276</v>
      </c>
      <c r="B145" s="333"/>
      <c r="C145" s="335"/>
      <c r="D145" s="335"/>
      <c r="E145" s="333"/>
      <c r="F145" s="336"/>
      <c r="G145" s="513"/>
      <c r="H145" s="328"/>
      <c r="I145" s="319"/>
      <c r="J145" s="319"/>
      <c r="K145" s="382">
        <v>25.276</v>
      </c>
      <c r="L145" s="326"/>
      <c r="M145" s="323"/>
      <c r="N145" s="326"/>
      <c r="O145" s="436"/>
      <c r="P145" s="447">
        <v>144</v>
      </c>
      <c r="Q145" s="387">
        <v>0</v>
      </c>
      <c r="R145" s="412">
        <v>0</v>
      </c>
      <c r="S145" s="416">
        <v>0</v>
      </c>
      <c r="T145" s="350">
        <v>0</v>
      </c>
      <c r="U145" s="404">
        <v>0</v>
      </c>
      <c r="V145" s="472">
        <v>0</v>
      </c>
      <c r="W145" s="765">
        <f>V144*(F144/100)</f>
        <v>0</v>
      </c>
      <c r="X145" s="776"/>
      <c r="Y145" s="774" t="str">
        <f>IFERROR(INT($AA$1/(F144/100)),"")</f>
        <v/>
      </c>
      <c r="Z145" s="494" t="str">
        <f>IFERROR(IF(C145&lt;&gt;"",$Y$1/(D143/100)*(C145/100),""),"")</f>
        <v/>
      </c>
      <c r="AA145" s="622" t="str">
        <f>IFERROR($AA$1/(D145/100)*(C143/100),"")</f>
        <v/>
      </c>
      <c r="AB145" s="38"/>
    </row>
    <row r="146" spans="1:28" ht="12.75" customHeight="1">
      <c r="A146" s="682" t="s">
        <v>591</v>
      </c>
      <c r="B146" s="340">
        <v>24500</v>
      </c>
      <c r="C146" s="338">
        <v>35.700000000000003</v>
      </c>
      <c r="D146" s="338">
        <v>36.700000000000003</v>
      </c>
      <c r="E146" s="340">
        <v>1670</v>
      </c>
      <c r="F146" s="830">
        <v>37</v>
      </c>
      <c r="G146" s="514">
        <v>4.1500000000000002E-2</v>
      </c>
      <c r="H146" s="339">
        <v>36.5</v>
      </c>
      <c r="I146" s="320">
        <v>37</v>
      </c>
      <c r="J146" s="320">
        <v>36.5</v>
      </c>
      <c r="K146" s="385">
        <v>35.524999999999999</v>
      </c>
      <c r="L146" s="355">
        <v>9</v>
      </c>
      <c r="M146" s="324">
        <v>25</v>
      </c>
      <c r="N146" s="355">
        <v>2</v>
      </c>
      <c r="O146" s="438">
        <v>45310.558576388888</v>
      </c>
      <c r="P146" s="448">
        <v>145</v>
      </c>
      <c r="Q146" s="388">
        <v>0</v>
      </c>
      <c r="R146" s="413">
        <v>0</v>
      </c>
      <c r="S146" s="421">
        <v>0</v>
      </c>
      <c r="T146" s="349">
        <v>0</v>
      </c>
      <c r="U146" s="403">
        <v>0</v>
      </c>
      <c r="V146" s="751">
        <v>0</v>
      </c>
      <c r="W146" s="752">
        <f t="shared" ref="W146" si="80">(V146*X146)</f>
        <v>0</v>
      </c>
      <c r="X146" s="753"/>
      <c r="Y146" s="748">
        <f>IF(D146&lt;&gt;0,($C147*(1-$V$1))-$D146,0)</f>
        <v>-0.5</v>
      </c>
      <c r="Z146" s="493">
        <f>IFERROR(IF(C146&lt;&gt;"",$Y$1/(D142/100)*(C146/100),""),"")</f>
        <v>79.510022271714931</v>
      </c>
      <c r="AA146" s="621">
        <f>IFERROR($Z$1/(D146/100)*(C142/100),"")</f>
        <v>101727.52043596729</v>
      </c>
      <c r="AB146" s="38"/>
    </row>
    <row r="147" spans="1:28" ht="12.75" customHeight="1">
      <c r="A147" s="736" t="s">
        <v>277</v>
      </c>
      <c r="B147" s="737">
        <v>1124</v>
      </c>
      <c r="C147" s="738">
        <v>36.200000000000003</v>
      </c>
      <c r="D147" s="738">
        <v>37</v>
      </c>
      <c r="E147" s="737">
        <v>849</v>
      </c>
      <c r="F147" s="739">
        <v>36.5</v>
      </c>
      <c r="G147" s="740">
        <v>5.5000000000000005E-3</v>
      </c>
      <c r="H147" s="711">
        <v>36</v>
      </c>
      <c r="I147" s="712">
        <v>37.5</v>
      </c>
      <c r="J147" s="712">
        <v>34.401000000000003</v>
      </c>
      <c r="K147" s="744">
        <v>36.299999999999997</v>
      </c>
      <c r="L147" s="695">
        <v>5744</v>
      </c>
      <c r="M147" s="714">
        <v>15692</v>
      </c>
      <c r="N147" s="695">
        <v>39</v>
      </c>
      <c r="O147" s="696">
        <v>45310.705868055556</v>
      </c>
      <c r="P147" s="697">
        <v>146</v>
      </c>
      <c r="Q147" s="698">
        <v>0</v>
      </c>
      <c r="R147" s="741">
        <v>0</v>
      </c>
      <c r="S147" s="700">
        <v>0</v>
      </c>
      <c r="T147" s="717">
        <v>0</v>
      </c>
      <c r="U147" s="679">
        <v>0</v>
      </c>
      <c r="V147" s="756">
        <v>0</v>
      </c>
      <c r="W147" s="762">
        <f>V146*(F146/100)</f>
        <v>0</v>
      </c>
      <c r="X147" s="755"/>
      <c r="Y147" s="749">
        <f>IFERROR(INT($Z$1/(F146/100)),"")</f>
        <v>229</v>
      </c>
      <c r="Z147" s="729">
        <f>IFERROR(IF(C147&lt;&gt;"",$Y$1/(D143/100)*(C147/100),""),"")</f>
        <v>80.623608017817375</v>
      </c>
      <c r="AA147" s="742">
        <f>IFERROR($Z$1/(D147/100)*(C143/100),"")</f>
        <v>102049.32432432432</v>
      </c>
      <c r="AB147" s="38"/>
    </row>
    <row r="148" spans="1:28" ht="12.75" customHeight="1">
      <c r="A148" s="410" t="s">
        <v>589</v>
      </c>
      <c r="B148" s="358">
        <v>1459</v>
      </c>
      <c r="C148" s="497">
        <v>44000</v>
      </c>
      <c r="D148" s="372">
        <v>44900</v>
      </c>
      <c r="E148" s="358">
        <v>7401</v>
      </c>
      <c r="F148" s="425">
        <v>44000</v>
      </c>
      <c r="G148" s="510">
        <v>-6.7000000000000002E-3</v>
      </c>
      <c r="H148" s="329">
        <v>44500</v>
      </c>
      <c r="I148" s="321">
        <v>46000</v>
      </c>
      <c r="J148" s="321">
        <v>42600</v>
      </c>
      <c r="K148" s="384">
        <v>44300</v>
      </c>
      <c r="L148" s="367">
        <v>27029515</v>
      </c>
      <c r="M148" s="325">
        <v>60796</v>
      </c>
      <c r="N148" s="367">
        <v>69</v>
      </c>
      <c r="O148" s="435">
        <v>45310.671342592592</v>
      </c>
      <c r="P148" s="448">
        <v>147</v>
      </c>
      <c r="Q148" s="390">
        <v>0</v>
      </c>
      <c r="R148" s="411">
        <v>0</v>
      </c>
      <c r="S148" s="419">
        <v>0</v>
      </c>
      <c r="T148" s="351">
        <v>0</v>
      </c>
      <c r="U148" s="734">
        <v>0</v>
      </c>
      <c r="V148" s="470"/>
      <c r="W148" s="757">
        <f t="shared" ref="W148" si="81">(V148*X148)</f>
        <v>0</v>
      </c>
      <c r="X148" s="758"/>
      <c r="Y148" s="669">
        <f>IF(D148&lt;&gt;0,($C149*(1-$V$1))-$D148,0)</f>
        <v>-400</v>
      </c>
      <c r="Z148" s="670"/>
      <c r="AA148" s="535"/>
    </row>
    <row r="149" spans="1:28" ht="12.75" customHeight="1">
      <c r="A149" s="408" t="s">
        <v>189</v>
      </c>
      <c r="B149" s="334">
        <v>3200</v>
      </c>
      <c r="C149" s="335">
        <v>44500</v>
      </c>
      <c r="D149" s="335">
        <v>44900</v>
      </c>
      <c r="E149" s="334">
        <v>2954</v>
      </c>
      <c r="F149" s="336">
        <v>44900</v>
      </c>
      <c r="G149" s="513">
        <v>1.3600000000000001E-2</v>
      </c>
      <c r="H149" s="328">
        <v>43860</v>
      </c>
      <c r="I149" s="319">
        <v>45690</v>
      </c>
      <c r="J149" s="319">
        <v>43410</v>
      </c>
      <c r="K149" s="382">
        <v>44295</v>
      </c>
      <c r="L149" s="326">
        <v>137857887</v>
      </c>
      <c r="M149" s="323">
        <v>309809</v>
      </c>
      <c r="N149" s="326">
        <v>187</v>
      </c>
      <c r="O149" s="436">
        <v>45310.708518518521</v>
      </c>
      <c r="P149" s="447">
        <v>148</v>
      </c>
      <c r="Q149" s="387">
        <v>0</v>
      </c>
      <c r="R149" s="412">
        <v>0</v>
      </c>
      <c r="S149" s="416">
        <v>0</v>
      </c>
      <c r="T149" s="350">
        <v>0</v>
      </c>
      <c r="U149" s="404">
        <v>0</v>
      </c>
      <c r="V149" s="471">
        <v>0</v>
      </c>
      <c r="W149" s="763">
        <f>V148*(F148/100)</f>
        <v>0</v>
      </c>
      <c r="X149" s="760"/>
      <c r="Y149" s="750">
        <f>IFERROR(INT($Y$1/(F148/100)),"")</f>
        <v>227</v>
      </c>
      <c r="Z149" s="666"/>
      <c r="AA149" s="536"/>
    </row>
    <row r="150" spans="1:28" ht="12.75" customHeight="1">
      <c r="A150" s="341" t="s">
        <v>590</v>
      </c>
      <c r="B150" s="337"/>
      <c r="C150" s="338"/>
      <c r="D150" s="338"/>
      <c r="E150" s="337"/>
      <c r="F150" s="830"/>
      <c r="G150" s="514"/>
      <c r="H150" s="339"/>
      <c r="I150" s="320"/>
      <c r="J150" s="320"/>
      <c r="K150" s="385">
        <v>21.007999999999999</v>
      </c>
      <c r="L150" s="355"/>
      <c r="M150" s="324"/>
      <c r="N150" s="355"/>
      <c r="O150" s="438"/>
      <c r="P150" s="448">
        <v>149</v>
      </c>
      <c r="Q150" s="388">
        <v>0</v>
      </c>
      <c r="R150" s="413">
        <v>0</v>
      </c>
      <c r="S150" s="421">
        <v>0</v>
      </c>
      <c r="T150" s="349">
        <v>0</v>
      </c>
      <c r="U150" s="403">
        <v>0</v>
      </c>
      <c r="V150" s="473"/>
      <c r="W150" s="764">
        <f t="shared" ref="W150" si="82">(V150*X150)</f>
        <v>0</v>
      </c>
      <c r="X150" s="775"/>
      <c r="Y150" s="766">
        <f>IF(D150&lt;&gt;0,($C151*(1-$V$1))-$D150,0)</f>
        <v>0</v>
      </c>
      <c r="Z150" s="495" t="str">
        <f>IFERROR(IF(C150&lt;&gt;"",$Y$1/(D148/100)*(C150/100),""),"")</f>
        <v/>
      </c>
      <c r="AA150" s="620" t="str">
        <f>IFERROR($AA$1/(D150/100)*(C148/100),"")</f>
        <v/>
      </c>
    </row>
    <row r="151" spans="1:28" ht="12.75" customHeight="1">
      <c r="A151" s="450" t="s">
        <v>276</v>
      </c>
      <c r="B151" s="333"/>
      <c r="C151" s="335"/>
      <c r="D151" s="335"/>
      <c r="E151" s="333"/>
      <c r="F151" s="336"/>
      <c r="G151" s="513"/>
      <c r="H151" s="328"/>
      <c r="I151" s="319"/>
      <c r="J151" s="319"/>
      <c r="K151" s="382">
        <v>25.276</v>
      </c>
      <c r="L151" s="326"/>
      <c r="M151" s="323"/>
      <c r="N151" s="326"/>
      <c r="O151" s="436"/>
      <c r="P151" s="447">
        <v>150</v>
      </c>
      <c r="Q151" s="387">
        <v>0</v>
      </c>
      <c r="R151" s="412">
        <v>0</v>
      </c>
      <c r="S151" s="416">
        <v>0</v>
      </c>
      <c r="T151" s="350">
        <v>0</v>
      </c>
      <c r="U151" s="404">
        <v>0</v>
      </c>
      <c r="V151" s="472">
        <v>0</v>
      </c>
      <c r="W151" s="765">
        <f>V150*(F150/100)</f>
        <v>0</v>
      </c>
      <c r="X151" s="776"/>
      <c r="Y151" s="774" t="str">
        <f>IFERROR(INT($AA$1/(F150/100)),"")</f>
        <v/>
      </c>
      <c r="Z151" s="494" t="str">
        <f>IFERROR(IF(C151&lt;&gt;"",$Y$1/(D149/100)*(C151/100),""),"")</f>
        <v/>
      </c>
      <c r="AA151" s="622" t="str">
        <f>IFERROR($AA$1/(D151/100)*(C149/100),"")</f>
        <v/>
      </c>
    </row>
    <row r="152" spans="1:28" ht="12.75" customHeight="1">
      <c r="A152" s="682" t="s">
        <v>591</v>
      </c>
      <c r="B152" s="340">
        <v>24500</v>
      </c>
      <c r="C152" s="338">
        <v>35.700000000000003</v>
      </c>
      <c r="D152" s="338">
        <v>36.700000000000003</v>
      </c>
      <c r="E152" s="340">
        <v>1670</v>
      </c>
      <c r="F152" s="830">
        <v>37</v>
      </c>
      <c r="G152" s="514">
        <v>4.1500000000000002E-2</v>
      </c>
      <c r="H152" s="339">
        <v>36.5</v>
      </c>
      <c r="I152" s="320">
        <v>37</v>
      </c>
      <c r="J152" s="320">
        <v>36.5</v>
      </c>
      <c r="K152" s="385">
        <v>35.524999999999999</v>
      </c>
      <c r="L152" s="355">
        <v>9</v>
      </c>
      <c r="M152" s="324">
        <v>25</v>
      </c>
      <c r="N152" s="355">
        <v>2</v>
      </c>
      <c r="O152" s="438">
        <v>45310.558576388888</v>
      </c>
      <c r="P152" s="448">
        <v>151</v>
      </c>
      <c r="Q152" s="388">
        <v>0</v>
      </c>
      <c r="R152" s="413">
        <v>0</v>
      </c>
      <c r="S152" s="421">
        <v>0</v>
      </c>
      <c r="T152" s="349">
        <v>0</v>
      </c>
      <c r="U152" s="403">
        <v>0</v>
      </c>
      <c r="V152" s="751">
        <v>0</v>
      </c>
      <c r="W152" s="752">
        <f t="shared" ref="W152" si="83">(V152*X152)</f>
        <v>0</v>
      </c>
      <c r="X152" s="753"/>
      <c r="Y152" s="748">
        <f>IF(D152&lt;&gt;0,($C153*(1-$V$1))-$D152,0)</f>
        <v>-0.5</v>
      </c>
      <c r="Z152" s="493">
        <f>IFERROR(IF(C152&lt;&gt;"",$Y$1/(D148/100)*(C152/100),""),"")</f>
        <v>79.510022271714931</v>
      </c>
      <c r="AA152" s="621">
        <f>IFERROR($Z$1/(D152/100)*(C148/100),"")</f>
        <v>101727.52043596729</v>
      </c>
    </row>
    <row r="153" spans="1:28" ht="12.75" customHeight="1">
      <c r="A153" s="831" t="s">
        <v>277</v>
      </c>
      <c r="B153" s="358">
        <v>1124</v>
      </c>
      <c r="C153" s="372">
        <v>36.200000000000003</v>
      </c>
      <c r="D153" s="372">
        <v>37</v>
      </c>
      <c r="E153" s="358">
        <v>849</v>
      </c>
      <c r="F153" s="832">
        <v>36.5</v>
      </c>
      <c r="G153" s="510">
        <v>5.5000000000000005E-3</v>
      </c>
      <c r="H153" s="329">
        <v>36</v>
      </c>
      <c r="I153" s="321">
        <v>37.5</v>
      </c>
      <c r="J153" s="321">
        <v>34.401000000000003</v>
      </c>
      <c r="K153" s="384">
        <v>36.299999999999997</v>
      </c>
      <c r="L153" s="367">
        <v>5744</v>
      </c>
      <c r="M153" s="325">
        <v>15692</v>
      </c>
      <c r="N153" s="367">
        <v>39</v>
      </c>
      <c r="O153" s="435">
        <v>45310.705868055556</v>
      </c>
      <c r="P153" s="833">
        <v>152</v>
      </c>
      <c r="Q153" s="390">
        <v>0</v>
      </c>
      <c r="R153" s="411">
        <v>0</v>
      </c>
      <c r="S153" s="419">
        <v>0</v>
      </c>
      <c r="T153" s="351">
        <v>0</v>
      </c>
      <c r="U153" s="834">
        <v>0</v>
      </c>
      <c r="V153" s="835">
        <v>0</v>
      </c>
      <c r="W153" s="836">
        <f>V152*(F152/100)</f>
        <v>0</v>
      </c>
      <c r="X153" s="837"/>
      <c r="Y153" s="838">
        <f>IFERROR(INT($Z$1/(F152/100)),"")</f>
        <v>229</v>
      </c>
      <c r="Z153" s="839">
        <f>IFERROR(IF(C153&lt;&gt;"",$Y$1/(D149/100)*(C153/100),""),"")</f>
        <v>80.623608017817375</v>
      </c>
      <c r="AA153" s="840">
        <f>IFERROR($Z$1/(D153/100)*(C149/100),"")</f>
        <v>102049.32432432432</v>
      </c>
    </row>
  </sheetData>
  <sortState xmlns:xlrd2="http://schemas.microsoft.com/office/spreadsheetml/2017/richdata2" ref="A15">
    <sortCondition descending="1" ref="A14:A15"/>
  </sortState>
  <mergeCells count="11">
    <mergeCell ref="AA12:AA13"/>
    <mergeCell ref="AA44:AA45"/>
    <mergeCell ref="AA42:AA43"/>
    <mergeCell ref="AA14:AA15"/>
    <mergeCell ref="AA16:AA17"/>
    <mergeCell ref="Q1:S1"/>
    <mergeCell ref="AA2:AA3"/>
    <mergeCell ref="AA6:AA7"/>
    <mergeCell ref="AA10:AA11"/>
    <mergeCell ref="AA8:AA9"/>
    <mergeCell ref="AA4:AA5"/>
  </mergeCells>
  <phoneticPr fontId="16" type="noConversion"/>
  <conditionalFormatting sqref="A30:A41">
    <cfRule type="expression" dxfId="1339" priority="10734">
      <formula>V30&gt;0</formula>
    </cfRule>
    <cfRule type="expression" dxfId="1338" priority="10735">
      <formula>V30&lt;0</formula>
    </cfRule>
  </conditionalFormatting>
  <conditionalFormatting sqref="A42">
    <cfRule type="expression" dxfId="1337" priority="5580">
      <formula>V42&lt;&gt;0</formula>
    </cfRule>
  </conditionalFormatting>
  <conditionalFormatting sqref="A43">
    <cfRule type="expression" dxfId="1336" priority="5579">
      <formula>V43&lt;&gt;0</formula>
    </cfRule>
  </conditionalFormatting>
  <conditionalFormatting sqref="A44">
    <cfRule type="expression" dxfId="1335" priority="5578">
      <formula>V44&lt;&gt;0</formula>
    </cfRule>
  </conditionalFormatting>
  <conditionalFormatting sqref="A45">
    <cfRule type="expression" dxfId="1334" priority="5577">
      <formula>V45&lt;&gt;0</formula>
    </cfRule>
  </conditionalFormatting>
  <conditionalFormatting sqref="A46:A47">
    <cfRule type="expression" dxfId="1333" priority="5367">
      <formula>V46&lt;&gt;0</formula>
    </cfRule>
  </conditionalFormatting>
  <conditionalFormatting sqref="A48:A49">
    <cfRule type="expression" dxfId="1332" priority="10523">
      <formula>V48&lt;&gt;0</formula>
    </cfRule>
  </conditionalFormatting>
  <conditionalFormatting sqref="A50:A51">
    <cfRule type="expression" dxfId="1331" priority="10522">
      <formula>V50&lt;&gt;0</formula>
    </cfRule>
  </conditionalFormatting>
  <conditionalFormatting sqref="B42:B47 B50:B53 B56:B59 B62:B65 B68:B71 B74:B77 B80:B83 B86:B89 B92:B95 B98:B101 B104:B107 B110:B113 B116:B119 B122:B125 B128:B131 B134:B137">
    <cfRule type="cellIs" dxfId="1330" priority="11211" operator="greaterThan">
      <formula>E42</formula>
    </cfRule>
  </conditionalFormatting>
  <conditionalFormatting sqref="B140:B141">
    <cfRule type="cellIs" dxfId="1329" priority="9783" operator="greaterThan">
      <formula>E140</formula>
    </cfRule>
  </conditionalFormatting>
  <conditionalFormatting sqref="E42:E47 E50:E53 E56:E59 E62:E65 E68:E71 E74:E77 E80:E83 E86:E89 E92:E95 E98:E101 E104:E107 E110:E113 E116:E119 E122:E125 E128:E131 E134:E137">
    <cfRule type="cellIs" dxfId="1328" priority="11210" operator="greaterThan">
      <formula>B42</formula>
    </cfRule>
  </conditionalFormatting>
  <conditionalFormatting sqref="E140:E141">
    <cfRule type="cellIs" dxfId="1327" priority="9782" operator="greaterThan">
      <formula>B140</formula>
    </cfRule>
  </conditionalFormatting>
  <conditionalFormatting sqref="G52:G141 G2:G45">
    <cfRule type="cellIs" dxfId="1326" priority="9784" operator="lessThan">
      <formula>0</formula>
    </cfRule>
  </conditionalFormatting>
  <conditionalFormatting sqref="Q2:T141">
    <cfRule type="cellIs" dxfId="1325" priority="9293" operator="equal">
      <formula>0</formula>
    </cfRule>
  </conditionalFormatting>
  <conditionalFormatting sqref="V2:V67">
    <cfRule type="cellIs" dxfId="1324" priority="9786" operator="lessThan">
      <formula>0</formula>
    </cfRule>
    <cfRule type="cellIs" dxfId="1323" priority="9787" operator="equal">
      <formula>0</formula>
    </cfRule>
  </conditionalFormatting>
  <conditionalFormatting sqref="Y48 Y50">
    <cfRule type="cellIs" dxfId="1322" priority="5389" operator="lessThanOrEqual">
      <formula>0</formula>
    </cfRule>
  </conditionalFormatting>
  <conditionalFormatting sqref="Y30:Z41">
    <cfRule type="cellIs" dxfId="1321" priority="10036" operator="equal">
      <formula>0</formula>
    </cfRule>
  </conditionalFormatting>
  <conditionalFormatting sqref="W47">
    <cfRule type="cellIs" dxfId="1320" priority="5343" operator="equal">
      <formula>0</formula>
    </cfRule>
  </conditionalFormatting>
  <conditionalFormatting sqref="W46">
    <cfRule type="cellIs" dxfId="1319" priority="453" operator="equal">
      <formula>0</formula>
    </cfRule>
    <cfRule type="cellIs" dxfId="1318" priority="455" operator="lessThan">
      <formula>W47</formula>
    </cfRule>
    <cfRule type="cellIs" dxfId="1317" priority="5342" operator="lessThan">
      <formula>0</formula>
    </cfRule>
  </conditionalFormatting>
  <conditionalFormatting sqref="W49">
    <cfRule type="cellIs" dxfId="1316" priority="5341" operator="equal">
      <formula>0</formula>
    </cfRule>
  </conditionalFormatting>
  <conditionalFormatting sqref="W48">
    <cfRule type="cellIs" dxfId="1315" priority="451" operator="equal">
      <formula>0</formula>
    </cfRule>
    <cfRule type="cellIs" dxfId="1314" priority="452" operator="lessThan">
      <formula>W49</formula>
    </cfRule>
    <cfRule type="cellIs" dxfId="1313" priority="5340" operator="lessThan">
      <formula>0</formula>
    </cfRule>
  </conditionalFormatting>
  <conditionalFormatting sqref="W50">
    <cfRule type="cellIs" dxfId="1312" priority="450" operator="equal">
      <formula>0</formula>
    </cfRule>
    <cfRule type="cellIs" dxfId="1311" priority="456" operator="lessThan">
      <formula>W51</formula>
    </cfRule>
  </conditionalFormatting>
  <conditionalFormatting sqref="W19">
    <cfRule type="cellIs" dxfId="1310" priority="5247" operator="lessThan">
      <formula>0</formula>
    </cfRule>
  </conditionalFormatting>
  <conditionalFormatting sqref="W18">
    <cfRule type="cellIs" dxfId="1309" priority="5246" operator="lessThan">
      <formula>0</formula>
    </cfRule>
  </conditionalFormatting>
  <conditionalFormatting sqref="W21">
    <cfRule type="cellIs" dxfId="1308" priority="5245" operator="lessThan">
      <formula>0</formula>
    </cfRule>
  </conditionalFormatting>
  <conditionalFormatting sqref="W20">
    <cfRule type="cellIs" dxfId="1307" priority="5244" operator="lessThan">
      <formula>0</formula>
    </cfRule>
  </conditionalFormatting>
  <conditionalFormatting sqref="W11 W15">
    <cfRule type="cellIs" dxfId="1306" priority="5243" operator="lessThan">
      <formula>0</formula>
    </cfRule>
  </conditionalFormatting>
  <conditionalFormatting sqref="W10 W14">
    <cfRule type="cellIs" dxfId="1305" priority="5242" operator="lessThan">
      <formula>0</formula>
    </cfRule>
  </conditionalFormatting>
  <conditionalFormatting sqref="W13 W17">
    <cfRule type="cellIs" dxfId="1304" priority="5241" operator="lessThan">
      <formula>0</formula>
    </cfRule>
  </conditionalFormatting>
  <conditionalFormatting sqref="W12 W16">
    <cfRule type="cellIs" dxfId="1303" priority="5240" operator="lessThan">
      <formula>0</formula>
    </cfRule>
  </conditionalFormatting>
  <conditionalFormatting sqref="Z2 Z6 Z10 Z14">
    <cfRule type="cellIs" dxfId="1302" priority="5010" operator="equal">
      <formula>0</formula>
    </cfRule>
  </conditionalFormatting>
  <conditionalFormatting sqref="Z3 Z7 Z11 Z15">
    <cfRule type="cellIs" dxfId="1301" priority="5009" operator="equal">
      <formula>0</formula>
    </cfRule>
  </conditionalFormatting>
  <conditionalFormatting sqref="Z4 Z8 Z12 Z16">
    <cfRule type="cellIs" dxfId="1300" priority="5008" operator="equal">
      <formula>0</formula>
    </cfRule>
  </conditionalFormatting>
  <conditionalFormatting sqref="Z5 Z9 Z13 Z17">
    <cfRule type="cellIs" dxfId="1299" priority="5007" operator="equal">
      <formula>0</formula>
    </cfRule>
  </conditionalFormatting>
  <conditionalFormatting sqref="A52:A53">
    <cfRule type="expression" dxfId="1298" priority="4960">
      <formula>V52&lt;&gt;0</formula>
    </cfRule>
  </conditionalFormatting>
  <conditionalFormatting sqref="A54:A55">
    <cfRule type="expression" dxfId="1297" priority="4962">
      <formula>V54&lt;&gt;0</formula>
    </cfRule>
  </conditionalFormatting>
  <conditionalFormatting sqref="A58:A59">
    <cfRule type="expression" dxfId="1296" priority="4957">
      <formula>V58&lt;&gt;0</formula>
    </cfRule>
  </conditionalFormatting>
  <conditionalFormatting sqref="A60:A61">
    <cfRule type="expression" dxfId="1295" priority="4959">
      <formula>V60&lt;&gt;0</formula>
    </cfRule>
  </conditionalFormatting>
  <conditionalFormatting sqref="A64:A65">
    <cfRule type="expression" dxfId="1294" priority="4954">
      <formula>V64&lt;&gt;0</formula>
    </cfRule>
  </conditionalFormatting>
  <conditionalFormatting sqref="A66:A67">
    <cfRule type="expression" dxfId="1293" priority="4956">
      <formula>V66&lt;&gt;0</formula>
    </cfRule>
  </conditionalFormatting>
  <conditionalFormatting sqref="A70:A71">
    <cfRule type="expression" dxfId="1292" priority="4951">
      <formula>V70&lt;&gt;0</formula>
    </cfRule>
  </conditionalFormatting>
  <conditionalFormatting sqref="A72:A73">
    <cfRule type="expression" dxfId="1291" priority="4953">
      <formula>V72&lt;&gt;0</formula>
    </cfRule>
  </conditionalFormatting>
  <conditionalFormatting sqref="A76:A77">
    <cfRule type="expression" dxfId="1290" priority="4948">
      <formula>V76&lt;&gt;0</formula>
    </cfRule>
  </conditionalFormatting>
  <conditionalFormatting sqref="A78:A79">
    <cfRule type="expression" dxfId="1289" priority="4950">
      <formula>V78&lt;&gt;0</formula>
    </cfRule>
  </conditionalFormatting>
  <conditionalFormatting sqref="A82:A83">
    <cfRule type="expression" dxfId="1288" priority="4945">
      <formula>V82&lt;&gt;0</formula>
    </cfRule>
  </conditionalFormatting>
  <conditionalFormatting sqref="A84:A85">
    <cfRule type="expression" dxfId="1287" priority="4947">
      <formula>V84&lt;&gt;0</formula>
    </cfRule>
  </conditionalFormatting>
  <conditionalFormatting sqref="A88:A89">
    <cfRule type="expression" dxfId="1286" priority="4942">
      <formula>V88&lt;&gt;0</formula>
    </cfRule>
  </conditionalFormatting>
  <conditionalFormatting sqref="A90:A91">
    <cfRule type="expression" dxfId="1285" priority="4944">
      <formula>V90&lt;&gt;0</formula>
    </cfRule>
  </conditionalFormatting>
  <conditionalFormatting sqref="A94:A95">
    <cfRule type="expression" dxfId="1284" priority="4939">
      <formula>V94&lt;&gt;0</formula>
    </cfRule>
  </conditionalFormatting>
  <conditionalFormatting sqref="A96:A97">
    <cfRule type="expression" dxfId="1283" priority="4941">
      <formula>V96&lt;&gt;0</formula>
    </cfRule>
  </conditionalFormatting>
  <conditionalFormatting sqref="A100:A101">
    <cfRule type="expression" dxfId="1282" priority="4936">
      <formula>V100&lt;&gt;0</formula>
    </cfRule>
  </conditionalFormatting>
  <conditionalFormatting sqref="A102:A103">
    <cfRule type="expression" dxfId="1281" priority="4938">
      <formula>V102&lt;&gt;0</formula>
    </cfRule>
  </conditionalFormatting>
  <conditionalFormatting sqref="A106:A107">
    <cfRule type="expression" dxfId="1280" priority="4933">
      <formula>V106&lt;&gt;0</formula>
    </cfRule>
  </conditionalFormatting>
  <conditionalFormatting sqref="A108:A109">
    <cfRule type="expression" dxfId="1279" priority="4935">
      <formula>V108&lt;&gt;0</formula>
    </cfRule>
  </conditionalFormatting>
  <conditionalFormatting sqref="A112:A113">
    <cfRule type="expression" dxfId="1278" priority="4930">
      <formula>V112&lt;&gt;0</formula>
    </cfRule>
  </conditionalFormatting>
  <conditionalFormatting sqref="A114:A115">
    <cfRule type="expression" dxfId="1277" priority="4932">
      <formula>V114&lt;&gt;0</formula>
    </cfRule>
  </conditionalFormatting>
  <conditionalFormatting sqref="A118:A119">
    <cfRule type="expression" dxfId="1276" priority="4927">
      <formula>V118&lt;&gt;0</formula>
    </cfRule>
  </conditionalFormatting>
  <conditionalFormatting sqref="A120:A121">
    <cfRule type="expression" dxfId="1275" priority="4929">
      <formula>V120&lt;&gt;0</formula>
    </cfRule>
  </conditionalFormatting>
  <conditionalFormatting sqref="A124:A125">
    <cfRule type="expression" dxfId="1274" priority="4924">
      <formula>V124&lt;&gt;0</formula>
    </cfRule>
  </conditionalFormatting>
  <conditionalFormatting sqref="A126:A127">
    <cfRule type="expression" dxfId="1273" priority="4926">
      <formula>V126&lt;&gt;0</formula>
    </cfRule>
  </conditionalFormatting>
  <conditionalFormatting sqref="A130:A131">
    <cfRule type="expression" dxfId="1272" priority="4921">
      <formula>V130&lt;&gt;0</formula>
    </cfRule>
  </conditionalFormatting>
  <conditionalFormatting sqref="A132:A133">
    <cfRule type="expression" dxfId="1271" priority="4923">
      <formula>V132&lt;&gt;0</formula>
    </cfRule>
  </conditionalFormatting>
  <conditionalFormatting sqref="A136:A137">
    <cfRule type="expression" dxfId="1270" priority="4918">
      <formula>V136&lt;&gt;0</formula>
    </cfRule>
  </conditionalFormatting>
  <conditionalFormatting sqref="A138:A139">
    <cfRule type="expression" dxfId="1269" priority="4920">
      <formula>V138&lt;&gt;0</formula>
    </cfRule>
  </conditionalFormatting>
  <conditionalFormatting sqref="G46:G51">
    <cfRule type="cellIs" dxfId="1268" priority="4142" operator="lessThan">
      <formula>0</formula>
    </cfRule>
  </conditionalFormatting>
  <conditionalFormatting sqref="G22">
    <cfRule type="cellIs" dxfId="1267" priority="4141" operator="equal">
      <formula>0</formula>
    </cfRule>
  </conditionalFormatting>
  <conditionalFormatting sqref="G23">
    <cfRule type="cellIs" dxfId="1266" priority="4140" operator="equal">
      <formula>0</formula>
    </cfRule>
  </conditionalFormatting>
  <conditionalFormatting sqref="G24">
    <cfRule type="cellIs" dxfId="1265" priority="4139" operator="equal">
      <formula>0</formula>
    </cfRule>
  </conditionalFormatting>
  <conditionalFormatting sqref="G25">
    <cfRule type="cellIs" dxfId="1264" priority="4138" operator="equal">
      <formula>0</formula>
    </cfRule>
  </conditionalFormatting>
  <conditionalFormatting sqref="G26">
    <cfRule type="cellIs" dxfId="1263" priority="4137" operator="equal">
      <formula>0</formula>
    </cfRule>
  </conditionalFormatting>
  <conditionalFormatting sqref="G27">
    <cfRule type="cellIs" dxfId="1262" priority="4136" operator="equal">
      <formula>0</formula>
    </cfRule>
  </conditionalFormatting>
  <conditionalFormatting sqref="G28">
    <cfRule type="cellIs" dxfId="1261" priority="4135" operator="equal">
      <formula>0</formula>
    </cfRule>
  </conditionalFormatting>
  <conditionalFormatting sqref="G29">
    <cfRule type="cellIs" dxfId="1260" priority="4134" operator="equal">
      <formula>0</formula>
    </cfRule>
  </conditionalFormatting>
  <conditionalFormatting sqref="G2">
    <cfRule type="cellIs" dxfId="1259" priority="4133" operator="equal">
      <formula>0</formula>
    </cfRule>
  </conditionalFormatting>
  <conditionalFormatting sqref="G3">
    <cfRule type="cellIs" dxfId="1258" priority="4132" operator="equal">
      <formula>0</formula>
    </cfRule>
  </conditionalFormatting>
  <conditionalFormatting sqref="G4">
    <cfRule type="cellIs" dxfId="1257" priority="4131" operator="equal">
      <formula>0</formula>
    </cfRule>
  </conditionalFormatting>
  <conditionalFormatting sqref="G5">
    <cfRule type="cellIs" dxfId="1256" priority="4130" operator="equal">
      <formula>0</formula>
    </cfRule>
  </conditionalFormatting>
  <conditionalFormatting sqref="G6">
    <cfRule type="cellIs" dxfId="1255" priority="4129" operator="equal">
      <formula>0</formula>
    </cfRule>
  </conditionalFormatting>
  <conditionalFormatting sqref="G7">
    <cfRule type="cellIs" dxfId="1254" priority="4128" operator="equal">
      <formula>0</formula>
    </cfRule>
  </conditionalFormatting>
  <conditionalFormatting sqref="G8">
    <cfRule type="cellIs" dxfId="1253" priority="4127" operator="equal">
      <formula>0</formula>
    </cfRule>
  </conditionalFormatting>
  <conditionalFormatting sqref="G9">
    <cfRule type="cellIs" dxfId="1252" priority="4126" operator="equal">
      <formula>0</formula>
    </cfRule>
  </conditionalFormatting>
  <conditionalFormatting sqref="G10">
    <cfRule type="cellIs" dxfId="1251" priority="4125" operator="equal">
      <formula>0</formula>
    </cfRule>
  </conditionalFormatting>
  <conditionalFormatting sqref="G11">
    <cfRule type="cellIs" dxfId="1250" priority="4124" operator="equal">
      <formula>0</formula>
    </cfRule>
  </conditionalFormatting>
  <conditionalFormatting sqref="G12">
    <cfRule type="cellIs" dxfId="1249" priority="4123" operator="equal">
      <formula>0</formula>
    </cfRule>
  </conditionalFormatting>
  <conditionalFormatting sqref="G13">
    <cfRule type="cellIs" dxfId="1248" priority="4122" operator="equal">
      <formula>0</formula>
    </cfRule>
  </conditionalFormatting>
  <conditionalFormatting sqref="G14 G18">
    <cfRule type="cellIs" dxfId="1247" priority="4121" operator="equal">
      <formula>0</formula>
    </cfRule>
  </conditionalFormatting>
  <conditionalFormatting sqref="G15 G19">
    <cfRule type="cellIs" dxfId="1246" priority="4120" operator="equal">
      <formula>0</formula>
    </cfRule>
  </conditionalFormatting>
  <conditionalFormatting sqref="G16 G20">
    <cfRule type="cellIs" dxfId="1245" priority="4119" operator="equal">
      <formula>0</formula>
    </cfRule>
  </conditionalFormatting>
  <conditionalFormatting sqref="G17 G21">
    <cfRule type="cellIs" dxfId="1244" priority="4118" operator="equal">
      <formula>0</formula>
    </cfRule>
  </conditionalFormatting>
  <conditionalFormatting sqref="Y5">
    <cfRule type="cellIs" dxfId="1243" priority="4061" operator="equal">
      <formula>0</formula>
    </cfRule>
    <cfRule type="cellIs" dxfId="1242" priority="4064" operator="greaterThan">
      <formula>Y2</formula>
    </cfRule>
  </conditionalFormatting>
  <conditionalFormatting sqref="Y3">
    <cfRule type="cellIs" dxfId="1241" priority="4063" operator="equal">
      <formula>0</formula>
    </cfRule>
  </conditionalFormatting>
  <conditionalFormatting sqref="Y4">
    <cfRule type="cellIs" dxfId="1240" priority="4062" operator="equal">
      <formula>0</formula>
    </cfRule>
  </conditionalFormatting>
  <conditionalFormatting sqref="Y9">
    <cfRule type="cellIs" dxfId="1239" priority="4055" operator="equal">
      <formula>0</formula>
    </cfRule>
    <cfRule type="cellIs" dxfId="1238" priority="4058" operator="greaterThan">
      <formula>Y6</formula>
    </cfRule>
  </conditionalFormatting>
  <conditionalFormatting sqref="Y7">
    <cfRule type="cellIs" dxfId="1237" priority="4057" operator="equal">
      <formula>0</formula>
    </cfRule>
  </conditionalFormatting>
  <conditionalFormatting sqref="Y8">
    <cfRule type="cellIs" dxfId="1236" priority="4056" operator="equal">
      <formula>0</formula>
    </cfRule>
  </conditionalFormatting>
  <conditionalFormatting sqref="Y13 Y17">
    <cfRule type="cellIs" dxfId="1235" priority="4049" operator="equal">
      <formula>0</formula>
    </cfRule>
    <cfRule type="cellIs" dxfId="1234" priority="4052" operator="greaterThan">
      <formula>Y10</formula>
    </cfRule>
  </conditionalFormatting>
  <conditionalFormatting sqref="Y11 Y15">
    <cfRule type="cellIs" dxfId="1233" priority="4051" operator="equal">
      <formula>0</formula>
    </cfRule>
  </conditionalFormatting>
  <conditionalFormatting sqref="Y12 Y16">
    <cfRule type="cellIs" dxfId="1232" priority="4050" operator="equal">
      <formula>0</formula>
    </cfRule>
  </conditionalFormatting>
  <conditionalFormatting sqref="AA22">
    <cfRule type="cellIs" dxfId="1231" priority="3227" operator="equal">
      <formula>0</formula>
    </cfRule>
  </conditionalFormatting>
  <conditionalFormatting sqref="AA23">
    <cfRule type="cellIs" dxfId="1230" priority="3226" operator="equal">
      <formula>0</formula>
    </cfRule>
  </conditionalFormatting>
  <conditionalFormatting sqref="AA24">
    <cfRule type="cellIs" dxfId="1229" priority="3225" operator="equal">
      <formula>0</formula>
    </cfRule>
  </conditionalFormatting>
  <conditionalFormatting sqref="AA25">
    <cfRule type="cellIs" dxfId="1228" priority="3224" operator="equal">
      <formula>0</formula>
    </cfRule>
  </conditionalFormatting>
  <conditionalFormatting sqref="AA26">
    <cfRule type="cellIs" dxfId="1227" priority="3223" operator="equal">
      <formula>0</formula>
    </cfRule>
  </conditionalFormatting>
  <conditionalFormatting sqref="AA27">
    <cfRule type="cellIs" dxfId="1226" priority="3222" operator="equal">
      <formula>0</formula>
    </cfRule>
  </conditionalFormatting>
  <conditionalFormatting sqref="AA28">
    <cfRule type="cellIs" dxfId="1225" priority="3221" operator="equal">
      <formula>0</formula>
    </cfRule>
  </conditionalFormatting>
  <conditionalFormatting sqref="AA29">
    <cfRule type="cellIs" dxfId="1224" priority="3220" operator="equal">
      <formula>0</formula>
    </cfRule>
  </conditionalFormatting>
  <conditionalFormatting sqref="Y5 Y9 Y13 Y17">
    <cfRule type="expression" dxfId="1223" priority="13204">
      <formula>IF($Y5&gt;$Y2,AND(MID($A5,5,1)="D"))</formula>
    </cfRule>
    <cfRule type="expression" dxfId="1222" priority="13205">
      <formula>IF($Y5&gt;$Y2,AND(MID($A5,5,1)="C"))</formula>
    </cfRule>
  </conditionalFormatting>
  <conditionalFormatting sqref="AA2:AA3 AA6:AA7 AA10:AA11 AA14:AA15">
    <cfRule type="expression" dxfId="1221" priority="13212">
      <formula>IF($Y5&gt;$Y2,AND(MID($A2,5,1)="D"))</formula>
    </cfRule>
    <cfRule type="expression" dxfId="1220" priority="13213">
      <formula>IF($Y5&gt;$Y2,AND(MID($A2,5,1)="C"))</formula>
    </cfRule>
    <cfRule type="cellIs" dxfId="1219" priority="13214" operator="equal">
      <formula>0</formula>
    </cfRule>
  </conditionalFormatting>
  <conditionalFormatting sqref="AA4:AA5 AA8:AA9 AA12:AA13 AA16:AA17">
    <cfRule type="expression" dxfId="1218" priority="13224">
      <formula>IF($Y5&gt;$Y2,AND(MID($A5,5,1)="D"))</formula>
    </cfRule>
    <cfRule type="expression" dxfId="1217" priority="13225">
      <formula>IF($Y5&gt;$Y2,AND(MID($A5,5,1)="C"))</formula>
    </cfRule>
    <cfRule type="cellIs" dxfId="1216" priority="13226" operator="equal">
      <formula>0</formula>
    </cfRule>
  </conditionalFormatting>
  <conditionalFormatting sqref="Z18:AA18 Z20:AA20">
    <cfRule type="expression" dxfId="1215" priority="13236">
      <formula>IF($AA18&gt;$Y19,AND(MID($A18,5,1)=" "))</formula>
    </cfRule>
    <cfRule type="expression" dxfId="1214" priority="13237">
      <formula>IF($AA18&gt;$Y19,AND(MID($A18,5,1)="C"))</formula>
    </cfRule>
    <cfRule type="expression" dxfId="1213" priority="13238">
      <formula>IF($AA18&gt;$Y19,AND(MID($A18,5,1)="D"))</formula>
    </cfRule>
  </conditionalFormatting>
  <conditionalFormatting sqref="Z19:AA19 Z21:AA21">
    <cfRule type="expression" dxfId="1212" priority="13242">
      <formula>IF($AA19&gt;$Y18,AND(MID($A19,5,1)=" "))</formula>
    </cfRule>
    <cfRule type="expression" dxfId="1211" priority="13243">
      <formula>IF($AA19&gt;$Y18,AND(MID($A19,5,1)="C"))</formula>
    </cfRule>
    <cfRule type="expression" dxfId="1210" priority="13244">
      <formula>IF($AA19&gt;$Y18,AND(MID($A19,5,1)="D"))</formula>
    </cfRule>
  </conditionalFormatting>
  <conditionalFormatting sqref="B2 B6 B10 B14">
    <cfRule type="expression" dxfId="1209" priority="13248">
      <formula>IF($Y5&gt;$Y2,AND(MID($A2,5,1)=" "))</formula>
    </cfRule>
    <cfRule type="expression" dxfId="1208" priority="13249">
      <formula>IF($Y5&gt;$Y2,AND(MID($A2,5,1)="C"))</formula>
    </cfRule>
    <cfRule type="expression" dxfId="1207" priority="13250">
      <formula>IF($Y5&gt;$Y2,AND(MID($A2,5,1)="D"))</formula>
    </cfRule>
  </conditionalFormatting>
  <conditionalFormatting sqref="E3 E7 E11 E15">
    <cfRule type="expression" dxfId="1206" priority="13263">
      <formula>IF($Y5&gt;$Y2,AND(MID($A3,5,1)=" "))</formula>
    </cfRule>
    <cfRule type="expression" dxfId="1205" priority="13264">
      <formula>IF($Y5&gt;$Y2,AND(MID($A3,5,1)="C"))</formula>
    </cfRule>
    <cfRule type="expression" dxfId="1204" priority="13265">
      <formula>IF($Y5&gt;$Y2,AND(MID($A3,5,1)="D"))</formula>
    </cfRule>
  </conditionalFormatting>
  <conditionalFormatting sqref="B4 B8 B12 B16">
    <cfRule type="expression" dxfId="1203" priority="13278">
      <formula>IF($Y5&gt;$Y2,AND(MID($A4,5,1)=" "))</formula>
    </cfRule>
    <cfRule type="expression" dxfId="1202" priority="13279">
      <formula>IF($Y5&gt;$Y2,AND(MID($A4,5,1)="C"))</formula>
    </cfRule>
    <cfRule type="expression" dxfId="1201" priority="13280">
      <formula>IF($Y5&gt;$Y2,AND(MID($A4,5,1)="D"))</formula>
    </cfRule>
  </conditionalFormatting>
  <conditionalFormatting sqref="E5 E9 E13 E17">
    <cfRule type="expression" dxfId="1200" priority="13293">
      <formula>IF($Y5&gt;$Y2,AND(MID($A5,5,1)=" "))</formula>
    </cfRule>
    <cfRule type="expression" dxfId="1199" priority="13294">
      <formula>IF($Y5&gt;$Y2,AND(MID($A5,5,1)="C"))</formula>
    </cfRule>
    <cfRule type="expression" dxfId="1198" priority="13295">
      <formula>IF($Y5&gt;$Y2,AND(MID($A5,5,1)="D"))</formula>
    </cfRule>
  </conditionalFormatting>
  <conditionalFormatting sqref="C2 C6 C10 C14 C18">
    <cfRule type="expression" dxfId="1197" priority="13308">
      <formula>IF($Y5&gt;$Y2,AND(MID($A2,5,1)=" "))</formula>
    </cfRule>
    <cfRule type="expression" dxfId="1196" priority="13309">
      <formula>IF($Y5&gt;$Y2,AND(MID($A2,5,1)="C"))</formula>
    </cfRule>
    <cfRule type="expression" dxfId="1195" priority="13310">
      <formula>IF($Y5&gt;$Y2,AND(MID($A2,5,1)="D"))</formula>
    </cfRule>
  </conditionalFormatting>
  <conditionalFormatting sqref="D3 D7 D11 D15 D19">
    <cfRule type="expression" dxfId="1194" priority="13323">
      <formula>IF($Y5&gt;$Y2,AND(MID($A3,5,1)=" "))</formula>
    </cfRule>
    <cfRule type="expression" dxfId="1193" priority="13324">
      <formula>IF($Y5&gt;$Y2,AND(MID($A3,5,1)="C"))</formula>
    </cfRule>
    <cfRule type="expression" dxfId="1192" priority="13325">
      <formula>IF($Y5&gt;$Y2,AND(MID($A3,5,1)="D"))</formula>
    </cfRule>
  </conditionalFormatting>
  <conditionalFormatting sqref="D5 D9 D13 D17 D21">
    <cfRule type="expression" dxfId="1191" priority="13338">
      <formula>IF($Y5&gt;$Y2,AND(MID($A5,5,1)=" "))</formula>
    </cfRule>
    <cfRule type="expression" dxfId="1190" priority="13339">
      <formula>IF($Y5&gt;$Y2,AND(MID($A5,5,1)="C"))</formula>
    </cfRule>
    <cfRule type="expression" dxfId="1189" priority="13340">
      <formula>IF($Y5&gt;$Y2,AND(MID($A5,5,1)="D"))</formula>
    </cfRule>
  </conditionalFormatting>
  <conditionalFormatting sqref="C4 C8 C12 C16 C20">
    <cfRule type="expression" dxfId="1188" priority="13353">
      <formula>IF($Y5&gt;$Y2,AND(MID($A4,5,1)=" "))</formula>
    </cfRule>
    <cfRule type="expression" dxfId="1187" priority="13354">
      <formula>IF($Y5&gt;$Y2,AND(MID($A4,5,1)="C"))</formula>
    </cfRule>
    <cfRule type="expression" dxfId="1186" priority="13355">
      <formula>IF($Y5&gt;$Y2,AND(MID($A4,5,1)="D"))</formula>
    </cfRule>
  </conditionalFormatting>
  <conditionalFormatting sqref="A6 A14 A18 A2">
    <cfRule type="expression" dxfId="1185" priority="13368">
      <formula>$V10&lt;&gt;0</formula>
    </cfRule>
  </conditionalFormatting>
  <conditionalFormatting sqref="A9 A17 A5">
    <cfRule type="expression" dxfId="1184" priority="13388">
      <formula>$V13&lt;&gt;0</formula>
    </cfRule>
  </conditionalFormatting>
  <conditionalFormatting sqref="A7 A15 A3">
    <cfRule type="expression" dxfId="1183" priority="13408">
      <formula>$V11&lt;&gt;0</formula>
    </cfRule>
    <cfRule type="expression" dxfId="1182" priority="13409">
      <formula>IF($Y5&gt;$Y2,AND(MID($A3,5,1)=" "))</formula>
    </cfRule>
    <cfRule type="expression" dxfId="1181" priority="13410">
      <formula>IF($Y5&gt;$Y2,AND(MID($A3,5,1)="C"))</formula>
    </cfRule>
    <cfRule type="expression" dxfId="1180" priority="13411">
      <formula>IF($Y5&gt;$Y2,AND(MID($A3,5,1)="D"))</formula>
    </cfRule>
  </conditionalFormatting>
  <conditionalFormatting sqref="A8 A16 A4">
    <cfRule type="expression" dxfId="1179" priority="13428">
      <formula>$V12&lt;&gt;0</formula>
    </cfRule>
    <cfRule type="expression" dxfId="1178" priority="13429">
      <formula>IF($Y5&gt;$Y2,AND(MID($A4,5,1)=" "))</formula>
    </cfRule>
    <cfRule type="expression" dxfId="1177" priority="13430">
      <formula>IF($Y5&gt;$Y2,AND(MID($A4,5,1)="C"))</formula>
    </cfRule>
    <cfRule type="expression" dxfId="1176" priority="13431">
      <formula>IF($Y5&gt;$Y2,AND(MID($A4,5,1)="D"))</formula>
    </cfRule>
  </conditionalFormatting>
  <conditionalFormatting sqref="B142:B143 B148:B149">
    <cfRule type="cellIs" dxfId="1175" priority="3213" operator="greaterThan">
      <formula>E142</formula>
    </cfRule>
  </conditionalFormatting>
  <conditionalFormatting sqref="B146:B147 B152:B153">
    <cfRule type="cellIs" dxfId="1174" priority="3208" operator="greaterThan">
      <formula>E146</formula>
    </cfRule>
  </conditionalFormatting>
  <conditionalFormatting sqref="E142:E143 E148:E149">
    <cfRule type="cellIs" dxfId="1173" priority="3212" operator="greaterThan">
      <formula>B142</formula>
    </cfRule>
  </conditionalFormatting>
  <conditionalFormatting sqref="E146:E147 E152:E153">
    <cfRule type="cellIs" dxfId="1172" priority="3207" operator="greaterThan">
      <formula>B146</formula>
    </cfRule>
  </conditionalFormatting>
  <conditionalFormatting sqref="G142:G153">
    <cfRule type="cellIs" dxfId="1171" priority="3209" operator="lessThan">
      <formula>0</formula>
    </cfRule>
  </conditionalFormatting>
  <conditionalFormatting sqref="Q142:T153">
    <cfRule type="cellIs" dxfId="1170" priority="3206" operator="equal">
      <formula>0</formula>
    </cfRule>
  </conditionalFormatting>
  <conditionalFormatting sqref="A142:A143 A148:A149">
    <cfRule type="expression" dxfId="1169" priority="3201">
      <formula>V142&lt;&gt;0</formula>
    </cfRule>
  </conditionalFormatting>
  <conditionalFormatting sqref="A144:A145 A150:A151">
    <cfRule type="expression" dxfId="1168" priority="3203">
      <formula>V144&lt;&gt;0</formula>
    </cfRule>
  </conditionalFormatting>
  <conditionalFormatting sqref="Z48">
    <cfRule type="cellIs" dxfId="1167" priority="3183" operator="equal">
      <formula>0</formula>
    </cfRule>
  </conditionalFormatting>
  <conditionalFormatting sqref="AA48">
    <cfRule type="cellIs" dxfId="1166" priority="3182" operator="equal">
      <formula>0</formula>
    </cfRule>
  </conditionalFormatting>
  <conditionalFormatting sqref="Z49 Z51">
    <cfRule type="cellIs" dxfId="1165" priority="3180" operator="equal">
      <formula>0</formula>
    </cfRule>
  </conditionalFormatting>
  <conditionalFormatting sqref="AA49:AA51">
    <cfRule type="cellIs" dxfId="1164" priority="3179" operator="equal">
      <formula>0</formula>
    </cfRule>
  </conditionalFormatting>
  <conditionalFormatting sqref="Z54">
    <cfRule type="cellIs" dxfId="1163" priority="3178" operator="equal">
      <formula>0</formula>
    </cfRule>
  </conditionalFormatting>
  <conditionalFormatting sqref="AA54">
    <cfRule type="cellIs" dxfId="1162" priority="3177" operator="equal">
      <formula>0</formula>
    </cfRule>
  </conditionalFormatting>
  <conditionalFormatting sqref="Z55:Z57">
    <cfRule type="cellIs" dxfId="1161" priority="3175" operator="equal">
      <formula>0</formula>
    </cfRule>
  </conditionalFormatting>
  <conditionalFormatting sqref="AA55:AA57">
    <cfRule type="cellIs" dxfId="1160" priority="3174" operator="equal">
      <formula>0</formula>
    </cfRule>
  </conditionalFormatting>
  <conditionalFormatting sqref="Z60">
    <cfRule type="cellIs" dxfId="1159" priority="3173" operator="equal">
      <formula>0</formula>
    </cfRule>
  </conditionalFormatting>
  <conditionalFormatting sqref="AA60">
    <cfRule type="cellIs" dxfId="1158" priority="3172" operator="equal">
      <formula>0</formula>
    </cfRule>
  </conditionalFormatting>
  <conditionalFormatting sqref="Z61:Z63">
    <cfRule type="cellIs" dxfId="1157" priority="3170" operator="equal">
      <formula>0</formula>
    </cfRule>
  </conditionalFormatting>
  <conditionalFormatting sqref="AA61:AA63">
    <cfRule type="cellIs" dxfId="1156" priority="3169" operator="equal">
      <formula>0</formula>
    </cfRule>
  </conditionalFormatting>
  <conditionalFormatting sqref="Z66">
    <cfRule type="cellIs" dxfId="1155" priority="3168" operator="equal">
      <formula>0</formula>
    </cfRule>
  </conditionalFormatting>
  <conditionalFormatting sqref="AA66">
    <cfRule type="cellIs" dxfId="1154" priority="3167" operator="equal">
      <formula>0</formula>
    </cfRule>
  </conditionalFormatting>
  <conditionalFormatting sqref="Z67:Z69">
    <cfRule type="cellIs" dxfId="1153" priority="3165" operator="equal">
      <formula>0</formula>
    </cfRule>
  </conditionalFormatting>
  <conditionalFormatting sqref="AA67:AA69">
    <cfRule type="cellIs" dxfId="1152" priority="3164" operator="equal">
      <formula>0</formula>
    </cfRule>
  </conditionalFormatting>
  <conditionalFormatting sqref="Z72">
    <cfRule type="cellIs" dxfId="1151" priority="3163" operator="equal">
      <formula>0</formula>
    </cfRule>
  </conditionalFormatting>
  <conditionalFormatting sqref="AA72">
    <cfRule type="cellIs" dxfId="1150" priority="3162" operator="equal">
      <formula>0</formula>
    </cfRule>
  </conditionalFormatting>
  <conditionalFormatting sqref="Z73:Z75">
    <cfRule type="cellIs" dxfId="1149" priority="3160" operator="equal">
      <formula>0</formula>
    </cfRule>
  </conditionalFormatting>
  <conditionalFormatting sqref="AA73:AA75">
    <cfRule type="cellIs" dxfId="1148" priority="3159" operator="equal">
      <formula>0</formula>
    </cfRule>
  </conditionalFormatting>
  <conditionalFormatting sqref="Z78">
    <cfRule type="cellIs" dxfId="1147" priority="3158" operator="equal">
      <formula>0</formula>
    </cfRule>
  </conditionalFormatting>
  <conditionalFormatting sqref="AA78">
    <cfRule type="cellIs" dxfId="1146" priority="3157" operator="equal">
      <formula>0</formula>
    </cfRule>
  </conditionalFormatting>
  <conditionalFormatting sqref="Z79:Z81">
    <cfRule type="cellIs" dxfId="1145" priority="3155" operator="equal">
      <formula>0</formula>
    </cfRule>
  </conditionalFormatting>
  <conditionalFormatting sqref="AA79:AA81">
    <cfRule type="cellIs" dxfId="1144" priority="3154" operator="equal">
      <formula>0</formula>
    </cfRule>
  </conditionalFormatting>
  <conditionalFormatting sqref="Z84">
    <cfRule type="cellIs" dxfId="1143" priority="3153" operator="equal">
      <formula>0</formula>
    </cfRule>
  </conditionalFormatting>
  <conditionalFormatting sqref="AA84">
    <cfRule type="cellIs" dxfId="1142" priority="3152" operator="equal">
      <formula>0</formula>
    </cfRule>
  </conditionalFormatting>
  <conditionalFormatting sqref="Z85:Z87">
    <cfRule type="cellIs" dxfId="1141" priority="3150" operator="equal">
      <formula>0</formula>
    </cfRule>
  </conditionalFormatting>
  <conditionalFormatting sqref="AA85:AA87">
    <cfRule type="cellIs" dxfId="1140" priority="3149" operator="equal">
      <formula>0</formula>
    </cfRule>
  </conditionalFormatting>
  <conditionalFormatting sqref="Z90">
    <cfRule type="cellIs" dxfId="1139" priority="3148" operator="equal">
      <formula>0</formula>
    </cfRule>
  </conditionalFormatting>
  <conditionalFormatting sqref="AA90">
    <cfRule type="cellIs" dxfId="1138" priority="3147" operator="equal">
      <formula>0</formula>
    </cfRule>
  </conditionalFormatting>
  <conditionalFormatting sqref="Z91:Z93">
    <cfRule type="cellIs" dxfId="1137" priority="3145" operator="equal">
      <formula>0</formula>
    </cfRule>
  </conditionalFormatting>
  <conditionalFormatting sqref="AA91:AA93">
    <cfRule type="cellIs" dxfId="1136" priority="3144" operator="equal">
      <formula>0</formula>
    </cfRule>
  </conditionalFormatting>
  <conditionalFormatting sqref="Z96">
    <cfRule type="cellIs" dxfId="1135" priority="3143" operator="equal">
      <formula>0</formula>
    </cfRule>
  </conditionalFormatting>
  <conditionalFormatting sqref="AA96">
    <cfRule type="cellIs" dxfId="1134" priority="3142" operator="equal">
      <formula>0</formula>
    </cfRule>
  </conditionalFormatting>
  <conditionalFormatting sqref="Z120">
    <cfRule type="cellIs" dxfId="1133" priority="3123" operator="equal">
      <formula>0</formula>
    </cfRule>
  </conditionalFormatting>
  <conditionalFormatting sqref="Z97:Z99">
    <cfRule type="cellIs" dxfId="1132" priority="3140" operator="equal">
      <formula>0</formula>
    </cfRule>
  </conditionalFormatting>
  <conditionalFormatting sqref="AA97:AA99">
    <cfRule type="cellIs" dxfId="1131" priority="3139" operator="equal">
      <formula>0</formula>
    </cfRule>
  </conditionalFormatting>
  <conditionalFormatting sqref="Z102">
    <cfRule type="cellIs" dxfId="1130" priority="3138" operator="equal">
      <formula>0</formula>
    </cfRule>
  </conditionalFormatting>
  <conditionalFormatting sqref="AA102">
    <cfRule type="cellIs" dxfId="1129" priority="3137" operator="equal">
      <formula>0</formula>
    </cfRule>
  </conditionalFormatting>
  <conditionalFormatting sqref="Z121:Z123">
    <cfRule type="cellIs" dxfId="1128" priority="3120" operator="equal">
      <formula>0</formula>
    </cfRule>
  </conditionalFormatting>
  <conditionalFormatting sqref="Z103:Z105">
    <cfRule type="cellIs" dxfId="1127" priority="3135" operator="equal">
      <formula>0</formula>
    </cfRule>
  </conditionalFormatting>
  <conditionalFormatting sqref="AA103:AA105">
    <cfRule type="cellIs" dxfId="1126" priority="3134" operator="equal">
      <formula>0</formula>
    </cfRule>
  </conditionalFormatting>
  <conditionalFormatting sqref="Z108">
    <cfRule type="cellIs" dxfId="1125" priority="3133" operator="equal">
      <formula>0</formula>
    </cfRule>
  </conditionalFormatting>
  <conditionalFormatting sqref="AA108">
    <cfRule type="cellIs" dxfId="1124" priority="3132" operator="equal">
      <formula>0</formula>
    </cfRule>
  </conditionalFormatting>
  <conditionalFormatting sqref="AA126">
    <cfRule type="cellIs" dxfId="1123" priority="3117" operator="equal">
      <formula>0</formula>
    </cfRule>
  </conditionalFormatting>
  <conditionalFormatting sqref="Z109:Z111">
    <cfRule type="cellIs" dxfId="1122" priority="3130" operator="equal">
      <formula>0</formula>
    </cfRule>
  </conditionalFormatting>
  <conditionalFormatting sqref="AA109:AA111">
    <cfRule type="cellIs" dxfId="1121" priority="3129" operator="equal">
      <formula>0</formula>
    </cfRule>
  </conditionalFormatting>
  <conditionalFormatting sqref="Z114">
    <cfRule type="cellIs" dxfId="1120" priority="3128" operator="equal">
      <formula>0</formula>
    </cfRule>
  </conditionalFormatting>
  <conditionalFormatting sqref="AA114">
    <cfRule type="cellIs" dxfId="1119" priority="3127" operator="equal">
      <formula>0</formula>
    </cfRule>
  </conditionalFormatting>
  <conditionalFormatting sqref="AA127:AA129">
    <cfRule type="cellIs" dxfId="1118" priority="3114" operator="equal">
      <formula>0</formula>
    </cfRule>
  </conditionalFormatting>
  <conditionalFormatting sqref="Z115:Z117">
    <cfRule type="cellIs" dxfId="1117" priority="3125" operator="equal">
      <formula>0</formula>
    </cfRule>
  </conditionalFormatting>
  <conditionalFormatting sqref="AA115:AA117">
    <cfRule type="cellIs" dxfId="1116" priority="3124" operator="equal">
      <formula>0</formula>
    </cfRule>
  </conditionalFormatting>
  <conditionalFormatting sqref="AA120">
    <cfRule type="cellIs" dxfId="1115" priority="3122" operator="equal">
      <formula>0</formula>
    </cfRule>
  </conditionalFormatting>
  <conditionalFormatting sqref="AA121:AA123">
    <cfRule type="cellIs" dxfId="1114" priority="3119" operator="equal">
      <formula>0</formula>
    </cfRule>
  </conditionalFormatting>
  <conditionalFormatting sqref="Z126">
    <cfRule type="cellIs" dxfId="1113" priority="3118" operator="equal">
      <formula>0</formula>
    </cfRule>
  </conditionalFormatting>
  <conditionalFormatting sqref="Z138">
    <cfRule type="cellIs" dxfId="1112" priority="3108" operator="equal">
      <formula>0</formula>
    </cfRule>
  </conditionalFormatting>
  <conditionalFormatting sqref="Z127:Z129">
    <cfRule type="cellIs" dxfId="1111" priority="3115" operator="equal">
      <formula>0</formula>
    </cfRule>
  </conditionalFormatting>
  <conditionalFormatting sqref="Z132">
    <cfRule type="cellIs" dxfId="1110" priority="3113" operator="equal">
      <formula>0</formula>
    </cfRule>
  </conditionalFormatting>
  <conditionalFormatting sqref="AA132">
    <cfRule type="cellIs" dxfId="1109" priority="3112" operator="equal">
      <formula>0</formula>
    </cfRule>
  </conditionalFormatting>
  <conditionalFormatting sqref="Z139:Z141">
    <cfRule type="cellIs" dxfId="1108" priority="3105" operator="equal">
      <formula>0</formula>
    </cfRule>
  </conditionalFormatting>
  <conditionalFormatting sqref="Z133:Z135">
    <cfRule type="cellIs" dxfId="1107" priority="3110" operator="equal">
      <formula>0</formula>
    </cfRule>
  </conditionalFormatting>
  <conditionalFormatting sqref="AA133:AA135">
    <cfRule type="cellIs" dxfId="1106" priority="3109" operator="equal">
      <formula>0</formula>
    </cfRule>
  </conditionalFormatting>
  <conditionalFormatting sqref="AA138">
    <cfRule type="cellIs" dxfId="1105" priority="3107" operator="equal">
      <formula>0</formula>
    </cfRule>
  </conditionalFormatting>
  <conditionalFormatting sqref="AA144 AA150">
    <cfRule type="cellIs" dxfId="1104" priority="3102" operator="equal">
      <formula>0</formula>
    </cfRule>
  </conditionalFormatting>
  <conditionalFormatting sqref="AA139:AA141">
    <cfRule type="cellIs" dxfId="1103" priority="3104" operator="equal">
      <formula>0</formula>
    </cfRule>
  </conditionalFormatting>
  <conditionalFormatting sqref="Z144 Z150">
    <cfRule type="cellIs" dxfId="1102" priority="3103" operator="equal">
      <formula>0</formula>
    </cfRule>
  </conditionalFormatting>
  <conditionalFormatting sqref="AA145:AA147 AA151:AA153">
    <cfRule type="cellIs" dxfId="1101" priority="3099" operator="equal">
      <formula>0</formula>
    </cfRule>
  </conditionalFormatting>
  <conditionalFormatting sqref="Z145:Z147 Z151:Z153">
    <cfRule type="cellIs" dxfId="1100" priority="3100" operator="equal">
      <formula>0</formula>
    </cfRule>
  </conditionalFormatting>
  <conditionalFormatting sqref="AA56 AA50 AA62 AA68 AA74 AA80 AA86 AA92 AA98 AA104 AA110 AA116 AA122 AA128 AA134 AA140 AA146 AA152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">
    <cfRule type="cellIs" dxfId="1099" priority="3093" operator="equal">
      <formula>0</formula>
    </cfRule>
  </conditionalFormatting>
  <conditionalFormatting sqref="B18:B19">
    <cfRule type="cellIs" dxfId="1098" priority="3055" operator="greaterThan">
      <formula>E18</formula>
    </cfRule>
  </conditionalFormatting>
  <conditionalFormatting sqref="E18:E19">
    <cfRule type="cellIs" dxfId="1097" priority="3054" operator="greaterThan">
      <formula>B18</formula>
    </cfRule>
  </conditionalFormatting>
  <conditionalFormatting sqref="E20:E21">
    <cfRule type="cellIs" dxfId="1096" priority="3053" operator="greaterThan">
      <formula>B20</formula>
    </cfRule>
  </conditionalFormatting>
  <conditionalFormatting sqref="B20:B21">
    <cfRule type="cellIs" dxfId="1095" priority="3052" operator="greaterThan">
      <formula>E20</formula>
    </cfRule>
  </conditionalFormatting>
  <conditionalFormatting sqref="A18">
    <cfRule type="expression" dxfId="1094" priority="3051">
      <formula>V18&lt;&gt;0</formula>
    </cfRule>
  </conditionalFormatting>
  <conditionalFormatting sqref="A19">
    <cfRule type="expression" dxfId="1093" priority="3047">
      <formula>$V27&lt;&gt;0</formula>
    </cfRule>
    <cfRule type="expression" dxfId="1092" priority="3048">
      <formula>IF($Y22&gt;$Y19,AND(MID($A19,5,1)=" "))</formula>
    </cfRule>
    <cfRule type="expression" dxfId="1091" priority="3049">
      <formula>IF($Y22&gt;$Y19,AND(MID($A19,5,1)="C"))</formula>
    </cfRule>
    <cfRule type="expression" dxfId="1090" priority="3050">
      <formula>IF($Y22&gt;$Y19,AND(MID($A19,5,1)="D"))</formula>
    </cfRule>
  </conditionalFormatting>
  <conditionalFormatting sqref="A19">
    <cfRule type="expression" dxfId="1089" priority="3046">
      <formula>V19&lt;&gt;0</formula>
    </cfRule>
  </conditionalFormatting>
  <conditionalFormatting sqref="A20">
    <cfRule type="expression" dxfId="1088" priority="3042">
      <formula>$V28&lt;&gt;0</formula>
    </cfRule>
    <cfRule type="expression" dxfId="1087" priority="3043">
      <formula>IF($Y23&gt;$Y20,AND(MID($A20,5,1)=" "))</formula>
    </cfRule>
    <cfRule type="expression" dxfId="1086" priority="3044">
      <formula>IF($Y23&gt;$Y20,AND(MID($A20,5,1)="C"))</formula>
    </cfRule>
    <cfRule type="expression" dxfId="1085" priority="3045">
      <formula>IF($Y23&gt;$Y20,AND(MID($A20,5,1)="D"))</formula>
    </cfRule>
  </conditionalFormatting>
  <conditionalFormatting sqref="A20">
    <cfRule type="expression" dxfId="1084" priority="3041">
      <formula>V20&lt;&gt;0</formula>
    </cfRule>
  </conditionalFormatting>
  <conditionalFormatting sqref="A21">
    <cfRule type="expression" dxfId="1083" priority="3037">
      <formula>$V29&lt;&gt;0</formula>
    </cfRule>
    <cfRule type="expression" dxfId="1082" priority="3038">
      <formula>IF($Y24&gt;$Y21,AND(MID($A21,5,1)=" "))</formula>
    </cfRule>
    <cfRule type="expression" dxfId="1081" priority="3039">
      <formula>IF($Y24&gt;$Y21,AND(MID($A21,5,1)="C"))</formula>
    </cfRule>
    <cfRule type="expression" dxfId="1080" priority="3040">
      <formula>IF($Y24&gt;$Y21,AND(MID($A21,5,1)="D"))</formula>
    </cfRule>
  </conditionalFormatting>
  <conditionalFormatting sqref="A21">
    <cfRule type="expression" dxfId="1079" priority="3036">
      <formula>V21&lt;&gt;0</formula>
    </cfRule>
  </conditionalFormatting>
  <conditionalFormatting sqref="Y46">
    <cfRule type="cellIs" dxfId="1078" priority="2983" operator="lessThanOrEqual">
      <formula>0</formula>
    </cfRule>
  </conditionalFormatting>
  <conditionalFormatting sqref="Y42">
    <cfRule type="cellIs" dxfId="1077" priority="2872" operator="greaterThan">
      <formula>Z42</formula>
    </cfRule>
    <cfRule type="cellIs" dxfId="1076" priority="2873" operator="lessThanOrEqual">
      <formula>0</formula>
    </cfRule>
  </conditionalFormatting>
  <conditionalFormatting sqref="Y44">
    <cfRule type="cellIs" dxfId="1075" priority="2870" operator="greaterThan">
      <formula>Z44</formula>
    </cfRule>
    <cfRule type="cellIs" dxfId="1074" priority="2871" operator="lessThanOrEqual">
      <formula>0</formula>
    </cfRule>
  </conditionalFormatting>
  <conditionalFormatting sqref="A56:A57">
    <cfRule type="expression" dxfId="1073" priority="2868">
      <formula>V56&lt;&gt;0</formula>
    </cfRule>
  </conditionalFormatting>
  <conditionalFormatting sqref="A62:A63">
    <cfRule type="expression" dxfId="1072" priority="2867">
      <formula>V62&lt;&gt;0</formula>
    </cfRule>
  </conditionalFormatting>
  <conditionalFormatting sqref="A68:A69">
    <cfRule type="expression" dxfId="1071" priority="2866">
      <formula>V68&lt;&gt;0</formula>
    </cfRule>
  </conditionalFormatting>
  <conditionalFormatting sqref="A74:A75">
    <cfRule type="expression" dxfId="1070" priority="2865">
      <formula>V74&lt;&gt;0</formula>
    </cfRule>
  </conditionalFormatting>
  <conditionalFormatting sqref="A80:A81">
    <cfRule type="expression" dxfId="1069" priority="2864">
      <formula>V80&lt;&gt;0</formula>
    </cfRule>
  </conditionalFormatting>
  <conditionalFormatting sqref="A86:A87">
    <cfRule type="expression" dxfId="1068" priority="2863">
      <formula>V86&lt;&gt;0</formula>
    </cfRule>
  </conditionalFormatting>
  <conditionalFormatting sqref="A92:A93">
    <cfRule type="expression" dxfId="1067" priority="2862">
      <formula>V92&lt;&gt;0</formula>
    </cfRule>
  </conditionalFormatting>
  <conditionalFormatting sqref="A98:A99">
    <cfRule type="expression" dxfId="1066" priority="2861">
      <formula>V98&lt;&gt;0</formula>
    </cfRule>
  </conditionalFormatting>
  <conditionalFormatting sqref="A104:A105">
    <cfRule type="expression" dxfId="1065" priority="2860">
      <formula>V104&lt;&gt;0</formula>
    </cfRule>
  </conditionalFormatting>
  <conditionalFormatting sqref="A110:A111">
    <cfRule type="expression" dxfId="1064" priority="2859">
      <formula>V110&lt;&gt;0</formula>
    </cfRule>
  </conditionalFormatting>
  <conditionalFormatting sqref="A116:A117">
    <cfRule type="expression" dxfId="1063" priority="2858">
      <formula>V116&lt;&gt;0</formula>
    </cfRule>
  </conditionalFormatting>
  <conditionalFormatting sqref="A122:A123">
    <cfRule type="expression" dxfId="1062" priority="2857">
      <formula>V122&lt;&gt;0</formula>
    </cfRule>
  </conditionalFormatting>
  <conditionalFormatting sqref="A128:A129">
    <cfRule type="expression" dxfId="1061" priority="2856">
      <formula>V128&lt;&gt;0</formula>
    </cfRule>
  </conditionalFormatting>
  <conditionalFormatting sqref="A134:A135">
    <cfRule type="expression" dxfId="1060" priority="2855">
      <formula>V134&lt;&gt;0</formula>
    </cfRule>
  </conditionalFormatting>
  <conditionalFormatting sqref="A140:A141">
    <cfRule type="expression" dxfId="1059" priority="2854">
      <formula>V140&lt;&gt;0</formula>
    </cfRule>
  </conditionalFormatting>
  <conditionalFormatting sqref="A146:A147">
    <cfRule type="expression" dxfId="1058" priority="2853">
      <formula>V146&lt;&gt;0</formula>
    </cfRule>
  </conditionalFormatting>
  <conditionalFormatting sqref="A152:A153">
    <cfRule type="expression" dxfId="1057" priority="2852">
      <formula>V152&lt;&gt;0</formula>
    </cfRule>
  </conditionalFormatting>
  <conditionalFormatting sqref="X46">
    <cfRule type="expression" dxfId="1056" priority="2830">
      <formula>F46/100&lt;X46</formula>
    </cfRule>
    <cfRule type="expression" dxfId="1055" priority="2831">
      <formula>X46&lt;F46/100</formula>
    </cfRule>
  </conditionalFormatting>
  <conditionalFormatting sqref="X47">
    <cfRule type="expression" dxfId="1054" priority="2828">
      <formula>F47/100&lt;X47</formula>
    </cfRule>
    <cfRule type="expression" dxfId="1053" priority="2829">
      <formula>X47&lt;F47/100</formula>
    </cfRule>
  </conditionalFormatting>
  <conditionalFormatting sqref="X48">
    <cfRule type="expression" dxfId="1052" priority="2756">
      <formula>F48/100&lt;X48</formula>
    </cfRule>
    <cfRule type="expression" dxfId="1051" priority="2757">
      <formula>X48&lt;F48/100</formula>
    </cfRule>
  </conditionalFormatting>
  <conditionalFormatting sqref="X49">
    <cfRule type="expression" dxfId="1050" priority="2754">
      <formula>F49/100&lt;X49</formula>
    </cfRule>
    <cfRule type="expression" dxfId="1049" priority="2755">
      <formula>X49&lt;F49/100</formula>
    </cfRule>
  </conditionalFormatting>
  <conditionalFormatting sqref="X50">
    <cfRule type="expression" dxfId="1048" priority="2752">
      <formula>F50/100&lt;X50</formula>
    </cfRule>
    <cfRule type="expression" dxfId="1047" priority="2753">
      <formula>X50&lt;F50/100</formula>
    </cfRule>
  </conditionalFormatting>
  <conditionalFormatting sqref="X51">
    <cfRule type="expression" dxfId="1046" priority="2750">
      <formula>F51/100&lt;X51</formula>
    </cfRule>
    <cfRule type="expression" dxfId="1045" priority="2751">
      <formula>X51&lt;F51/100</formula>
    </cfRule>
  </conditionalFormatting>
  <conditionalFormatting sqref="W51">
    <cfRule type="cellIs" dxfId="1044" priority="438" operator="equal">
      <formula>0</formula>
    </cfRule>
    <cfRule type="cellIs" dxfId="1043" priority="1915" operator="greaterThan">
      <formula>W50</formula>
    </cfRule>
  </conditionalFormatting>
  <conditionalFormatting sqref="V68:V69">
    <cfRule type="cellIs" dxfId="1042" priority="1905" operator="lessThan">
      <formula>0</formula>
    </cfRule>
    <cfRule type="cellIs" dxfId="1041" priority="1906" operator="equal">
      <formula>0</formula>
    </cfRule>
  </conditionalFormatting>
  <conditionalFormatting sqref="V70:V73">
    <cfRule type="cellIs" dxfId="1040" priority="1226" operator="lessThan">
      <formula>0</formula>
    </cfRule>
    <cfRule type="cellIs" dxfId="1039" priority="1227" operator="equal">
      <formula>0</formula>
    </cfRule>
  </conditionalFormatting>
  <conditionalFormatting sqref="V74:V75">
    <cfRule type="cellIs" dxfId="1038" priority="1199" operator="lessThan">
      <formula>0</formula>
    </cfRule>
    <cfRule type="cellIs" dxfId="1037" priority="1200" operator="equal">
      <formula>0</formula>
    </cfRule>
  </conditionalFormatting>
  <conditionalFormatting sqref="V76:V79">
    <cfRule type="cellIs" dxfId="1036" priority="1186" operator="lessThan">
      <formula>0</formula>
    </cfRule>
    <cfRule type="cellIs" dxfId="1035" priority="1187" operator="equal">
      <formula>0</formula>
    </cfRule>
  </conditionalFormatting>
  <conditionalFormatting sqref="V80:V81">
    <cfRule type="cellIs" dxfId="1034" priority="1159" operator="lessThan">
      <formula>0</formula>
    </cfRule>
    <cfRule type="cellIs" dxfId="1033" priority="1160" operator="equal">
      <formula>0</formula>
    </cfRule>
  </conditionalFormatting>
  <conditionalFormatting sqref="V82:V85">
    <cfRule type="cellIs" dxfId="1032" priority="1146" operator="lessThan">
      <formula>0</formula>
    </cfRule>
    <cfRule type="cellIs" dxfId="1031" priority="1147" operator="equal">
      <formula>0</formula>
    </cfRule>
  </conditionalFormatting>
  <conditionalFormatting sqref="V86:V87">
    <cfRule type="cellIs" dxfId="1030" priority="1119" operator="lessThan">
      <formula>0</formula>
    </cfRule>
    <cfRule type="cellIs" dxfId="1029" priority="1120" operator="equal">
      <formula>0</formula>
    </cfRule>
  </conditionalFormatting>
  <conditionalFormatting sqref="V88:V91">
    <cfRule type="cellIs" dxfId="1028" priority="1106" operator="lessThan">
      <formula>0</formula>
    </cfRule>
    <cfRule type="cellIs" dxfId="1027" priority="1107" operator="equal">
      <formula>0</formula>
    </cfRule>
  </conditionalFormatting>
  <conditionalFormatting sqref="V92:V93">
    <cfRule type="cellIs" dxfId="1026" priority="1079" operator="lessThan">
      <formula>0</formula>
    </cfRule>
    <cfRule type="cellIs" dxfId="1025" priority="1080" operator="equal">
      <formula>0</formula>
    </cfRule>
  </conditionalFormatting>
  <conditionalFormatting sqref="V94:V97">
    <cfRule type="cellIs" dxfId="1024" priority="1066" operator="lessThan">
      <formula>0</formula>
    </cfRule>
    <cfRule type="cellIs" dxfId="1023" priority="1067" operator="equal">
      <formula>0</formula>
    </cfRule>
  </conditionalFormatting>
  <conditionalFormatting sqref="V98:V99">
    <cfRule type="cellIs" dxfId="1022" priority="1039" operator="lessThan">
      <formula>0</formula>
    </cfRule>
    <cfRule type="cellIs" dxfId="1021" priority="1040" operator="equal">
      <formula>0</formula>
    </cfRule>
  </conditionalFormatting>
  <conditionalFormatting sqref="V100:V103">
    <cfRule type="cellIs" dxfId="1020" priority="1026" operator="lessThan">
      <formula>0</formula>
    </cfRule>
    <cfRule type="cellIs" dxfId="1019" priority="1027" operator="equal">
      <formula>0</formula>
    </cfRule>
  </conditionalFormatting>
  <conditionalFormatting sqref="V104:V105">
    <cfRule type="cellIs" dxfId="1018" priority="999" operator="lessThan">
      <formula>0</formula>
    </cfRule>
    <cfRule type="cellIs" dxfId="1017" priority="1000" operator="equal">
      <formula>0</formula>
    </cfRule>
  </conditionalFormatting>
  <conditionalFormatting sqref="V106:V109">
    <cfRule type="cellIs" dxfId="1016" priority="986" operator="lessThan">
      <formula>0</formula>
    </cfRule>
    <cfRule type="cellIs" dxfId="1015" priority="987" operator="equal">
      <formula>0</formula>
    </cfRule>
  </conditionalFormatting>
  <conditionalFormatting sqref="V110:V111">
    <cfRule type="cellIs" dxfId="1014" priority="959" operator="lessThan">
      <formula>0</formula>
    </cfRule>
    <cfRule type="cellIs" dxfId="1013" priority="960" operator="equal">
      <formula>0</formula>
    </cfRule>
  </conditionalFormatting>
  <conditionalFormatting sqref="V112:V115">
    <cfRule type="cellIs" dxfId="1012" priority="946" operator="lessThan">
      <formula>0</formula>
    </cfRule>
    <cfRule type="cellIs" dxfId="1011" priority="947" operator="equal">
      <formula>0</formula>
    </cfRule>
  </conditionalFormatting>
  <conditionalFormatting sqref="V116:V117">
    <cfRule type="cellIs" dxfId="1010" priority="919" operator="lessThan">
      <formula>0</formula>
    </cfRule>
    <cfRule type="cellIs" dxfId="1009" priority="920" operator="equal">
      <formula>0</formula>
    </cfRule>
  </conditionalFormatting>
  <conditionalFormatting sqref="V118:V121">
    <cfRule type="cellIs" dxfId="1008" priority="906" operator="lessThan">
      <formula>0</formula>
    </cfRule>
    <cfRule type="cellIs" dxfId="1007" priority="907" operator="equal">
      <formula>0</formula>
    </cfRule>
  </conditionalFormatting>
  <conditionalFormatting sqref="V122:V123">
    <cfRule type="cellIs" dxfId="1006" priority="879" operator="lessThan">
      <formula>0</formula>
    </cfRule>
    <cfRule type="cellIs" dxfId="1005" priority="880" operator="equal">
      <formula>0</formula>
    </cfRule>
  </conditionalFormatting>
  <conditionalFormatting sqref="V124:V127">
    <cfRule type="cellIs" dxfId="1004" priority="866" operator="lessThan">
      <formula>0</formula>
    </cfRule>
    <cfRule type="cellIs" dxfId="1003" priority="867" operator="equal">
      <formula>0</formula>
    </cfRule>
  </conditionalFormatting>
  <conditionalFormatting sqref="V128:V129">
    <cfRule type="cellIs" dxfId="1002" priority="839" operator="lessThan">
      <formula>0</formula>
    </cfRule>
    <cfRule type="cellIs" dxfId="1001" priority="840" operator="equal">
      <formula>0</formula>
    </cfRule>
  </conditionalFormatting>
  <conditionalFormatting sqref="V130:V133">
    <cfRule type="cellIs" dxfId="1000" priority="826" operator="lessThan">
      <formula>0</formula>
    </cfRule>
    <cfRule type="cellIs" dxfId="999" priority="827" operator="equal">
      <formula>0</formula>
    </cfRule>
  </conditionalFormatting>
  <conditionalFormatting sqref="V134:V135">
    <cfRule type="cellIs" dxfId="998" priority="799" operator="lessThan">
      <formula>0</formula>
    </cfRule>
    <cfRule type="cellIs" dxfId="997" priority="800" operator="equal">
      <formula>0</formula>
    </cfRule>
  </conditionalFormatting>
  <conditionalFormatting sqref="V136:V139">
    <cfRule type="cellIs" dxfId="996" priority="786" operator="lessThan">
      <formula>0</formula>
    </cfRule>
    <cfRule type="cellIs" dxfId="995" priority="787" operator="equal">
      <formula>0</formula>
    </cfRule>
  </conditionalFormatting>
  <conditionalFormatting sqref="V140:V141">
    <cfRule type="cellIs" dxfId="994" priority="759" operator="lessThan">
      <formula>0</formula>
    </cfRule>
    <cfRule type="cellIs" dxfId="993" priority="760" operator="equal">
      <formula>0</formula>
    </cfRule>
  </conditionalFormatting>
  <conditionalFormatting sqref="V142:V145">
    <cfRule type="cellIs" dxfId="992" priority="746" operator="lessThan">
      <formula>0</formula>
    </cfRule>
    <cfRule type="cellIs" dxfId="991" priority="747" operator="equal">
      <formula>0</formula>
    </cfRule>
  </conditionalFormatting>
  <conditionalFormatting sqref="V146:V147">
    <cfRule type="cellIs" dxfId="990" priority="719" operator="lessThan">
      <formula>0</formula>
    </cfRule>
    <cfRule type="cellIs" dxfId="989" priority="720" operator="equal">
      <formula>0</formula>
    </cfRule>
  </conditionalFormatting>
  <conditionalFormatting sqref="V148:V151">
    <cfRule type="cellIs" dxfId="988" priority="706" operator="lessThan">
      <formula>0</formula>
    </cfRule>
    <cfRule type="cellIs" dxfId="987" priority="707" operator="equal">
      <formula>0</formula>
    </cfRule>
  </conditionalFormatting>
  <conditionalFormatting sqref="V152:V153">
    <cfRule type="cellIs" dxfId="986" priority="679" operator="lessThan">
      <formula>0</formula>
    </cfRule>
    <cfRule type="cellIs" dxfId="985" priority="680" operator="equal">
      <formula>0</formula>
    </cfRule>
  </conditionalFormatting>
  <conditionalFormatting sqref="A10">
    <cfRule type="expression" dxfId="984" priority="618">
      <formula>$V18&lt;&gt;0</formula>
    </cfRule>
    <cfRule type="expression" dxfId="983" priority="619">
      <formula>IF($Y13&gt;$Y10,AND(MID($A10,5,1)=" "))</formula>
    </cfRule>
    <cfRule type="expression" dxfId="982" priority="620">
      <formula>IF($Y13&gt;$Y10,AND(MID($A10,5,1)="C"))</formula>
    </cfRule>
    <cfRule type="expression" dxfId="981" priority="621">
      <formula>IF($Y13&gt;$Y10,AND(MID($A10,5,1)="D"))</formula>
    </cfRule>
  </conditionalFormatting>
  <conditionalFormatting sqref="A13">
    <cfRule type="expression" dxfId="980" priority="622">
      <formula>$V21&lt;&gt;0</formula>
    </cfRule>
    <cfRule type="expression" dxfId="979" priority="623">
      <formula>IF($Y13&gt;$Y10,AND(MID($A13,5,1)=" "))</formula>
    </cfRule>
    <cfRule type="expression" dxfId="978" priority="624">
      <formula>IF($Y13&gt;$Y10,AND(MID($A13,5,1)="C"))</formula>
    </cfRule>
    <cfRule type="expression" dxfId="977" priority="625">
      <formula>IF($Y13&gt;$Y10,AND(MID($A13,5,1)="D"))</formula>
    </cfRule>
  </conditionalFormatting>
  <conditionalFormatting sqref="A11">
    <cfRule type="expression" dxfId="976" priority="626">
      <formula>$V19&lt;&gt;0</formula>
    </cfRule>
    <cfRule type="expression" dxfId="975" priority="627">
      <formula>IF($Y13&gt;$Y10,AND(MID($A11,5,1)=" "))</formula>
    </cfRule>
    <cfRule type="expression" dxfId="974" priority="628">
      <formula>IF($Y13&gt;$Y10,AND(MID($A11,5,1)="C"))</formula>
    </cfRule>
    <cfRule type="expression" dxfId="973" priority="629">
      <formula>IF($Y13&gt;$Y10,AND(MID($A11,5,1)="D"))</formula>
    </cfRule>
  </conditionalFormatting>
  <conditionalFormatting sqref="A12">
    <cfRule type="expression" dxfId="972" priority="630">
      <formula>$V20&lt;&gt;0</formula>
    </cfRule>
    <cfRule type="expression" dxfId="971" priority="631">
      <formula>IF($Y13&gt;$Y10,AND(MID($A12,5,1)=" "))</formula>
    </cfRule>
    <cfRule type="expression" dxfId="970" priority="632">
      <formula>IF($Y13&gt;$Y10,AND(MID($A12,5,1)="C"))</formula>
    </cfRule>
    <cfRule type="expression" dxfId="969" priority="633">
      <formula>IF($Y13&gt;$Y10,AND(MID($A12,5,1)="D"))</formula>
    </cfRule>
  </conditionalFormatting>
  <conditionalFormatting sqref="Y47">
    <cfRule type="cellIs" dxfId="968" priority="579" operator="equal">
      <formula>0</formula>
    </cfRule>
  </conditionalFormatting>
  <conditionalFormatting sqref="Y49">
    <cfRule type="cellIs" dxfId="967" priority="578" operator="equal">
      <formula>0</formula>
    </cfRule>
  </conditionalFormatting>
  <conditionalFormatting sqref="Y51">
    <cfRule type="cellIs" dxfId="966" priority="577" operator="equal">
      <formula>0</formula>
    </cfRule>
  </conditionalFormatting>
  <conditionalFormatting sqref="Y54 Y56">
    <cfRule type="cellIs" dxfId="965" priority="541" operator="lessThanOrEqual">
      <formula>0</formula>
    </cfRule>
  </conditionalFormatting>
  <conditionalFormatting sqref="Y52">
    <cfRule type="cellIs" dxfId="964" priority="540" operator="lessThanOrEqual">
      <formula>0</formula>
    </cfRule>
  </conditionalFormatting>
  <conditionalFormatting sqref="Y53">
    <cfRule type="cellIs" dxfId="963" priority="539" operator="equal">
      <formula>0</formula>
    </cfRule>
  </conditionalFormatting>
  <conditionalFormatting sqref="Y55">
    <cfRule type="cellIs" dxfId="962" priority="538" operator="equal">
      <formula>0</formula>
    </cfRule>
  </conditionalFormatting>
  <conditionalFormatting sqref="Y57">
    <cfRule type="cellIs" dxfId="961" priority="537" operator="equal">
      <formula>0</formula>
    </cfRule>
  </conditionalFormatting>
  <conditionalFormatting sqref="Y60 Y62">
    <cfRule type="cellIs" dxfId="960" priority="536" operator="lessThanOrEqual">
      <formula>0</formula>
    </cfRule>
  </conditionalFormatting>
  <conditionalFormatting sqref="Y58">
    <cfRule type="cellIs" dxfId="959" priority="535" operator="lessThanOrEqual">
      <formula>0</formula>
    </cfRule>
  </conditionalFormatting>
  <conditionalFormatting sqref="Y59">
    <cfRule type="cellIs" dxfId="958" priority="534" operator="equal">
      <formula>0</formula>
    </cfRule>
  </conditionalFormatting>
  <conditionalFormatting sqref="Y61">
    <cfRule type="cellIs" dxfId="957" priority="533" operator="equal">
      <formula>0</formula>
    </cfRule>
  </conditionalFormatting>
  <conditionalFormatting sqref="Y63">
    <cfRule type="cellIs" dxfId="956" priority="532" operator="equal">
      <formula>0</formula>
    </cfRule>
  </conditionalFormatting>
  <conditionalFormatting sqref="Y66 Y68">
    <cfRule type="cellIs" dxfId="955" priority="531" operator="lessThanOrEqual">
      <formula>0</formula>
    </cfRule>
  </conditionalFormatting>
  <conditionalFormatting sqref="Y64">
    <cfRule type="cellIs" dxfId="954" priority="530" operator="lessThanOrEqual">
      <formula>0</formula>
    </cfRule>
  </conditionalFormatting>
  <conditionalFormatting sqref="Y65">
    <cfRule type="cellIs" dxfId="953" priority="529" operator="equal">
      <formula>0</formula>
    </cfRule>
  </conditionalFormatting>
  <conditionalFormatting sqref="Y67">
    <cfRule type="cellIs" dxfId="952" priority="528" operator="equal">
      <formula>0</formula>
    </cfRule>
  </conditionalFormatting>
  <conditionalFormatting sqref="Y69">
    <cfRule type="cellIs" dxfId="951" priority="527" operator="equal">
      <formula>0</formula>
    </cfRule>
  </conditionalFormatting>
  <conditionalFormatting sqref="Y72 Y74">
    <cfRule type="cellIs" dxfId="950" priority="526" operator="lessThanOrEqual">
      <formula>0</formula>
    </cfRule>
  </conditionalFormatting>
  <conditionalFormatting sqref="Y70">
    <cfRule type="cellIs" dxfId="949" priority="525" operator="lessThanOrEqual">
      <formula>0</formula>
    </cfRule>
  </conditionalFormatting>
  <conditionalFormatting sqref="Y71">
    <cfRule type="cellIs" dxfId="948" priority="524" operator="equal">
      <formula>0</formula>
    </cfRule>
  </conditionalFormatting>
  <conditionalFormatting sqref="Y73">
    <cfRule type="cellIs" dxfId="947" priority="523" operator="equal">
      <formula>0</formula>
    </cfRule>
  </conditionalFormatting>
  <conditionalFormatting sqref="Y75">
    <cfRule type="cellIs" dxfId="946" priority="522" operator="equal">
      <formula>0</formula>
    </cfRule>
  </conditionalFormatting>
  <conditionalFormatting sqref="Y78 Y80">
    <cfRule type="cellIs" dxfId="945" priority="521" operator="lessThanOrEqual">
      <formula>0</formula>
    </cfRule>
  </conditionalFormatting>
  <conditionalFormatting sqref="Y76">
    <cfRule type="cellIs" dxfId="944" priority="520" operator="lessThanOrEqual">
      <formula>0</formula>
    </cfRule>
  </conditionalFormatting>
  <conditionalFormatting sqref="Y77">
    <cfRule type="cellIs" dxfId="943" priority="519" operator="equal">
      <formula>0</formula>
    </cfRule>
  </conditionalFormatting>
  <conditionalFormatting sqref="Y79">
    <cfRule type="cellIs" dxfId="942" priority="518" operator="equal">
      <formula>0</formula>
    </cfRule>
  </conditionalFormatting>
  <conditionalFormatting sqref="Y81">
    <cfRule type="cellIs" dxfId="941" priority="517" operator="equal">
      <formula>0</formula>
    </cfRule>
  </conditionalFormatting>
  <conditionalFormatting sqref="Y84 Y86">
    <cfRule type="cellIs" dxfId="940" priority="516" operator="lessThanOrEqual">
      <formula>0</formula>
    </cfRule>
  </conditionalFormatting>
  <conditionalFormatting sqref="Y82">
    <cfRule type="cellIs" dxfId="939" priority="515" operator="lessThanOrEqual">
      <formula>0</formula>
    </cfRule>
  </conditionalFormatting>
  <conditionalFormatting sqref="Y83">
    <cfRule type="cellIs" dxfId="938" priority="514" operator="equal">
      <formula>0</formula>
    </cfRule>
  </conditionalFormatting>
  <conditionalFormatting sqref="Y85">
    <cfRule type="cellIs" dxfId="937" priority="513" operator="equal">
      <formula>0</formula>
    </cfRule>
  </conditionalFormatting>
  <conditionalFormatting sqref="Y87">
    <cfRule type="cellIs" dxfId="936" priority="512" operator="equal">
      <formula>0</formula>
    </cfRule>
  </conditionalFormatting>
  <conditionalFormatting sqref="Y90 Y92">
    <cfRule type="cellIs" dxfId="935" priority="511" operator="lessThanOrEqual">
      <formula>0</formula>
    </cfRule>
  </conditionalFormatting>
  <conditionalFormatting sqref="Y88">
    <cfRule type="cellIs" dxfId="934" priority="510" operator="lessThanOrEqual">
      <formula>0</formula>
    </cfRule>
  </conditionalFormatting>
  <conditionalFormatting sqref="Y89">
    <cfRule type="cellIs" dxfId="933" priority="509" operator="equal">
      <formula>0</formula>
    </cfRule>
  </conditionalFormatting>
  <conditionalFormatting sqref="Y91">
    <cfRule type="cellIs" dxfId="932" priority="508" operator="equal">
      <formula>0</formula>
    </cfRule>
  </conditionalFormatting>
  <conditionalFormatting sqref="Y93">
    <cfRule type="cellIs" dxfId="931" priority="507" operator="equal">
      <formula>0</formula>
    </cfRule>
  </conditionalFormatting>
  <conditionalFormatting sqref="Y96 Y98">
    <cfRule type="cellIs" dxfId="930" priority="506" operator="lessThanOrEqual">
      <formula>0</formula>
    </cfRule>
  </conditionalFormatting>
  <conditionalFormatting sqref="Y94">
    <cfRule type="cellIs" dxfId="929" priority="505" operator="lessThanOrEqual">
      <formula>0</formula>
    </cfRule>
  </conditionalFormatting>
  <conditionalFormatting sqref="Y95">
    <cfRule type="cellIs" dxfId="928" priority="504" operator="equal">
      <formula>0</formula>
    </cfRule>
  </conditionalFormatting>
  <conditionalFormatting sqref="Y97">
    <cfRule type="cellIs" dxfId="927" priority="503" operator="equal">
      <formula>0</formula>
    </cfRule>
  </conditionalFormatting>
  <conditionalFormatting sqref="Y99">
    <cfRule type="cellIs" dxfId="926" priority="502" operator="equal">
      <formula>0</formula>
    </cfRule>
  </conditionalFormatting>
  <conditionalFormatting sqref="Y102 Y104">
    <cfRule type="cellIs" dxfId="925" priority="501" operator="lessThanOrEqual">
      <formula>0</formula>
    </cfRule>
  </conditionalFormatting>
  <conditionalFormatting sqref="Y100">
    <cfRule type="cellIs" dxfId="924" priority="500" operator="lessThanOrEqual">
      <formula>0</formula>
    </cfRule>
  </conditionalFormatting>
  <conditionalFormatting sqref="Y101">
    <cfRule type="cellIs" dxfId="923" priority="499" operator="equal">
      <formula>0</formula>
    </cfRule>
  </conditionalFormatting>
  <conditionalFormatting sqref="Y103">
    <cfRule type="cellIs" dxfId="922" priority="498" operator="equal">
      <formula>0</formula>
    </cfRule>
  </conditionalFormatting>
  <conditionalFormatting sqref="Y105">
    <cfRule type="cellIs" dxfId="921" priority="497" operator="equal">
      <formula>0</formula>
    </cfRule>
  </conditionalFormatting>
  <conditionalFormatting sqref="Y108 Y110">
    <cfRule type="cellIs" dxfId="920" priority="496" operator="lessThanOrEqual">
      <formula>0</formula>
    </cfRule>
  </conditionalFormatting>
  <conditionalFormatting sqref="Y106">
    <cfRule type="cellIs" dxfId="919" priority="495" operator="lessThanOrEqual">
      <formula>0</formula>
    </cfRule>
  </conditionalFormatting>
  <conditionalFormatting sqref="Y107">
    <cfRule type="cellIs" dxfId="918" priority="494" operator="equal">
      <formula>0</formula>
    </cfRule>
  </conditionalFormatting>
  <conditionalFormatting sqref="Y109">
    <cfRule type="cellIs" dxfId="917" priority="493" operator="equal">
      <formula>0</formula>
    </cfRule>
  </conditionalFormatting>
  <conditionalFormatting sqref="Y111">
    <cfRule type="cellIs" dxfId="916" priority="492" operator="equal">
      <formula>0</formula>
    </cfRule>
  </conditionalFormatting>
  <conditionalFormatting sqref="Y114 Y116">
    <cfRule type="cellIs" dxfId="915" priority="491" operator="lessThanOrEqual">
      <formula>0</formula>
    </cfRule>
  </conditionalFormatting>
  <conditionalFormatting sqref="Y112">
    <cfRule type="cellIs" dxfId="914" priority="490" operator="lessThanOrEqual">
      <formula>0</formula>
    </cfRule>
  </conditionalFormatting>
  <conditionalFormatting sqref="Y113">
    <cfRule type="cellIs" dxfId="913" priority="489" operator="equal">
      <formula>0</formula>
    </cfRule>
  </conditionalFormatting>
  <conditionalFormatting sqref="Y115">
    <cfRule type="cellIs" dxfId="912" priority="488" operator="equal">
      <formula>0</formula>
    </cfRule>
  </conditionalFormatting>
  <conditionalFormatting sqref="Y117">
    <cfRule type="cellIs" dxfId="911" priority="487" operator="equal">
      <formula>0</formula>
    </cfRule>
  </conditionalFormatting>
  <conditionalFormatting sqref="Y120 Y122">
    <cfRule type="cellIs" dxfId="910" priority="486" operator="lessThanOrEqual">
      <formula>0</formula>
    </cfRule>
  </conditionalFormatting>
  <conditionalFormatting sqref="Y118">
    <cfRule type="cellIs" dxfId="909" priority="485" operator="lessThanOrEqual">
      <formula>0</formula>
    </cfRule>
  </conditionalFormatting>
  <conditionalFormatting sqref="Y119">
    <cfRule type="cellIs" dxfId="908" priority="484" operator="equal">
      <formula>0</formula>
    </cfRule>
  </conditionalFormatting>
  <conditionalFormatting sqref="Y121">
    <cfRule type="cellIs" dxfId="907" priority="483" operator="equal">
      <formula>0</formula>
    </cfRule>
  </conditionalFormatting>
  <conditionalFormatting sqref="Y123">
    <cfRule type="cellIs" dxfId="906" priority="482" operator="equal">
      <formula>0</formula>
    </cfRule>
  </conditionalFormatting>
  <conditionalFormatting sqref="Y126 Y128">
    <cfRule type="cellIs" dxfId="905" priority="481" operator="lessThanOrEqual">
      <formula>0</formula>
    </cfRule>
  </conditionalFormatting>
  <conditionalFormatting sqref="Y124">
    <cfRule type="cellIs" dxfId="904" priority="480" operator="lessThanOrEqual">
      <formula>0</formula>
    </cfRule>
  </conditionalFormatting>
  <conditionalFormatting sqref="Y125">
    <cfRule type="cellIs" dxfId="903" priority="479" operator="equal">
      <formula>0</formula>
    </cfRule>
  </conditionalFormatting>
  <conditionalFormatting sqref="Y127">
    <cfRule type="cellIs" dxfId="902" priority="478" operator="equal">
      <formula>0</formula>
    </cfRule>
  </conditionalFormatting>
  <conditionalFormatting sqref="Y129">
    <cfRule type="cellIs" dxfId="901" priority="477" operator="equal">
      <formula>0</formula>
    </cfRule>
  </conditionalFormatting>
  <conditionalFormatting sqref="Y132 Y134">
    <cfRule type="cellIs" dxfId="900" priority="476" operator="lessThanOrEqual">
      <formula>0</formula>
    </cfRule>
  </conditionalFormatting>
  <conditionalFormatting sqref="Y130">
    <cfRule type="cellIs" dxfId="899" priority="475" operator="lessThanOrEqual">
      <formula>0</formula>
    </cfRule>
  </conditionalFormatting>
  <conditionalFormatting sqref="Y131">
    <cfRule type="cellIs" dxfId="898" priority="474" operator="equal">
      <formula>0</formula>
    </cfRule>
  </conditionalFormatting>
  <conditionalFormatting sqref="Y133">
    <cfRule type="cellIs" dxfId="897" priority="473" operator="equal">
      <formula>0</formula>
    </cfRule>
  </conditionalFormatting>
  <conditionalFormatting sqref="Y135">
    <cfRule type="cellIs" dxfId="896" priority="472" operator="equal">
      <formula>0</formula>
    </cfRule>
  </conditionalFormatting>
  <conditionalFormatting sqref="Y138 Y140">
    <cfRule type="cellIs" dxfId="895" priority="471" operator="lessThanOrEqual">
      <formula>0</formula>
    </cfRule>
  </conditionalFormatting>
  <conditionalFormatting sqref="Y136">
    <cfRule type="cellIs" dxfId="894" priority="470" operator="lessThanOrEqual">
      <formula>0</formula>
    </cfRule>
  </conditionalFormatting>
  <conditionalFormatting sqref="Y137">
    <cfRule type="cellIs" dxfId="893" priority="469" operator="equal">
      <formula>0</formula>
    </cfRule>
  </conditionalFormatting>
  <conditionalFormatting sqref="Y139">
    <cfRule type="cellIs" dxfId="892" priority="468" operator="equal">
      <formula>0</formula>
    </cfRule>
  </conditionalFormatting>
  <conditionalFormatting sqref="Y141">
    <cfRule type="cellIs" dxfId="891" priority="467" operator="equal">
      <formula>0</formula>
    </cfRule>
  </conditionalFormatting>
  <conditionalFormatting sqref="Y144 Y146">
    <cfRule type="cellIs" dxfId="890" priority="466" operator="lessThanOrEqual">
      <formula>0</formula>
    </cfRule>
  </conditionalFormatting>
  <conditionalFormatting sqref="Y142">
    <cfRule type="cellIs" dxfId="889" priority="465" operator="lessThanOrEqual">
      <formula>0</formula>
    </cfRule>
  </conditionalFormatting>
  <conditionalFormatting sqref="Y143">
    <cfRule type="cellIs" dxfId="888" priority="464" operator="equal">
      <formula>0</formula>
    </cfRule>
  </conditionalFormatting>
  <conditionalFormatting sqref="Y145">
    <cfRule type="cellIs" dxfId="887" priority="463" operator="equal">
      <formula>0</formula>
    </cfRule>
  </conditionalFormatting>
  <conditionalFormatting sqref="Y147">
    <cfRule type="cellIs" dxfId="886" priority="462" operator="equal">
      <formula>0</formula>
    </cfRule>
  </conditionalFormatting>
  <conditionalFormatting sqref="Y150 Y152">
    <cfRule type="cellIs" dxfId="885" priority="461" operator="lessThanOrEqual">
      <formula>0</formula>
    </cfRule>
  </conditionalFormatting>
  <conditionalFormatting sqref="Y148">
    <cfRule type="cellIs" dxfId="884" priority="460" operator="lessThanOrEqual">
      <formula>0</formula>
    </cfRule>
  </conditionalFormatting>
  <conditionalFormatting sqref="Y149">
    <cfRule type="cellIs" dxfId="883" priority="459" operator="equal">
      <formula>0</formula>
    </cfRule>
  </conditionalFormatting>
  <conditionalFormatting sqref="Y151">
    <cfRule type="cellIs" dxfId="882" priority="458" operator="equal">
      <formula>0</formula>
    </cfRule>
  </conditionalFormatting>
  <conditionalFormatting sqref="Y153">
    <cfRule type="cellIs" dxfId="881" priority="457" operator="equal">
      <formula>0</formula>
    </cfRule>
  </conditionalFormatting>
  <conditionalFormatting sqref="W53">
    <cfRule type="cellIs" dxfId="880" priority="425" operator="equal">
      <formula>0</formula>
    </cfRule>
  </conditionalFormatting>
  <conditionalFormatting sqref="W52">
    <cfRule type="cellIs" dxfId="879" priority="418" operator="equal">
      <formula>0</formula>
    </cfRule>
    <cfRule type="cellIs" dxfId="878" priority="419" operator="lessThan">
      <formula>W53</formula>
    </cfRule>
    <cfRule type="cellIs" dxfId="877" priority="424" operator="lessThan">
      <formula>0</formula>
    </cfRule>
  </conditionalFormatting>
  <conditionalFormatting sqref="W55">
    <cfRule type="cellIs" dxfId="876" priority="423" operator="equal">
      <formula>0</formula>
    </cfRule>
  </conditionalFormatting>
  <conditionalFormatting sqref="W54">
    <cfRule type="cellIs" dxfId="875" priority="416" operator="equal">
      <formula>0</formula>
    </cfRule>
    <cfRule type="cellIs" dxfId="874" priority="417" operator="lessThan">
      <formula>W55</formula>
    </cfRule>
    <cfRule type="cellIs" dxfId="873" priority="422" operator="lessThan">
      <formula>0</formula>
    </cfRule>
  </conditionalFormatting>
  <conditionalFormatting sqref="W56">
    <cfRule type="cellIs" dxfId="872" priority="415" operator="equal">
      <formula>0</formula>
    </cfRule>
    <cfRule type="cellIs" dxfId="871" priority="420" operator="lessThan">
      <formula>W57</formula>
    </cfRule>
  </conditionalFormatting>
  <conditionalFormatting sqref="W57">
    <cfRule type="cellIs" dxfId="870" priority="414" operator="equal">
      <formula>0</formula>
    </cfRule>
    <cfRule type="cellIs" dxfId="869" priority="421" operator="greaterThan">
      <formula>W56</formula>
    </cfRule>
  </conditionalFormatting>
  <conditionalFormatting sqref="W59">
    <cfRule type="cellIs" dxfId="868" priority="413" operator="equal">
      <formula>0</formula>
    </cfRule>
  </conditionalFormatting>
  <conditionalFormatting sqref="W58">
    <cfRule type="cellIs" dxfId="867" priority="406" operator="equal">
      <formula>0</formula>
    </cfRule>
    <cfRule type="cellIs" dxfId="866" priority="407" operator="lessThan">
      <formula>W59</formula>
    </cfRule>
    <cfRule type="cellIs" dxfId="865" priority="412" operator="lessThan">
      <formula>0</formula>
    </cfRule>
  </conditionalFormatting>
  <conditionalFormatting sqref="W61">
    <cfRule type="cellIs" dxfId="864" priority="411" operator="equal">
      <formula>0</formula>
    </cfRule>
  </conditionalFormatting>
  <conditionalFormatting sqref="W60">
    <cfRule type="cellIs" dxfId="863" priority="404" operator="equal">
      <formula>0</formula>
    </cfRule>
    <cfRule type="cellIs" dxfId="862" priority="405" operator="lessThan">
      <formula>W61</formula>
    </cfRule>
    <cfRule type="cellIs" dxfId="861" priority="410" operator="lessThan">
      <formula>0</formula>
    </cfRule>
  </conditionalFormatting>
  <conditionalFormatting sqref="W62">
    <cfRule type="cellIs" dxfId="860" priority="403" operator="equal">
      <formula>0</formula>
    </cfRule>
    <cfRule type="cellIs" dxfId="859" priority="408" operator="lessThan">
      <formula>W63</formula>
    </cfRule>
  </conditionalFormatting>
  <conditionalFormatting sqref="W63">
    <cfRule type="cellIs" dxfId="858" priority="402" operator="equal">
      <formula>0</formula>
    </cfRule>
    <cfRule type="cellIs" dxfId="857" priority="409" operator="greaterThan">
      <formula>W62</formula>
    </cfRule>
  </conditionalFormatting>
  <conditionalFormatting sqref="W65">
    <cfRule type="cellIs" dxfId="856" priority="401" operator="equal">
      <formula>0</formula>
    </cfRule>
  </conditionalFormatting>
  <conditionalFormatting sqref="W64">
    <cfRule type="cellIs" dxfId="855" priority="394" operator="equal">
      <formula>0</formula>
    </cfRule>
    <cfRule type="cellIs" dxfId="854" priority="395" operator="lessThan">
      <formula>W65</formula>
    </cfRule>
    <cfRule type="cellIs" dxfId="853" priority="400" operator="lessThan">
      <formula>0</formula>
    </cfRule>
  </conditionalFormatting>
  <conditionalFormatting sqref="W67">
    <cfRule type="cellIs" dxfId="852" priority="399" operator="equal">
      <formula>0</formula>
    </cfRule>
  </conditionalFormatting>
  <conditionalFormatting sqref="W66">
    <cfRule type="cellIs" dxfId="851" priority="392" operator="equal">
      <formula>0</formula>
    </cfRule>
    <cfRule type="cellIs" dxfId="850" priority="393" operator="lessThan">
      <formula>W67</formula>
    </cfRule>
    <cfRule type="cellIs" dxfId="849" priority="398" operator="lessThan">
      <formula>0</formula>
    </cfRule>
  </conditionalFormatting>
  <conditionalFormatting sqref="W68">
    <cfRule type="cellIs" dxfId="848" priority="391" operator="equal">
      <formula>0</formula>
    </cfRule>
    <cfRule type="cellIs" dxfId="847" priority="396" operator="lessThan">
      <formula>W69</formula>
    </cfRule>
  </conditionalFormatting>
  <conditionalFormatting sqref="W69">
    <cfRule type="cellIs" dxfId="846" priority="390" operator="equal">
      <formula>0</formula>
    </cfRule>
    <cfRule type="cellIs" dxfId="845" priority="397" operator="greaterThan">
      <formula>W68</formula>
    </cfRule>
  </conditionalFormatting>
  <conditionalFormatting sqref="W71">
    <cfRule type="cellIs" dxfId="844" priority="389" operator="equal">
      <formula>0</formula>
    </cfRule>
  </conditionalFormatting>
  <conditionalFormatting sqref="W70">
    <cfRule type="cellIs" dxfId="843" priority="382" operator="equal">
      <formula>0</formula>
    </cfRule>
    <cfRule type="cellIs" dxfId="842" priority="383" operator="lessThan">
      <formula>W71</formula>
    </cfRule>
    <cfRule type="cellIs" dxfId="841" priority="388" operator="lessThan">
      <formula>0</formula>
    </cfRule>
  </conditionalFormatting>
  <conditionalFormatting sqref="W73">
    <cfRule type="cellIs" dxfId="840" priority="387" operator="equal">
      <formula>0</formula>
    </cfRule>
  </conditionalFormatting>
  <conditionalFormatting sqref="W72">
    <cfRule type="cellIs" dxfId="839" priority="380" operator="equal">
      <formula>0</formula>
    </cfRule>
    <cfRule type="cellIs" dxfId="838" priority="381" operator="lessThan">
      <formula>W73</formula>
    </cfRule>
    <cfRule type="cellIs" dxfId="837" priority="386" operator="lessThan">
      <formula>0</formula>
    </cfRule>
  </conditionalFormatting>
  <conditionalFormatting sqref="W74">
    <cfRule type="cellIs" dxfId="836" priority="379" operator="equal">
      <formula>0</formula>
    </cfRule>
    <cfRule type="cellIs" dxfId="835" priority="384" operator="lessThan">
      <formula>W75</formula>
    </cfRule>
  </conditionalFormatting>
  <conditionalFormatting sqref="W75">
    <cfRule type="cellIs" dxfId="834" priority="378" operator="equal">
      <formula>0</formula>
    </cfRule>
    <cfRule type="cellIs" dxfId="833" priority="385" operator="greaterThan">
      <formula>W74</formula>
    </cfRule>
  </conditionalFormatting>
  <conditionalFormatting sqref="W77">
    <cfRule type="cellIs" dxfId="832" priority="377" operator="equal">
      <formula>0</formula>
    </cfRule>
  </conditionalFormatting>
  <conditionalFormatting sqref="W76">
    <cfRule type="cellIs" dxfId="831" priority="370" operator="equal">
      <formula>0</formula>
    </cfRule>
    <cfRule type="cellIs" dxfId="830" priority="371" operator="lessThan">
      <formula>W77</formula>
    </cfRule>
    <cfRule type="cellIs" dxfId="829" priority="376" operator="lessThan">
      <formula>0</formula>
    </cfRule>
  </conditionalFormatting>
  <conditionalFormatting sqref="W79">
    <cfRule type="cellIs" dxfId="828" priority="375" operator="equal">
      <formula>0</formula>
    </cfRule>
  </conditionalFormatting>
  <conditionalFormatting sqref="W78">
    <cfRule type="cellIs" dxfId="827" priority="368" operator="equal">
      <formula>0</formula>
    </cfRule>
    <cfRule type="cellIs" dxfId="826" priority="369" operator="lessThan">
      <formula>W79</formula>
    </cfRule>
    <cfRule type="cellIs" dxfId="825" priority="374" operator="lessThan">
      <formula>0</formula>
    </cfRule>
  </conditionalFormatting>
  <conditionalFormatting sqref="W80">
    <cfRule type="cellIs" dxfId="824" priority="367" operator="equal">
      <formula>0</formula>
    </cfRule>
    <cfRule type="cellIs" dxfId="823" priority="372" operator="lessThan">
      <formula>W81</formula>
    </cfRule>
  </conditionalFormatting>
  <conditionalFormatting sqref="W81">
    <cfRule type="cellIs" dxfId="822" priority="366" operator="equal">
      <formula>0</formula>
    </cfRule>
    <cfRule type="cellIs" dxfId="821" priority="373" operator="greaterThan">
      <formula>W80</formula>
    </cfRule>
  </conditionalFormatting>
  <conditionalFormatting sqref="W83">
    <cfRule type="cellIs" dxfId="820" priority="365" operator="equal">
      <formula>0</formula>
    </cfRule>
  </conditionalFormatting>
  <conditionalFormatting sqref="W82">
    <cfRule type="cellIs" dxfId="819" priority="358" operator="equal">
      <formula>0</formula>
    </cfRule>
    <cfRule type="cellIs" dxfId="818" priority="359" operator="lessThan">
      <formula>W83</formula>
    </cfRule>
    <cfRule type="cellIs" dxfId="817" priority="364" operator="lessThan">
      <formula>0</formula>
    </cfRule>
  </conditionalFormatting>
  <conditionalFormatting sqref="W85">
    <cfRule type="cellIs" dxfId="816" priority="363" operator="equal">
      <formula>0</formula>
    </cfRule>
  </conditionalFormatting>
  <conditionalFormatting sqref="W84">
    <cfRule type="cellIs" dxfId="815" priority="356" operator="equal">
      <formula>0</formula>
    </cfRule>
    <cfRule type="cellIs" dxfId="814" priority="357" operator="lessThan">
      <formula>W85</formula>
    </cfRule>
    <cfRule type="cellIs" dxfId="813" priority="362" operator="lessThan">
      <formula>0</formula>
    </cfRule>
  </conditionalFormatting>
  <conditionalFormatting sqref="W86">
    <cfRule type="cellIs" dxfId="812" priority="355" operator="equal">
      <formula>0</formula>
    </cfRule>
    <cfRule type="cellIs" dxfId="811" priority="360" operator="lessThan">
      <formula>W87</formula>
    </cfRule>
  </conditionalFormatting>
  <conditionalFormatting sqref="W87">
    <cfRule type="cellIs" dxfId="810" priority="354" operator="equal">
      <formula>0</formula>
    </cfRule>
    <cfRule type="cellIs" dxfId="809" priority="361" operator="greaterThan">
      <formula>W86</formula>
    </cfRule>
  </conditionalFormatting>
  <conditionalFormatting sqref="W89">
    <cfRule type="cellIs" dxfId="808" priority="353" operator="equal">
      <formula>0</formula>
    </cfRule>
  </conditionalFormatting>
  <conditionalFormatting sqref="W88">
    <cfRule type="cellIs" dxfId="807" priority="346" operator="equal">
      <formula>0</formula>
    </cfRule>
    <cfRule type="cellIs" dxfId="806" priority="347" operator="lessThan">
      <formula>W89</formula>
    </cfRule>
    <cfRule type="cellIs" dxfId="805" priority="352" operator="lessThan">
      <formula>0</formula>
    </cfRule>
  </conditionalFormatting>
  <conditionalFormatting sqref="W91">
    <cfRule type="cellIs" dxfId="804" priority="351" operator="equal">
      <formula>0</formula>
    </cfRule>
  </conditionalFormatting>
  <conditionalFormatting sqref="W90">
    <cfRule type="cellIs" dxfId="803" priority="344" operator="equal">
      <formula>0</formula>
    </cfRule>
    <cfRule type="cellIs" dxfId="802" priority="345" operator="lessThan">
      <formula>W91</formula>
    </cfRule>
    <cfRule type="cellIs" dxfId="801" priority="350" operator="lessThan">
      <formula>0</formula>
    </cfRule>
  </conditionalFormatting>
  <conditionalFormatting sqref="W92">
    <cfRule type="cellIs" dxfId="800" priority="343" operator="equal">
      <formula>0</formula>
    </cfRule>
    <cfRule type="cellIs" dxfId="799" priority="348" operator="lessThan">
      <formula>W93</formula>
    </cfRule>
  </conditionalFormatting>
  <conditionalFormatting sqref="W93">
    <cfRule type="cellIs" dxfId="798" priority="342" operator="equal">
      <formula>0</formula>
    </cfRule>
    <cfRule type="cellIs" dxfId="797" priority="349" operator="greaterThan">
      <formula>W92</formula>
    </cfRule>
  </conditionalFormatting>
  <conditionalFormatting sqref="W95">
    <cfRule type="cellIs" dxfId="796" priority="341" operator="equal">
      <formula>0</formula>
    </cfRule>
  </conditionalFormatting>
  <conditionalFormatting sqref="W94">
    <cfRule type="cellIs" dxfId="795" priority="334" operator="equal">
      <formula>0</formula>
    </cfRule>
    <cfRule type="cellIs" dxfId="794" priority="335" operator="lessThan">
      <formula>W95</formula>
    </cfRule>
    <cfRule type="cellIs" dxfId="793" priority="340" operator="lessThan">
      <formula>0</formula>
    </cfRule>
  </conditionalFormatting>
  <conditionalFormatting sqref="W97">
    <cfRule type="cellIs" dxfId="792" priority="339" operator="equal">
      <formula>0</formula>
    </cfRule>
  </conditionalFormatting>
  <conditionalFormatting sqref="W96">
    <cfRule type="cellIs" dxfId="791" priority="332" operator="equal">
      <formula>0</formula>
    </cfRule>
    <cfRule type="cellIs" dxfId="790" priority="333" operator="lessThan">
      <formula>W97</formula>
    </cfRule>
    <cfRule type="cellIs" dxfId="789" priority="338" operator="lessThan">
      <formula>0</formula>
    </cfRule>
  </conditionalFormatting>
  <conditionalFormatting sqref="W98">
    <cfRule type="cellIs" dxfId="788" priority="331" operator="equal">
      <formula>0</formula>
    </cfRule>
    <cfRule type="cellIs" dxfId="787" priority="336" operator="lessThan">
      <formula>W99</formula>
    </cfRule>
  </conditionalFormatting>
  <conditionalFormatting sqref="W99">
    <cfRule type="cellIs" dxfId="786" priority="330" operator="equal">
      <formula>0</formula>
    </cfRule>
    <cfRule type="cellIs" dxfId="785" priority="337" operator="greaterThan">
      <formula>W98</formula>
    </cfRule>
  </conditionalFormatting>
  <conditionalFormatting sqref="W101">
    <cfRule type="cellIs" dxfId="784" priority="329" operator="equal">
      <formula>0</formula>
    </cfRule>
  </conditionalFormatting>
  <conditionalFormatting sqref="W100">
    <cfRule type="cellIs" dxfId="783" priority="322" operator="equal">
      <formula>0</formula>
    </cfRule>
    <cfRule type="cellIs" dxfId="782" priority="323" operator="lessThan">
      <formula>W101</formula>
    </cfRule>
    <cfRule type="cellIs" dxfId="781" priority="328" operator="lessThan">
      <formula>0</formula>
    </cfRule>
  </conditionalFormatting>
  <conditionalFormatting sqref="W103">
    <cfRule type="cellIs" dxfId="780" priority="327" operator="equal">
      <formula>0</formula>
    </cfRule>
  </conditionalFormatting>
  <conditionalFormatting sqref="W102">
    <cfRule type="cellIs" dxfId="779" priority="320" operator="equal">
      <formula>0</formula>
    </cfRule>
    <cfRule type="cellIs" dxfId="778" priority="321" operator="lessThan">
      <formula>W103</formula>
    </cfRule>
    <cfRule type="cellIs" dxfId="777" priority="326" operator="lessThan">
      <formula>0</formula>
    </cfRule>
  </conditionalFormatting>
  <conditionalFormatting sqref="W104">
    <cfRule type="cellIs" dxfId="776" priority="319" operator="equal">
      <formula>0</formula>
    </cfRule>
    <cfRule type="cellIs" dxfId="775" priority="324" operator="lessThan">
      <formula>W105</formula>
    </cfRule>
  </conditionalFormatting>
  <conditionalFormatting sqref="W105">
    <cfRule type="cellIs" dxfId="774" priority="318" operator="equal">
      <formula>0</formula>
    </cfRule>
    <cfRule type="cellIs" dxfId="773" priority="325" operator="greaterThan">
      <formula>W104</formula>
    </cfRule>
  </conditionalFormatting>
  <conditionalFormatting sqref="W107">
    <cfRule type="cellIs" dxfId="772" priority="317" operator="equal">
      <formula>0</formula>
    </cfRule>
  </conditionalFormatting>
  <conditionalFormatting sqref="W106">
    <cfRule type="cellIs" dxfId="771" priority="310" operator="equal">
      <formula>0</formula>
    </cfRule>
    <cfRule type="cellIs" dxfId="770" priority="311" operator="lessThan">
      <formula>W107</formula>
    </cfRule>
    <cfRule type="cellIs" dxfId="769" priority="316" operator="lessThan">
      <formula>0</formula>
    </cfRule>
  </conditionalFormatting>
  <conditionalFormatting sqref="W109">
    <cfRule type="cellIs" dxfId="768" priority="315" operator="equal">
      <formula>0</formula>
    </cfRule>
  </conditionalFormatting>
  <conditionalFormatting sqref="W108">
    <cfRule type="cellIs" dxfId="767" priority="308" operator="equal">
      <formula>0</formula>
    </cfRule>
    <cfRule type="cellIs" dxfId="766" priority="309" operator="lessThan">
      <formula>W109</formula>
    </cfRule>
    <cfRule type="cellIs" dxfId="765" priority="314" operator="lessThan">
      <formula>0</formula>
    </cfRule>
  </conditionalFormatting>
  <conditionalFormatting sqref="W110">
    <cfRule type="cellIs" dxfId="764" priority="307" operator="equal">
      <formula>0</formula>
    </cfRule>
    <cfRule type="cellIs" dxfId="763" priority="312" operator="lessThan">
      <formula>W111</formula>
    </cfRule>
  </conditionalFormatting>
  <conditionalFormatting sqref="W111">
    <cfRule type="cellIs" dxfId="762" priority="306" operator="equal">
      <formula>0</formula>
    </cfRule>
    <cfRule type="cellIs" dxfId="761" priority="313" operator="greaterThan">
      <formula>W110</formula>
    </cfRule>
  </conditionalFormatting>
  <conditionalFormatting sqref="W113">
    <cfRule type="cellIs" dxfId="760" priority="305" operator="equal">
      <formula>0</formula>
    </cfRule>
  </conditionalFormatting>
  <conditionalFormatting sqref="W112">
    <cfRule type="cellIs" dxfId="759" priority="298" operator="equal">
      <formula>0</formula>
    </cfRule>
    <cfRule type="cellIs" dxfId="758" priority="299" operator="lessThan">
      <formula>W113</formula>
    </cfRule>
    <cfRule type="cellIs" dxfId="757" priority="304" operator="lessThan">
      <formula>0</formula>
    </cfRule>
  </conditionalFormatting>
  <conditionalFormatting sqref="W115">
    <cfRule type="cellIs" dxfId="756" priority="303" operator="equal">
      <formula>0</formula>
    </cfRule>
  </conditionalFormatting>
  <conditionalFormatting sqref="W114">
    <cfRule type="cellIs" dxfId="755" priority="296" operator="equal">
      <formula>0</formula>
    </cfRule>
    <cfRule type="cellIs" dxfId="754" priority="297" operator="lessThan">
      <formula>W115</formula>
    </cfRule>
    <cfRule type="cellIs" dxfId="753" priority="302" operator="lessThan">
      <formula>0</formula>
    </cfRule>
  </conditionalFormatting>
  <conditionalFormatting sqref="W116">
    <cfRule type="cellIs" dxfId="752" priority="295" operator="equal">
      <formula>0</formula>
    </cfRule>
    <cfRule type="cellIs" dxfId="751" priority="300" operator="lessThan">
      <formula>W117</formula>
    </cfRule>
  </conditionalFormatting>
  <conditionalFormatting sqref="W117">
    <cfRule type="cellIs" dxfId="750" priority="294" operator="equal">
      <formula>0</formula>
    </cfRule>
    <cfRule type="cellIs" dxfId="749" priority="301" operator="greaterThan">
      <formula>W116</formula>
    </cfRule>
  </conditionalFormatting>
  <conditionalFormatting sqref="W119">
    <cfRule type="cellIs" dxfId="748" priority="293" operator="equal">
      <formula>0</formula>
    </cfRule>
  </conditionalFormatting>
  <conditionalFormatting sqref="W118">
    <cfRule type="cellIs" dxfId="747" priority="286" operator="equal">
      <formula>0</formula>
    </cfRule>
    <cfRule type="cellIs" dxfId="746" priority="287" operator="lessThan">
      <formula>W119</formula>
    </cfRule>
    <cfRule type="cellIs" dxfId="745" priority="292" operator="lessThan">
      <formula>0</formula>
    </cfRule>
  </conditionalFormatting>
  <conditionalFormatting sqref="W121">
    <cfRule type="cellIs" dxfId="744" priority="291" operator="equal">
      <formula>0</formula>
    </cfRule>
  </conditionalFormatting>
  <conditionalFormatting sqref="W120">
    <cfRule type="cellIs" dxfId="743" priority="284" operator="equal">
      <formula>0</formula>
    </cfRule>
    <cfRule type="cellIs" dxfId="742" priority="285" operator="lessThan">
      <formula>W121</formula>
    </cfRule>
    <cfRule type="cellIs" dxfId="741" priority="290" operator="lessThan">
      <formula>0</formula>
    </cfRule>
  </conditionalFormatting>
  <conditionalFormatting sqref="W122">
    <cfRule type="cellIs" dxfId="740" priority="283" operator="equal">
      <formula>0</formula>
    </cfRule>
    <cfRule type="cellIs" dxfId="739" priority="288" operator="lessThan">
      <formula>W123</formula>
    </cfRule>
  </conditionalFormatting>
  <conditionalFormatting sqref="W123">
    <cfRule type="cellIs" dxfId="738" priority="282" operator="equal">
      <formula>0</formula>
    </cfRule>
    <cfRule type="cellIs" dxfId="737" priority="289" operator="greaterThan">
      <formula>W122</formula>
    </cfRule>
  </conditionalFormatting>
  <conditionalFormatting sqref="W125">
    <cfRule type="cellIs" dxfId="736" priority="281" operator="equal">
      <formula>0</formula>
    </cfRule>
  </conditionalFormatting>
  <conditionalFormatting sqref="W124">
    <cfRule type="cellIs" dxfId="735" priority="274" operator="equal">
      <formula>0</formula>
    </cfRule>
    <cfRule type="cellIs" dxfId="734" priority="275" operator="lessThan">
      <formula>W125</formula>
    </cfRule>
    <cfRule type="cellIs" dxfId="733" priority="280" operator="lessThan">
      <formula>0</formula>
    </cfRule>
  </conditionalFormatting>
  <conditionalFormatting sqref="W127">
    <cfRule type="cellIs" dxfId="732" priority="279" operator="equal">
      <formula>0</formula>
    </cfRule>
  </conditionalFormatting>
  <conditionalFormatting sqref="W126">
    <cfRule type="cellIs" dxfId="731" priority="272" operator="equal">
      <formula>0</formula>
    </cfRule>
    <cfRule type="cellIs" dxfId="730" priority="273" operator="lessThan">
      <formula>W127</formula>
    </cfRule>
    <cfRule type="cellIs" dxfId="729" priority="278" operator="lessThan">
      <formula>0</formula>
    </cfRule>
  </conditionalFormatting>
  <conditionalFormatting sqref="W128">
    <cfRule type="cellIs" dxfId="728" priority="271" operator="equal">
      <formula>0</formula>
    </cfRule>
    <cfRule type="cellIs" dxfId="727" priority="276" operator="lessThan">
      <formula>W129</formula>
    </cfRule>
  </conditionalFormatting>
  <conditionalFormatting sqref="W129">
    <cfRule type="cellIs" dxfId="726" priority="270" operator="equal">
      <formula>0</formula>
    </cfRule>
    <cfRule type="cellIs" dxfId="725" priority="277" operator="greaterThan">
      <formula>W128</formula>
    </cfRule>
  </conditionalFormatting>
  <conditionalFormatting sqref="W131">
    <cfRule type="cellIs" dxfId="724" priority="269" operator="equal">
      <formula>0</formula>
    </cfRule>
  </conditionalFormatting>
  <conditionalFormatting sqref="W130">
    <cfRule type="cellIs" dxfId="723" priority="262" operator="equal">
      <formula>0</formula>
    </cfRule>
    <cfRule type="cellIs" dxfId="722" priority="263" operator="lessThan">
      <formula>W131</formula>
    </cfRule>
    <cfRule type="cellIs" dxfId="721" priority="268" operator="lessThan">
      <formula>0</formula>
    </cfRule>
  </conditionalFormatting>
  <conditionalFormatting sqref="W133">
    <cfRule type="cellIs" dxfId="720" priority="267" operator="equal">
      <formula>0</formula>
    </cfRule>
  </conditionalFormatting>
  <conditionalFormatting sqref="W132">
    <cfRule type="cellIs" dxfId="719" priority="260" operator="equal">
      <formula>0</formula>
    </cfRule>
    <cfRule type="cellIs" dxfId="718" priority="261" operator="lessThan">
      <formula>W133</formula>
    </cfRule>
    <cfRule type="cellIs" dxfId="717" priority="266" operator="lessThan">
      <formula>0</formula>
    </cfRule>
  </conditionalFormatting>
  <conditionalFormatting sqref="W134">
    <cfRule type="cellIs" dxfId="716" priority="259" operator="equal">
      <formula>0</formula>
    </cfRule>
    <cfRule type="cellIs" dxfId="715" priority="264" operator="lessThan">
      <formula>W135</formula>
    </cfRule>
  </conditionalFormatting>
  <conditionalFormatting sqref="W135">
    <cfRule type="cellIs" dxfId="714" priority="258" operator="equal">
      <formula>0</formula>
    </cfRule>
    <cfRule type="cellIs" dxfId="713" priority="265" operator="greaterThan">
      <formula>W134</formula>
    </cfRule>
  </conditionalFormatting>
  <conditionalFormatting sqref="W137">
    <cfRule type="cellIs" dxfId="712" priority="257" operator="equal">
      <formula>0</formula>
    </cfRule>
  </conditionalFormatting>
  <conditionalFormatting sqref="W136">
    <cfRule type="cellIs" dxfId="711" priority="250" operator="equal">
      <formula>0</formula>
    </cfRule>
    <cfRule type="cellIs" dxfId="710" priority="251" operator="lessThan">
      <formula>W137</formula>
    </cfRule>
    <cfRule type="cellIs" dxfId="709" priority="256" operator="lessThan">
      <formula>0</formula>
    </cfRule>
  </conditionalFormatting>
  <conditionalFormatting sqref="W139">
    <cfRule type="cellIs" dxfId="708" priority="255" operator="equal">
      <formula>0</formula>
    </cfRule>
  </conditionalFormatting>
  <conditionalFormatting sqref="W138">
    <cfRule type="cellIs" dxfId="707" priority="248" operator="equal">
      <formula>0</formula>
    </cfRule>
    <cfRule type="cellIs" dxfId="706" priority="249" operator="lessThan">
      <formula>W139</formula>
    </cfRule>
    <cfRule type="cellIs" dxfId="705" priority="254" operator="lessThan">
      <formula>0</formula>
    </cfRule>
  </conditionalFormatting>
  <conditionalFormatting sqref="W140">
    <cfRule type="cellIs" dxfId="704" priority="247" operator="equal">
      <formula>0</formula>
    </cfRule>
    <cfRule type="cellIs" dxfId="703" priority="252" operator="lessThan">
      <formula>W141</formula>
    </cfRule>
  </conditionalFormatting>
  <conditionalFormatting sqref="W141">
    <cfRule type="cellIs" dxfId="702" priority="246" operator="equal">
      <formula>0</formula>
    </cfRule>
    <cfRule type="cellIs" dxfId="701" priority="253" operator="greaterThan">
      <formula>W140</formula>
    </cfRule>
  </conditionalFormatting>
  <conditionalFormatting sqref="W143">
    <cfRule type="cellIs" dxfId="700" priority="245" operator="equal">
      <formula>0</formula>
    </cfRule>
  </conditionalFormatting>
  <conditionalFormatting sqref="W142">
    <cfRule type="cellIs" dxfId="699" priority="238" operator="equal">
      <formula>0</formula>
    </cfRule>
    <cfRule type="cellIs" dxfId="698" priority="239" operator="lessThan">
      <formula>W143</formula>
    </cfRule>
    <cfRule type="cellIs" dxfId="697" priority="244" operator="lessThan">
      <formula>0</formula>
    </cfRule>
  </conditionalFormatting>
  <conditionalFormatting sqref="W145">
    <cfRule type="cellIs" dxfId="696" priority="243" operator="equal">
      <formula>0</formula>
    </cfRule>
  </conditionalFormatting>
  <conditionalFormatting sqref="W144">
    <cfRule type="cellIs" dxfId="695" priority="236" operator="equal">
      <formula>0</formula>
    </cfRule>
    <cfRule type="cellIs" dxfId="694" priority="237" operator="lessThan">
      <formula>W145</formula>
    </cfRule>
    <cfRule type="cellIs" dxfId="693" priority="242" operator="lessThan">
      <formula>0</formula>
    </cfRule>
  </conditionalFormatting>
  <conditionalFormatting sqref="W146">
    <cfRule type="cellIs" dxfId="692" priority="235" operator="equal">
      <formula>0</formula>
    </cfRule>
    <cfRule type="cellIs" dxfId="691" priority="240" operator="lessThan">
      <formula>W147</formula>
    </cfRule>
  </conditionalFormatting>
  <conditionalFormatting sqref="W147">
    <cfRule type="cellIs" dxfId="690" priority="234" operator="equal">
      <formula>0</formula>
    </cfRule>
    <cfRule type="cellIs" dxfId="689" priority="241" operator="greaterThan">
      <formula>W146</formula>
    </cfRule>
  </conditionalFormatting>
  <conditionalFormatting sqref="W149">
    <cfRule type="cellIs" dxfId="688" priority="233" operator="equal">
      <formula>0</formula>
    </cfRule>
  </conditionalFormatting>
  <conditionalFormatting sqref="W148">
    <cfRule type="cellIs" dxfId="687" priority="226" operator="equal">
      <formula>0</formula>
    </cfRule>
    <cfRule type="cellIs" dxfId="686" priority="227" operator="lessThan">
      <formula>W149</formula>
    </cfRule>
    <cfRule type="cellIs" dxfId="685" priority="232" operator="lessThan">
      <formula>0</formula>
    </cfRule>
  </conditionalFormatting>
  <conditionalFormatting sqref="W151">
    <cfRule type="cellIs" dxfId="684" priority="231" operator="equal">
      <formula>0</formula>
    </cfRule>
  </conditionalFormatting>
  <conditionalFormatting sqref="W150">
    <cfRule type="cellIs" dxfId="683" priority="224" operator="equal">
      <formula>0</formula>
    </cfRule>
    <cfRule type="cellIs" dxfId="682" priority="225" operator="lessThan">
      <formula>W151</formula>
    </cfRule>
    <cfRule type="cellIs" dxfId="681" priority="230" operator="lessThan">
      <formula>0</formula>
    </cfRule>
  </conditionalFormatting>
  <conditionalFormatting sqref="W152">
    <cfRule type="cellIs" dxfId="680" priority="223" operator="equal">
      <formula>0</formula>
    </cfRule>
    <cfRule type="cellIs" dxfId="679" priority="228" operator="lessThan">
      <formula>W153</formula>
    </cfRule>
  </conditionalFormatting>
  <conditionalFormatting sqref="W153">
    <cfRule type="cellIs" dxfId="678" priority="222" operator="equal">
      <formula>0</formula>
    </cfRule>
    <cfRule type="cellIs" dxfId="677" priority="229" operator="greaterThan">
      <formula>W152</formula>
    </cfRule>
  </conditionalFormatting>
  <conditionalFormatting sqref="X52">
    <cfRule type="expression" dxfId="676" priority="208">
      <formula>F52/100&lt;X52</formula>
    </cfRule>
    <cfRule type="expression" dxfId="675" priority="209">
      <formula>X52&lt;F52/100</formula>
    </cfRule>
  </conditionalFormatting>
  <conditionalFormatting sqref="X53">
    <cfRule type="expression" dxfId="674" priority="206">
      <formula>F53/100&lt;X53</formula>
    </cfRule>
    <cfRule type="expression" dxfId="673" priority="207">
      <formula>X53&lt;F53/100</formula>
    </cfRule>
  </conditionalFormatting>
  <conditionalFormatting sqref="X54">
    <cfRule type="expression" dxfId="672" priority="204">
      <formula>F54/100&lt;X54</formula>
    </cfRule>
    <cfRule type="expression" dxfId="671" priority="205">
      <formula>X54&lt;F54/100</formula>
    </cfRule>
  </conditionalFormatting>
  <conditionalFormatting sqref="X55">
    <cfRule type="expression" dxfId="670" priority="202">
      <formula>F55/100&lt;X55</formula>
    </cfRule>
    <cfRule type="expression" dxfId="669" priority="203">
      <formula>X55&lt;F55/100</formula>
    </cfRule>
  </conditionalFormatting>
  <conditionalFormatting sqref="X56">
    <cfRule type="expression" dxfId="668" priority="200">
      <formula>F56/100&lt;X56</formula>
    </cfRule>
    <cfRule type="expression" dxfId="667" priority="201">
      <formula>X56&lt;F56/100</formula>
    </cfRule>
  </conditionalFormatting>
  <conditionalFormatting sqref="X57">
    <cfRule type="expression" dxfId="666" priority="198">
      <formula>F57/100&lt;X57</formula>
    </cfRule>
    <cfRule type="expression" dxfId="665" priority="199">
      <formula>X57&lt;F57/100</formula>
    </cfRule>
  </conditionalFormatting>
  <conditionalFormatting sqref="X58">
    <cfRule type="expression" dxfId="664" priority="196">
      <formula>F58/100&lt;X58</formula>
    </cfRule>
    <cfRule type="expression" dxfId="663" priority="197">
      <formula>X58&lt;F58/100</formula>
    </cfRule>
  </conditionalFormatting>
  <conditionalFormatting sqref="X59">
    <cfRule type="expression" dxfId="662" priority="194">
      <formula>F59/100&lt;X59</formula>
    </cfRule>
    <cfRule type="expression" dxfId="661" priority="195">
      <formula>X59&lt;F59/100</formula>
    </cfRule>
  </conditionalFormatting>
  <conditionalFormatting sqref="X60">
    <cfRule type="expression" dxfId="660" priority="192">
      <formula>F60/100&lt;X60</formula>
    </cfRule>
    <cfRule type="expression" dxfId="659" priority="193">
      <formula>X60&lt;F60/100</formula>
    </cfRule>
  </conditionalFormatting>
  <conditionalFormatting sqref="X61">
    <cfRule type="expression" dxfId="658" priority="190">
      <formula>F61/100&lt;X61</formula>
    </cfRule>
    <cfRule type="expression" dxfId="657" priority="191">
      <formula>X61&lt;F61/100</formula>
    </cfRule>
  </conditionalFormatting>
  <conditionalFormatting sqref="X62">
    <cfRule type="expression" dxfId="656" priority="188">
      <formula>F62/100&lt;X62</formula>
    </cfRule>
    <cfRule type="expression" dxfId="655" priority="189">
      <formula>X62&lt;F62/100</formula>
    </cfRule>
  </conditionalFormatting>
  <conditionalFormatting sqref="X63">
    <cfRule type="expression" dxfId="654" priority="186">
      <formula>F63/100&lt;X63</formula>
    </cfRule>
    <cfRule type="expression" dxfId="653" priority="187">
      <formula>X63&lt;F63/100</formula>
    </cfRule>
  </conditionalFormatting>
  <conditionalFormatting sqref="X64">
    <cfRule type="expression" dxfId="652" priority="184">
      <formula>F64/100&lt;X64</formula>
    </cfRule>
    <cfRule type="expression" dxfId="651" priority="185">
      <formula>X64&lt;F64/100</formula>
    </cfRule>
  </conditionalFormatting>
  <conditionalFormatting sqref="X65">
    <cfRule type="expression" dxfId="650" priority="182">
      <formula>F65/100&lt;X65</formula>
    </cfRule>
    <cfRule type="expression" dxfId="649" priority="183">
      <formula>X65&lt;F65/100</formula>
    </cfRule>
  </conditionalFormatting>
  <conditionalFormatting sqref="X66">
    <cfRule type="expression" dxfId="648" priority="180">
      <formula>F66/100&lt;X66</formula>
    </cfRule>
    <cfRule type="expression" dxfId="647" priority="181">
      <formula>X66&lt;F66/100</formula>
    </cfRule>
  </conditionalFormatting>
  <conditionalFormatting sqref="X67">
    <cfRule type="expression" dxfId="646" priority="178">
      <formula>F67/100&lt;X67</formula>
    </cfRule>
    <cfRule type="expression" dxfId="645" priority="179">
      <formula>X67&lt;F67/100</formula>
    </cfRule>
  </conditionalFormatting>
  <conditionalFormatting sqref="X68">
    <cfRule type="expression" dxfId="644" priority="176">
      <formula>F68/100&lt;X68</formula>
    </cfRule>
    <cfRule type="expression" dxfId="643" priority="177">
      <formula>X68&lt;F68/100</formula>
    </cfRule>
  </conditionalFormatting>
  <conditionalFormatting sqref="X69">
    <cfRule type="expression" dxfId="642" priority="174">
      <formula>F69/100&lt;X69</formula>
    </cfRule>
    <cfRule type="expression" dxfId="641" priority="175">
      <formula>X69&lt;F69/100</formula>
    </cfRule>
  </conditionalFormatting>
  <conditionalFormatting sqref="X70">
    <cfRule type="expression" dxfId="640" priority="172">
      <formula>F70/100&lt;X70</formula>
    </cfRule>
    <cfRule type="expression" dxfId="639" priority="173">
      <formula>X70&lt;F70/100</formula>
    </cfRule>
  </conditionalFormatting>
  <conditionalFormatting sqref="X71">
    <cfRule type="expression" dxfId="638" priority="170">
      <formula>F71/100&lt;X71</formula>
    </cfRule>
    <cfRule type="expression" dxfId="637" priority="171">
      <formula>X71&lt;F71/100</formula>
    </cfRule>
  </conditionalFormatting>
  <conditionalFormatting sqref="X72">
    <cfRule type="expression" dxfId="636" priority="168">
      <formula>F72/100&lt;X72</formula>
    </cfRule>
    <cfRule type="expression" dxfId="635" priority="169">
      <formula>X72&lt;F72/100</formula>
    </cfRule>
  </conditionalFormatting>
  <conditionalFormatting sqref="X73">
    <cfRule type="expression" dxfId="634" priority="166">
      <formula>F73/100&lt;X73</formula>
    </cfRule>
    <cfRule type="expression" dxfId="633" priority="167">
      <formula>X73&lt;F73/100</formula>
    </cfRule>
  </conditionalFormatting>
  <conditionalFormatting sqref="X74">
    <cfRule type="expression" dxfId="632" priority="164">
      <formula>F74/100&lt;X74</formula>
    </cfRule>
    <cfRule type="expression" dxfId="631" priority="165">
      <formula>X74&lt;F74/100</formula>
    </cfRule>
  </conditionalFormatting>
  <conditionalFormatting sqref="X75">
    <cfRule type="expression" dxfId="630" priority="162">
      <formula>F75/100&lt;X75</formula>
    </cfRule>
    <cfRule type="expression" dxfId="629" priority="163">
      <formula>X75&lt;F75/100</formula>
    </cfRule>
  </conditionalFormatting>
  <conditionalFormatting sqref="X76">
    <cfRule type="expression" dxfId="628" priority="160">
      <formula>F76/100&lt;X76</formula>
    </cfRule>
    <cfRule type="expression" dxfId="627" priority="161">
      <formula>X76&lt;F76/100</formula>
    </cfRule>
  </conditionalFormatting>
  <conditionalFormatting sqref="X77">
    <cfRule type="expression" dxfId="626" priority="158">
      <formula>F77/100&lt;X77</formula>
    </cfRule>
    <cfRule type="expression" dxfId="625" priority="159">
      <formula>X77&lt;F77/100</formula>
    </cfRule>
  </conditionalFormatting>
  <conditionalFormatting sqref="X78">
    <cfRule type="expression" dxfId="624" priority="156">
      <formula>F78/100&lt;X78</formula>
    </cfRule>
    <cfRule type="expression" dxfId="623" priority="157">
      <formula>X78&lt;F78/100</formula>
    </cfRule>
  </conditionalFormatting>
  <conditionalFormatting sqref="X79">
    <cfRule type="expression" dxfId="622" priority="154">
      <formula>F79/100&lt;X79</formula>
    </cfRule>
    <cfRule type="expression" dxfId="621" priority="155">
      <formula>X79&lt;F79/100</formula>
    </cfRule>
  </conditionalFormatting>
  <conditionalFormatting sqref="X80">
    <cfRule type="expression" dxfId="620" priority="152">
      <formula>F80/100&lt;X80</formula>
    </cfRule>
    <cfRule type="expression" dxfId="619" priority="153">
      <formula>X80&lt;F80/100</formula>
    </cfRule>
  </conditionalFormatting>
  <conditionalFormatting sqref="X81">
    <cfRule type="expression" dxfId="618" priority="150">
      <formula>F81/100&lt;X81</formula>
    </cfRule>
    <cfRule type="expression" dxfId="617" priority="151">
      <formula>X81&lt;F81/100</formula>
    </cfRule>
  </conditionalFormatting>
  <conditionalFormatting sqref="X82">
    <cfRule type="expression" dxfId="616" priority="148">
      <formula>F82/100&lt;X82</formula>
    </cfRule>
    <cfRule type="expression" dxfId="615" priority="149">
      <formula>X82&lt;F82/100</formula>
    </cfRule>
  </conditionalFormatting>
  <conditionalFormatting sqref="X83">
    <cfRule type="expression" dxfId="614" priority="146">
      <formula>F83/100&lt;X83</formula>
    </cfRule>
    <cfRule type="expression" dxfId="613" priority="147">
      <formula>X83&lt;F83/100</formula>
    </cfRule>
  </conditionalFormatting>
  <conditionalFormatting sqref="X84">
    <cfRule type="expression" dxfId="612" priority="144">
      <formula>F84/100&lt;X84</formula>
    </cfRule>
    <cfRule type="expression" dxfId="611" priority="145">
      <formula>X84&lt;F84/100</formula>
    </cfRule>
  </conditionalFormatting>
  <conditionalFormatting sqref="X85">
    <cfRule type="expression" dxfId="610" priority="142">
      <formula>F85/100&lt;X85</formula>
    </cfRule>
    <cfRule type="expression" dxfId="609" priority="143">
      <formula>X85&lt;F85/100</formula>
    </cfRule>
  </conditionalFormatting>
  <conditionalFormatting sqref="X86">
    <cfRule type="expression" dxfId="608" priority="140">
      <formula>F86/100&lt;X86</formula>
    </cfRule>
    <cfRule type="expression" dxfId="607" priority="141">
      <formula>X86&lt;F86/100</formula>
    </cfRule>
  </conditionalFormatting>
  <conditionalFormatting sqref="X87">
    <cfRule type="expression" dxfId="606" priority="138">
      <formula>F87/100&lt;X87</formula>
    </cfRule>
    <cfRule type="expression" dxfId="605" priority="139">
      <formula>X87&lt;F87/100</formula>
    </cfRule>
  </conditionalFormatting>
  <conditionalFormatting sqref="X88">
    <cfRule type="expression" dxfId="604" priority="136">
      <formula>F88/100&lt;X88</formula>
    </cfRule>
    <cfRule type="expression" dxfId="603" priority="137">
      <formula>X88&lt;F88/100</formula>
    </cfRule>
  </conditionalFormatting>
  <conditionalFormatting sqref="X89">
    <cfRule type="expression" dxfId="602" priority="134">
      <formula>F89/100&lt;X89</formula>
    </cfRule>
    <cfRule type="expression" dxfId="601" priority="135">
      <formula>X89&lt;F89/100</formula>
    </cfRule>
  </conditionalFormatting>
  <conditionalFormatting sqref="X90">
    <cfRule type="expression" dxfId="600" priority="132">
      <formula>F90/100&lt;X90</formula>
    </cfRule>
    <cfRule type="expression" dxfId="599" priority="133">
      <formula>X90&lt;F90/100</formula>
    </cfRule>
  </conditionalFormatting>
  <conditionalFormatting sqref="X91">
    <cfRule type="expression" dxfId="598" priority="130">
      <formula>F91/100&lt;X91</formula>
    </cfRule>
    <cfRule type="expression" dxfId="597" priority="131">
      <formula>X91&lt;F91/100</formula>
    </cfRule>
  </conditionalFormatting>
  <conditionalFormatting sqref="X92">
    <cfRule type="expression" dxfId="596" priority="128">
      <formula>F92/100&lt;X92</formula>
    </cfRule>
    <cfRule type="expression" dxfId="595" priority="129">
      <formula>X92&lt;F92/100</formula>
    </cfRule>
  </conditionalFormatting>
  <conditionalFormatting sqref="X93">
    <cfRule type="expression" dxfId="594" priority="126">
      <formula>F93/100&lt;X93</formula>
    </cfRule>
    <cfRule type="expression" dxfId="593" priority="127">
      <formula>X93&lt;F93/100</formula>
    </cfRule>
  </conditionalFormatting>
  <conditionalFormatting sqref="X94">
    <cfRule type="expression" dxfId="592" priority="124">
      <formula>F94/100&lt;X94</formula>
    </cfRule>
    <cfRule type="expression" dxfId="591" priority="125">
      <formula>X94&lt;F94/100</formula>
    </cfRule>
  </conditionalFormatting>
  <conditionalFormatting sqref="X95">
    <cfRule type="expression" dxfId="590" priority="122">
      <formula>F95/100&lt;X95</formula>
    </cfRule>
    <cfRule type="expression" dxfId="589" priority="123">
      <formula>X95&lt;F95/100</formula>
    </cfRule>
  </conditionalFormatting>
  <conditionalFormatting sqref="X96">
    <cfRule type="expression" dxfId="588" priority="120">
      <formula>F96/100&lt;X96</formula>
    </cfRule>
    <cfRule type="expression" dxfId="587" priority="121">
      <formula>X96&lt;F96/100</formula>
    </cfRule>
  </conditionalFormatting>
  <conditionalFormatting sqref="X97">
    <cfRule type="expression" dxfId="586" priority="118">
      <formula>F97/100&lt;X97</formula>
    </cfRule>
    <cfRule type="expression" dxfId="585" priority="119">
      <formula>X97&lt;F97/100</formula>
    </cfRule>
  </conditionalFormatting>
  <conditionalFormatting sqref="X98">
    <cfRule type="expression" dxfId="584" priority="116">
      <formula>F98/100&lt;X98</formula>
    </cfRule>
    <cfRule type="expression" dxfId="583" priority="117">
      <formula>X98&lt;F98/100</formula>
    </cfRule>
  </conditionalFormatting>
  <conditionalFormatting sqref="X99">
    <cfRule type="expression" dxfId="582" priority="114">
      <formula>F99/100&lt;X99</formula>
    </cfRule>
    <cfRule type="expression" dxfId="581" priority="115">
      <formula>X99&lt;F99/100</formula>
    </cfRule>
  </conditionalFormatting>
  <conditionalFormatting sqref="X100">
    <cfRule type="expression" dxfId="580" priority="112">
      <formula>F100/100&lt;X100</formula>
    </cfRule>
    <cfRule type="expression" dxfId="579" priority="113">
      <formula>X100&lt;F100/100</formula>
    </cfRule>
  </conditionalFormatting>
  <conditionalFormatting sqref="X101">
    <cfRule type="expression" dxfId="578" priority="110">
      <formula>F101/100&lt;X101</formula>
    </cfRule>
    <cfRule type="expression" dxfId="577" priority="111">
      <formula>X101&lt;F101/100</formula>
    </cfRule>
  </conditionalFormatting>
  <conditionalFormatting sqref="X102">
    <cfRule type="expression" dxfId="576" priority="108">
      <formula>F102/100&lt;X102</formula>
    </cfRule>
    <cfRule type="expression" dxfId="575" priority="109">
      <formula>X102&lt;F102/100</formula>
    </cfRule>
  </conditionalFormatting>
  <conditionalFormatting sqref="X103">
    <cfRule type="expression" dxfId="574" priority="106">
      <formula>F103/100&lt;X103</formula>
    </cfRule>
    <cfRule type="expression" dxfId="573" priority="107">
      <formula>X103&lt;F103/100</formula>
    </cfRule>
  </conditionalFormatting>
  <conditionalFormatting sqref="X104">
    <cfRule type="expression" dxfId="572" priority="104">
      <formula>F104/100&lt;X104</formula>
    </cfRule>
    <cfRule type="expression" dxfId="571" priority="105">
      <formula>X104&lt;F104/100</formula>
    </cfRule>
  </conditionalFormatting>
  <conditionalFormatting sqref="X105">
    <cfRule type="expression" dxfId="570" priority="102">
      <formula>F105/100&lt;X105</formula>
    </cfRule>
    <cfRule type="expression" dxfId="569" priority="103">
      <formula>X105&lt;F105/100</formula>
    </cfRule>
  </conditionalFormatting>
  <conditionalFormatting sqref="X106">
    <cfRule type="expression" dxfId="568" priority="100">
      <formula>F106/100&lt;X106</formula>
    </cfRule>
    <cfRule type="expression" dxfId="567" priority="101">
      <formula>X106&lt;F106/100</formula>
    </cfRule>
  </conditionalFormatting>
  <conditionalFormatting sqref="X107">
    <cfRule type="expression" dxfId="566" priority="98">
      <formula>F107/100&lt;X107</formula>
    </cfRule>
    <cfRule type="expression" dxfId="565" priority="99">
      <formula>X107&lt;F107/100</formula>
    </cfRule>
  </conditionalFormatting>
  <conditionalFormatting sqref="X108">
    <cfRule type="expression" dxfId="564" priority="96">
      <formula>F108/100&lt;X108</formula>
    </cfRule>
    <cfRule type="expression" dxfId="563" priority="97">
      <formula>X108&lt;F108/100</formula>
    </cfRule>
  </conditionalFormatting>
  <conditionalFormatting sqref="X109">
    <cfRule type="expression" dxfId="562" priority="94">
      <formula>F109/100&lt;X109</formula>
    </cfRule>
    <cfRule type="expression" dxfId="561" priority="95">
      <formula>X109&lt;F109/100</formula>
    </cfRule>
  </conditionalFormatting>
  <conditionalFormatting sqref="X110">
    <cfRule type="expression" dxfId="560" priority="92">
      <formula>F110/100&lt;X110</formula>
    </cfRule>
    <cfRule type="expression" dxfId="559" priority="93">
      <formula>X110&lt;F110/100</formula>
    </cfRule>
  </conditionalFormatting>
  <conditionalFormatting sqref="X111">
    <cfRule type="expression" dxfId="558" priority="90">
      <formula>F111/100&lt;X111</formula>
    </cfRule>
    <cfRule type="expression" dxfId="557" priority="91">
      <formula>X111&lt;F111/100</formula>
    </cfRule>
  </conditionalFormatting>
  <conditionalFormatting sqref="X112">
    <cfRule type="expression" dxfId="556" priority="88">
      <formula>F112/100&lt;X112</formula>
    </cfRule>
    <cfRule type="expression" dxfId="555" priority="89">
      <formula>X112&lt;F112/100</formula>
    </cfRule>
  </conditionalFormatting>
  <conditionalFormatting sqref="X113">
    <cfRule type="expression" dxfId="554" priority="86">
      <formula>F113/100&lt;X113</formula>
    </cfRule>
    <cfRule type="expression" dxfId="553" priority="87">
      <formula>X113&lt;F113/100</formula>
    </cfRule>
  </conditionalFormatting>
  <conditionalFormatting sqref="X114">
    <cfRule type="expression" dxfId="552" priority="84">
      <formula>F114/100&lt;X114</formula>
    </cfRule>
    <cfRule type="expression" dxfId="551" priority="85">
      <formula>X114&lt;F114/100</formula>
    </cfRule>
  </conditionalFormatting>
  <conditionalFormatting sqref="X115">
    <cfRule type="expression" dxfId="550" priority="82">
      <formula>F115/100&lt;X115</formula>
    </cfRule>
    <cfRule type="expression" dxfId="549" priority="83">
      <formula>X115&lt;F115/100</formula>
    </cfRule>
  </conditionalFormatting>
  <conditionalFormatting sqref="X116">
    <cfRule type="expression" dxfId="548" priority="80">
      <formula>F116/100&lt;X116</formula>
    </cfRule>
    <cfRule type="expression" dxfId="547" priority="81">
      <formula>X116&lt;F116/100</formula>
    </cfRule>
  </conditionalFormatting>
  <conditionalFormatting sqref="X117">
    <cfRule type="expression" dxfId="546" priority="78">
      <formula>F117/100&lt;X117</formula>
    </cfRule>
    <cfRule type="expression" dxfId="545" priority="79">
      <formula>X117&lt;F117/100</formula>
    </cfRule>
  </conditionalFormatting>
  <conditionalFormatting sqref="X118">
    <cfRule type="expression" dxfId="544" priority="76">
      <formula>F118/100&lt;X118</formula>
    </cfRule>
    <cfRule type="expression" dxfId="543" priority="77">
      <formula>X118&lt;F118/100</formula>
    </cfRule>
  </conditionalFormatting>
  <conditionalFormatting sqref="X119">
    <cfRule type="expression" dxfId="542" priority="74">
      <formula>F119/100&lt;X119</formula>
    </cfRule>
    <cfRule type="expression" dxfId="541" priority="75">
      <formula>X119&lt;F119/100</formula>
    </cfRule>
  </conditionalFormatting>
  <conditionalFormatting sqref="X120">
    <cfRule type="expression" dxfId="540" priority="72">
      <formula>F120/100&lt;X120</formula>
    </cfRule>
    <cfRule type="expression" dxfId="539" priority="73">
      <formula>X120&lt;F120/100</formula>
    </cfRule>
  </conditionalFormatting>
  <conditionalFormatting sqref="X121">
    <cfRule type="expression" dxfId="538" priority="70">
      <formula>F121/100&lt;X121</formula>
    </cfRule>
    <cfRule type="expression" dxfId="537" priority="71">
      <formula>X121&lt;F121/100</formula>
    </cfRule>
  </conditionalFormatting>
  <conditionalFormatting sqref="X122">
    <cfRule type="expression" dxfId="536" priority="68">
      <formula>F122/100&lt;X122</formula>
    </cfRule>
    <cfRule type="expression" dxfId="535" priority="69">
      <formula>X122&lt;F122/100</formula>
    </cfRule>
  </conditionalFormatting>
  <conditionalFormatting sqref="X123">
    <cfRule type="expression" dxfId="534" priority="66">
      <formula>F123/100&lt;X123</formula>
    </cfRule>
    <cfRule type="expression" dxfId="533" priority="67">
      <formula>X123&lt;F123/100</formula>
    </cfRule>
  </conditionalFormatting>
  <conditionalFormatting sqref="X124">
    <cfRule type="expression" dxfId="532" priority="64">
      <formula>F124/100&lt;X124</formula>
    </cfRule>
    <cfRule type="expression" dxfId="531" priority="65">
      <formula>X124&lt;F124/100</formula>
    </cfRule>
  </conditionalFormatting>
  <conditionalFormatting sqref="X125">
    <cfRule type="expression" dxfId="530" priority="62">
      <formula>F125/100&lt;X125</formula>
    </cfRule>
    <cfRule type="expression" dxfId="529" priority="63">
      <formula>X125&lt;F125/100</formula>
    </cfRule>
  </conditionalFormatting>
  <conditionalFormatting sqref="X126">
    <cfRule type="expression" dxfId="528" priority="60">
      <formula>F126/100&lt;X126</formula>
    </cfRule>
    <cfRule type="expression" dxfId="527" priority="61">
      <formula>X126&lt;F126/100</formula>
    </cfRule>
  </conditionalFormatting>
  <conditionalFormatting sqref="X127">
    <cfRule type="expression" dxfId="526" priority="58">
      <formula>F127/100&lt;X127</formula>
    </cfRule>
    <cfRule type="expression" dxfId="525" priority="59">
      <formula>X127&lt;F127/100</formula>
    </cfRule>
  </conditionalFormatting>
  <conditionalFormatting sqref="X128">
    <cfRule type="expression" dxfId="524" priority="56">
      <formula>F128/100&lt;X128</formula>
    </cfRule>
    <cfRule type="expression" dxfId="523" priority="57">
      <formula>X128&lt;F128/100</formula>
    </cfRule>
  </conditionalFormatting>
  <conditionalFormatting sqref="X129">
    <cfRule type="expression" dxfId="522" priority="54">
      <formula>F129/100&lt;X129</formula>
    </cfRule>
    <cfRule type="expression" dxfId="521" priority="55">
      <formula>X129&lt;F129/100</formula>
    </cfRule>
  </conditionalFormatting>
  <conditionalFormatting sqref="X130">
    <cfRule type="expression" dxfId="520" priority="52">
      <formula>F130/100&lt;X130</formula>
    </cfRule>
    <cfRule type="expression" dxfId="519" priority="53">
      <formula>X130&lt;F130/100</formula>
    </cfRule>
  </conditionalFormatting>
  <conditionalFormatting sqref="X131">
    <cfRule type="expression" dxfId="518" priority="50">
      <formula>F131/100&lt;X131</formula>
    </cfRule>
    <cfRule type="expression" dxfId="517" priority="51">
      <formula>X131&lt;F131/100</formula>
    </cfRule>
  </conditionalFormatting>
  <conditionalFormatting sqref="X132">
    <cfRule type="expression" dxfId="516" priority="48">
      <formula>F132/100&lt;X132</formula>
    </cfRule>
    <cfRule type="expression" dxfId="515" priority="49">
      <formula>X132&lt;F132/100</formula>
    </cfRule>
  </conditionalFormatting>
  <conditionalFormatting sqref="X133">
    <cfRule type="expression" dxfId="514" priority="46">
      <formula>F133/100&lt;X133</formula>
    </cfRule>
    <cfRule type="expression" dxfId="513" priority="47">
      <formula>X133&lt;F133/100</formula>
    </cfRule>
  </conditionalFormatting>
  <conditionalFormatting sqref="X134">
    <cfRule type="expression" dxfId="512" priority="44">
      <formula>F134/100&lt;X134</formula>
    </cfRule>
    <cfRule type="expression" dxfId="511" priority="45">
      <formula>X134&lt;F134/100</formula>
    </cfRule>
  </conditionalFormatting>
  <conditionalFormatting sqref="X135">
    <cfRule type="expression" dxfId="510" priority="42">
      <formula>F135/100&lt;X135</formula>
    </cfRule>
    <cfRule type="expression" dxfId="509" priority="43">
      <formula>X135&lt;F135/100</formula>
    </cfRule>
  </conditionalFormatting>
  <conditionalFormatting sqref="X136">
    <cfRule type="expression" dxfId="508" priority="40">
      <formula>F136/100&lt;X136</formula>
    </cfRule>
    <cfRule type="expression" dxfId="507" priority="41">
      <formula>X136&lt;F136/100</formula>
    </cfRule>
  </conditionalFormatting>
  <conditionalFormatting sqref="X137">
    <cfRule type="expression" dxfId="506" priority="38">
      <formula>F137/100&lt;X137</formula>
    </cfRule>
    <cfRule type="expression" dxfId="505" priority="39">
      <formula>X137&lt;F137/100</formula>
    </cfRule>
  </conditionalFormatting>
  <conditionalFormatting sqref="X138">
    <cfRule type="expression" dxfId="504" priority="36">
      <formula>F138/100&lt;X138</formula>
    </cfRule>
    <cfRule type="expression" dxfId="503" priority="37">
      <formula>X138&lt;F138/100</formula>
    </cfRule>
  </conditionalFormatting>
  <conditionalFormatting sqref="X139">
    <cfRule type="expression" dxfId="502" priority="34">
      <formula>F139/100&lt;X139</formula>
    </cfRule>
    <cfRule type="expression" dxfId="501" priority="35">
      <formula>X139&lt;F139/100</formula>
    </cfRule>
  </conditionalFormatting>
  <conditionalFormatting sqref="X140">
    <cfRule type="expression" dxfId="500" priority="32">
      <formula>F140/100&lt;X140</formula>
    </cfRule>
    <cfRule type="expression" dxfId="499" priority="33">
      <formula>X140&lt;F140/100</formula>
    </cfRule>
  </conditionalFormatting>
  <conditionalFormatting sqref="X141">
    <cfRule type="expression" dxfId="498" priority="30">
      <formula>F141/100&lt;X141</formula>
    </cfRule>
    <cfRule type="expression" dxfId="497" priority="31">
      <formula>X141&lt;F141/100</formula>
    </cfRule>
  </conditionalFormatting>
  <conditionalFormatting sqref="X142">
    <cfRule type="expression" dxfId="496" priority="28">
      <formula>F142/100&lt;X142</formula>
    </cfRule>
    <cfRule type="expression" dxfId="495" priority="29">
      <formula>X142&lt;F142/100</formula>
    </cfRule>
  </conditionalFormatting>
  <conditionalFormatting sqref="X143">
    <cfRule type="expression" dxfId="494" priority="26">
      <formula>F143/100&lt;X143</formula>
    </cfRule>
    <cfRule type="expression" dxfId="493" priority="27">
      <formula>X143&lt;F143/100</formula>
    </cfRule>
  </conditionalFormatting>
  <conditionalFormatting sqref="X144">
    <cfRule type="expression" dxfId="492" priority="24">
      <formula>F144/100&lt;X144</formula>
    </cfRule>
    <cfRule type="expression" dxfId="491" priority="25">
      <formula>X144&lt;F144/100</formula>
    </cfRule>
  </conditionalFormatting>
  <conditionalFormatting sqref="X145">
    <cfRule type="expression" dxfId="490" priority="22">
      <formula>F145/100&lt;X145</formula>
    </cfRule>
    <cfRule type="expression" dxfId="489" priority="23">
      <formula>X145&lt;F145/100</formula>
    </cfRule>
  </conditionalFormatting>
  <conditionalFormatting sqref="X146">
    <cfRule type="expression" dxfId="488" priority="20">
      <formula>F146/100&lt;X146</formula>
    </cfRule>
    <cfRule type="expression" dxfId="487" priority="21">
      <formula>X146&lt;F146/100</formula>
    </cfRule>
  </conditionalFormatting>
  <conditionalFormatting sqref="X147">
    <cfRule type="expression" dxfId="486" priority="18">
      <formula>F147/100&lt;X147</formula>
    </cfRule>
    <cfRule type="expression" dxfId="485" priority="19">
      <formula>X147&lt;F147/100</formula>
    </cfRule>
  </conditionalFormatting>
  <conditionalFormatting sqref="X148">
    <cfRule type="expression" dxfId="484" priority="16">
      <formula>F148/100&lt;X148</formula>
    </cfRule>
    <cfRule type="expression" dxfId="483" priority="17">
      <formula>X148&lt;F148/100</formula>
    </cfRule>
  </conditionalFormatting>
  <conditionalFormatting sqref="X149">
    <cfRule type="expression" dxfId="482" priority="14">
      <formula>F149/100&lt;X149</formula>
    </cfRule>
    <cfRule type="expression" dxfId="481" priority="15">
      <formula>X149&lt;F149/100</formula>
    </cfRule>
  </conditionalFormatting>
  <conditionalFormatting sqref="X150">
    <cfRule type="expression" dxfId="480" priority="12">
      <formula>F150/100&lt;X150</formula>
    </cfRule>
    <cfRule type="expression" dxfId="479" priority="13">
      <formula>X150&lt;F150/100</formula>
    </cfRule>
  </conditionalFormatting>
  <conditionalFormatting sqref="X151">
    <cfRule type="expression" dxfId="478" priority="10">
      <formula>F151/100&lt;X151</formula>
    </cfRule>
    <cfRule type="expression" dxfId="477" priority="11">
      <formula>X151&lt;F151/100</formula>
    </cfRule>
  </conditionalFormatting>
  <conditionalFormatting sqref="X152">
    <cfRule type="expression" dxfId="476" priority="8">
      <formula>F152/100&lt;X152</formula>
    </cfRule>
    <cfRule type="expression" dxfId="475" priority="9">
      <formula>X152&lt;F152/100</formula>
    </cfRule>
  </conditionalFormatting>
  <conditionalFormatting sqref="X153">
    <cfRule type="expression" dxfId="474" priority="6">
      <formula>F153/100&lt;X153</formula>
    </cfRule>
    <cfRule type="expression" dxfId="473" priority="7">
      <formula>X153&lt;F153/100</formula>
    </cfRule>
  </conditionalFormatting>
  <conditionalFormatting sqref="W2:X29">
    <cfRule type="cellIs" dxfId="472" priority="5" operator="equal">
      <formula>0</formula>
    </cfRule>
  </conditionalFormatting>
  <conditionalFormatting sqref="AA57 AA51 AA63 AA69 AA75 AA81 AA87 AA93 AA99 AA105 AA111 AA117 AA123 AA129 AA135 AA141 AA147 AA1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 Z50 Z62 Z68 Z74 Z80 Z86 Z92 Z98 Z104 Z110 Z116 Z122 Z128 Z134 Z140 Z146 Z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G1" zoomScale="80" zoomScaleNormal="80" workbookViewId="0">
      <selection activeCell="Q48" sqref="Q4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25">
        <f>I76</f>
        <v>0</v>
      </c>
      <c r="M2" s="826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12" t="s">
        <v>340</v>
      </c>
      <c r="U2" s="312" t="s">
        <v>341</v>
      </c>
      <c r="V2" s="312" t="s">
        <v>355</v>
      </c>
      <c r="W2" s="312"/>
      <c r="X2" s="312" t="s">
        <v>356</v>
      </c>
      <c r="Y2" s="361" t="s">
        <v>357</v>
      </c>
      <c r="Z2" s="361" t="s">
        <v>358</v>
      </c>
      <c r="AA2" s="361" t="s">
        <v>359</v>
      </c>
      <c r="AB2" s="361" t="s">
        <v>360</v>
      </c>
      <c r="AC2" s="361" t="s">
        <v>361</v>
      </c>
      <c r="AD2" s="362" t="s">
        <v>362</v>
      </c>
      <c r="AE2" s="241" t="s">
        <v>363</v>
      </c>
      <c r="AF2" s="313" t="s">
        <v>340</v>
      </c>
      <c r="AG2" s="314" t="s">
        <v>341</v>
      </c>
      <c r="AH2" s="313" t="s">
        <v>364</v>
      </c>
      <c r="AI2" s="313"/>
      <c r="AJ2" s="313" t="s">
        <v>356</v>
      </c>
      <c r="AK2" s="361" t="s">
        <v>357</v>
      </c>
      <c r="AL2" s="361" t="s">
        <v>358</v>
      </c>
      <c r="AM2" s="361" t="s">
        <v>359</v>
      </c>
      <c r="AN2" s="361" t="s">
        <v>360</v>
      </c>
      <c r="AO2" s="361" t="s">
        <v>361</v>
      </c>
      <c r="AP2" s="361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/>
      <c r="C3" s="248"/>
      <c r="D3" s="249"/>
      <c r="E3" s="256">
        <f t="shared" ref="E3:E72" si="0">+B3*D3*-100</f>
        <v>0</v>
      </c>
      <c r="F3" s="257">
        <f t="shared" ref="F3:F66" si="1">IF(B3&gt;0,+B3*D3*(1+($Q$53+0.002)*1.21)*-100,B3*D3*(1-($Q$53+0.002)*1.21)*-100)</f>
        <v>0</v>
      </c>
      <c r="G3" s="252" t="str">
        <f>IFERROR(VLOOKUP(C3,$U$3:$AD$50,7,0),"")</f>
        <v/>
      </c>
      <c r="H3" s="258">
        <f>IFERROR(+G3*B3*-100,0)</f>
        <v>0</v>
      </c>
      <c r="I3" s="259">
        <f t="shared" ref="I3:I72" si="2">+IF(G3="",0,(F3-H3))</f>
        <v>0</v>
      </c>
      <c r="J3" s="69"/>
      <c r="K3" s="69"/>
      <c r="L3" s="69"/>
      <c r="M3" s="69"/>
      <c r="N3" s="107"/>
      <c r="O3" s="294">
        <f t="shared" ref="O3:O17" si="3">+O4*(1-$Q$42)</f>
        <v>0</v>
      </c>
      <c r="P3" s="108">
        <f t="shared" ref="P3:P34" si="4">EW3</f>
        <v>0</v>
      </c>
      <c r="Q3" s="108">
        <f t="shared" ref="Q3:Q34" ca="1" si="5">GN3</f>
        <v>0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2500</v>
      </c>
      <c r="V3" s="614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615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615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613">
        <f>IFERROR(VLOOKUP($X3,HomeBroker!$A$22:$F$103,2,0),0)</f>
        <v>0</v>
      </c>
      <c r="Z3" s="613">
        <f>IFERROR(VLOOKUP($X3,HomeBroker!$A$22:$F$103,3,0),0)</f>
        <v>0</v>
      </c>
      <c r="AA3" s="243">
        <f>IFERROR(VLOOKUP($X3,HomeBroker!$A$22:$F$103,6,0),0)</f>
        <v>0</v>
      </c>
      <c r="AB3" s="613">
        <f>IFERROR(VLOOKUP($X3,HomeBroker!$A$22:$F$103,4,0),0)</f>
        <v>0</v>
      </c>
      <c r="AC3" s="613">
        <f>IFERROR(VLOOKUP($X3,HomeBroker!$A$22:$F$103,5,0),0)</f>
        <v>0</v>
      </c>
      <c r="AD3" s="616">
        <f>IFERROR(VLOOKUP($X3,HomeBroker!$A$22:$N$103,14,0),0)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1450</v>
      </c>
      <c r="AH3" s="614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615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GFGV1450FE - 24hs</v>
      </c>
      <c r="AJ3" s="615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GFGV1450FE</v>
      </c>
      <c r="AK3" s="617">
        <f>IFERROR(VLOOKUP($AJ3,HomeBroker!$A$22:$F$103,2,0),0)</f>
        <v>0</v>
      </c>
      <c r="AL3" s="613">
        <f>IFERROR(VLOOKUP($AJ3,HomeBroker!$A$22:$F$103,3,0),0)</f>
        <v>0</v>
      </c>
      <c r="AM3" s="243">
        <f>IFERROR(VLOOKUP($AJ3,HomeBroker!$A$22:$F$103,6,0),0)</f>
        <v>0</v>
      </c>
      <c r="AN3" s="613">
        <f>IFERROR(VLOOKUP($AJ3,HomeBroker!$A$22:$F$103,4,0),0)</f>
        <v>0</v>
      </c>
      <c r="AO3" s="617">
        <f>IFERROR(VLOOKUP($AJ3,HomeBroker!$A$22:$F$103,5,0),0)</f>
        <v>0</v>
      </c>
      <c r="AP3" s="617">
        <f>IFERROR(VLOOKUP($AJ3,HomeBroker!$A$22:$N$103,14,0),0)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2500</v>
      </c>
      <c r="AU3" s="62"/>
      <c r="AV3" s="116"/>
      <c r="AW3" s="117" t="s">
        <v>354</v>
      </c>
      <c r="AX3" s="118"/>
      <c r="AY3" s="106"/>
      <c r="AZ3" s="119"/>
      <c r="BA3" s="301">
        <f t="shared" ref="BA3:BA76" si="10">+AX3*AZ3*-100</f>
        <v>0</v>
      </c>
      <c r="BB3" s="302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306">
        <f t="shared" ref="BG3:BG76" si="12">+BD3*BF3*-100</f>
        <v>0</v>
      </c>
      <c r="BH3" s="307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309">
        <f t="shared" ref="BL3:BL76" si="14">-BK3*BJ3</f>
        <v>0</v>
      </c>
      <c r="BM3" s="310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5"/>
      <c r="C4" s="248"/>
      <c r="D4" s="249"/>
      <c r="E4" s="256">
        <f t="shared" si="0"/>
        <v>0</v>
      </c>
      <c r="F4" s="257">
        <f t="shared" si="1"/>
        <v>0</v>
      </c>
      <c r="G4" s="252" t="str">
        <f t="shared" ref="G4:G37" si="57">IFERROR(VLOOKUP(C4,$U$3:$AD$50,7,0),"")</f>
        <v/>
      </c>
      <c r="H4" s="258">
        <f t="shared" ref="H4:H67" si="58">IFERROR(+G4*B4*-100,0)</f>
        <v>0</v>
      </c>
      <c r="I4" s="259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95">
        <f t="shared" si="3"/>
        <v>0</v>
      </c>
      <c r="P4" s="135">
        <f t="shared" si="4"/>
        <v>0</v>
      </c>
      <c r="Q4" s="135">
        <f t="shared" ca="1" si="5"/>
        <v>0</v>
      </c>
      <c r="R4" s="62"/>
      <c r="S4" s="246" t="str">
        <f t="shared" si="6"/>
        <v/>
      </c>
      <c r="T4" s="110">
        <f t="shared" si="7"/>
        <v>0</v>
      </c>
      <c r="U4" s="240">
        <v>2600</v>
      </c>
      <c r="V4" s="614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615" t="str">
        <f t="shared" si="8"/>
        <v>MERV - XMEV - GFGC2600FE - 24hs</v>
      </c>
      <c r="X4" s="615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613">
        <f>IFERROR(VLOOKUP($X4,HomeBroker!$A$22:$F$103,2,0),0)</f>
        <v>0</v>
      </c>
      <c r="Z4" s="613">
        <f>IFERROR(VLOOKUP($X4,HomeBroker!$A$22:$F$103,3,0),0)</f>
        <v>0</v>
      </c>
      <c r="AA4" s="243">
        <f>IFERROR(VLOOKUP($X4,HomeBroker!$A$22:$F$103,6,0),0)</f>
        <v>0</v>
      </c>
      <c r="AB4" s="613">
        <f>IFERROR(VLOOKUP($X4,HomeBroker!$A$22:$F$103,4,0),0)</f>
        <v>0</v>
      </c>
      <c r="AC4" s="613">
        <f>IFERROR(VLOOKUP($X4,HomeBroker!$A$22:$F$103,5,0),0)</f>
        <v>0</v>
      </c>
      <c r="AD4" s="616">
        <f>IFERROR(VLOOKUP($X4,HomeBroker!$A$22:$N$103,14,0),0)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1491.5</v>
      </c>
      <c r="AH4" s="614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615" t="str">
        <f t="shared" si="9"/>
        <v>MERV - XMEV - GFGV14915F - 24hs</v>
      </c>
      <c r="AJ4" s="615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GFGV14915F</v>
      </c>
      <c r="AK4" s="617">
        <f>IFERROR(VLOOKUP($AJ4,HomeBroker!$A$22:$F$103,2,0),0)</f>
        <v>0</v>
      </c>
      <c r="AL4" s="613">
        <f>IFERROR(VLOOKUP($AJ4,HomeBroker!$A$22:$F$103,3,0),0)</f>
        <v>0</v>
      </c>
      <c r="AM4" s="243">
        <f>IFERROR(VLOOKUP($AJ4,HomeBroker!$A$22:$F$103,6,0),0)</f>
        <v>0</v>
      </c>
      <c r="AN4" s="613">
        <f>IFERROR(VLOOKUP($AJ4,HomeBroker!$A$22:$F$103,4,0),0)</f>
        <v>0</v>
      </c>
      <c r="AO4" s="617">
        <f>IFERROR(VLOOKUP($AJ4,HomeBroker!$A$22:$F$103,5,0),0)</f>
        <v>0</v>
      </c>
      <c r="AP4" s="617">
        <f>IFERROR(VLOOKUP($AJ4,HomeBroker!$A$22:$N$103,14,0),0)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2600</v>
      </c>
      <c r="AU4" s="62"/>
      <c r="AV4" s="116"/>
      <c r="AW4" s="136" t="s">
        <v>354</v>
      </c>
      <c r="AX4" s="118"/>
      <c r="AY4" s="137"/>
      <c r="AZ4" s="119"/>
      <c r="BA4" s="303">
        <f t="shared" si="10"/>
        <v>0</v>
      </c>
      <c r="BB4" s="304">
        <f t="shared" si="11"/>
        <v>0</v>
      </c>
      <c r="BC4" s="120" t="s">
        <v>408</v>
      </c>
      <c r="BD4" s="118"/>
      <c r="BE4" s="106"/>
      <c r="BF4" s="121"/>
      <c r="BG4" s="306">
        <f t="shared" si="12"/>
        <v>0</v>
      </c>
      <c r="BH4" s="308">
        <f t="shared" si="13"/>
        <v>0</v>
      </c>
      <c r="BI4" s="122" t="s">
        <v>409</v>
      </c>
      <c r="BJ4" s="118"/>
      <c r="BK4" s="121"/>
      <c r="BL4" s="309">
        <f t="shared" si="14"/>
        <v>0</v>
      </c>
      <c r="BM4" s="310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95">
        <f t="shared" si="3"/>
        <v>0</v>
      </c>
      <c r="P5" s="135">
        <f t="shared" si="4"/>
        <v>0</v>
      </c>
      <c r="Q5" s="135">
        <f t="shared" ca="1" si="5"/>
        <v>0</v>
      </c>
      <c r="R5" s="62"/>
      <c r="S5" s="246" t="str">
        <f t="shared" si="6"/>
        <v/>
      </c>
      <c r="T5" s="110">
        <f t="shared" si="7"/>
        <v>0</v>
      </c>
      <c r="U5" s="240">
        <v>2700</v>
      </c>
      <c r="V5" s="614">
        <f t="shared" ca="1" si="59"/>
        <v>0</v>
      </c>
      <c r="W5" s="615" t="str">
        <f t="shared" si="8"/>
        <v>MERV - XMEV - GFGC2700FE - 24hs</v>
      </c>
      <c r="X5" s="615" t="str">
        <f t="shared" si="60"/>
        <v>GFGC2700FE</v>
      </c>
      <c r="Y5" s="613">
        <f>IFERROR(VLOOKUP($X5,HomeBroker!$A$22:$F$103,2,0),0)</f>
        <v>0</v>
      </c>
      <c r="Z5" s="613">
        <f>IFERROR(VLOOKUP($X5,HomeBroker!$A$22:$F$103,3,0),0)</f>
        <v>0</v>
      </c>
      <c r="AA5" s="243">
        <f>IFERROR(VLOOKUP($X5,HomeBroker!$A$22:$F$103,6,0),0)</f>
        <v>0</v>
      </c>
      <c r="AB5" s="613">
        <f>IFERROR(VLOOKUP($X5,HomeBroker!$A$22:$F$103,4,0),0)</f>
        <v>0</v>
      </c>
      <c r="AC5" s="613">
        <f>IFERROR(VLOOKUP($X5,HomeBroker!$A$22:$F$103,5,0),0)</f>
        <v>0</v>
      </c>
      <c r="AD5" s="616">
        <f>IFERROR(VLOOKUP($X5,HomeBroker!$A$22:$N$103,14,0),0)</f>
        <v>0</v>
      </c>
      <c r="AE5" s="247" t="str">
        <f t="shared" si="61"/>
        <v/>
      </c>
      <c r="AF5" s="110">
        <f t="shared" si="62"/>
        <v>0</v>
      </c>
      <c r="AG5" s="240">
        <v>1570</v>
      </c>
      <c r="AH5" s="614">
        <f t="shared" ca="1" si="63"/>
        <v>0</v>
      </c>
      <c r="AI5" s="615" t="str">
        <f t="shared" si="9"/>
        <v>MERV - XMEV - GFGV1570FE - 24hs</v>
      </c>
      <c r="AJ5" s="615" t="str">
        <f t="shared" si="64"/>
        <v>GFGV1570FE</v>
      </c>
      <c r="AK5" s="617">
        <f>IFERROR(VLOOKUP($AJ5,HomeBroker!$A$22:$F$103,2,0),0)</f>
        <v>0</v>
      </c>
      <c r="AL5" s="613">
        <f>IFERROR(VLOOKUP($AJ5,HomeBroker!$A$22:$F$103,3,0),0)</f>
        <v>0</v>
      </c>
      <c r="AM5" s="243">
        <f>IFERROR(VLOOKUP($AJ5,HomeBroker!$A$22:$F$103,6,0),0)</f>
        <v>0</v>
      </c>
      <c r="AN5" s="613">
        <f>IFERROR(VLOOKUP($AJ5,HomeBroker!$A$22:$F$103,4,0),0)</f>
        <v>0</v>
      </c>
      <c r="AO5" s="617">
        <f>IFERROR(VLOOKUP($AJ5,HomeBroker!$A$22:$F$103,5,0),0)</f>
        <v>0</v>
      </c>
      <c r="AP5" s="617">
        <f>IFERROR(VLOOKUP($AJ5,HomeBroker!$A$22:$N$103,14,0),0)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2700</v>
      </c>
      <c r="AU5" s="62"/>
      <c r="AV5" s="116"/>
      <c r="AW5" s="136" t="s">
        <v>354</v>
      </c>
      <c r="AX5" s="118"/>
      <c r="AY5" s="140"/>
      <c r="AZ5" s="141"/>
      <c r="BA5" s="303">
        <f t="shared" si="10"/>
        <v>0</v>
      </c>
      <c r="BB5" s="304">
        <f t="shared" si="11"/>
        <v>0</v>
      </c>
      <c r="BC5" s="120" t="s">
        <v>408</v>
      </c>
      <c r="BD5" s="118"/>
      <c r="BE5" s="106"/>
      <c r="BF5" s="121"/>
      <c r="BG5" s="306">
        <f t="shared" si="12"/>
        <v>0</v>
      </c>
      <c r="BH5" s="308">
        <f t="shared" si="13"/>
        <v>0</v>
      </c>
      <c r="BI5" s="122" t="s">
        <v>409</v>
      </c>
      <c r="BJ5" s="118"/>
      <c r="BK5" s="121"/>
      <c r="BL5" s="309">
        <f t="shared" si="14"/>
        <v>0</v>
      </c>
      <c r="BM5" s="310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95">
        <f t="shared" si="3"/>
        <v>0</v>
      </c>
      <c r="P6" s="142">
        <f t="shared" si="4"/>
        <v>0</v>
      </c>
      <c r="Q6" s="142">
        <f t="shared" ca="1" si="5"/>
        <v>0</v>
      </c>
      <c r="R6" s="62"/>
      <c r="S6" s="246" t="str">
        <f t="shared" si="6"/>
        <v/>
      </c>
      <c r="T6" s="110">
        <f t="shared" si="7"/>
        <v>0</v>
      </c>
      <c r="U6" s="240">
        <v>2800</v>
      </c>
      <c r="V6" s="614">
        <f t="shared" ca="1" si="59"/>
        <v>0</v>
      </c>
      <c r="W6" s="615" t="str">
        <f t="shared" si="8"/>
        <v>MERV - XMEV - GFGC2800FE - 24hs</v>
      </c>
      <c r="X6" s="615" t="str">
        <f t="shared" si="60"/>
        <v>GFGC2800FE</v>
      </c>
      <c r="Y6" s="613">
        <f>IFERROR(VLOOKUP($X6,HomeBroker!$A$22:$F$103,2,0),0)</f>
        <v>0</v>
      </c>
      <c r="Z6" s="613">
        <f>IFERROR(VLOOKUP($X6,HomeBroker!$A$22:$F$103,3,0),0)</f>
        <v>0</v>
      </c>
      <c r="AA6" s="243">
        <f>IFERROR(VLOOKUP($X6,HomeBroker!$A$22:$F$103,6,0),0)</f>
        <v>0</v>
      </c>
      <c r="AB6" s="613">
        <f>IFERROR(VLOOKUP($X6,HomeBroker!$A$22:$F$103,4,0),0)</f>
        <v>0</v>
      </c>
      <c r="AC6" s="613">
        <f>IFERROR(VLOOKUP($X6,HomeBroker!$A$22:$F$103,5,0),0)</f>
        <v>0</v>
      </c>
      <c r="AD6" s="616">
        <f>IFERROR(VLOOKUP($X6,HomeBroker!$A$22:$N$103,14,0),0)</f>
        <v>0</v>
      </c>
      <c r="AE6" s="247" t="str">
        <f t="shared" si="61"/>
        <v/>
      </c>
      <c r="AF6" s="110">
        <f t="shared" si="62"/>
        <v>0</v>
      </c>
      <c r="AG6" s="240">
        <v>1640</v>
      </c>
      <c r="AH6" s="614">
        <f t="shared" ca="1" si="63"/>
        <v>0</v>
      </c>
      <c r="AI6" s="615" t="str">
        <f t="shared" si="9"/>
        <v>MERV - XMEV - GFGV1640FE - 24hs</v>
      </c>
      <c r="AJ6" s="615" t="str">
        <f t="shared" si="64"/>
        <v>GFGV1640FE</v>
      </c>
      <c r="AK6" s="617">
        <f>IFERROR(VLOOKUP($AJ6,HomeBroker!$A$22:$F$103,2,0),0)</f>
        <v>0</v>
      </c>
      <c r="AL6" s="613">
        <f>IFERROR(VLOOKUP($AJ6,HomeBroker!$A$22:$F$103,3,0),0)</f>
        <v>0</v>
      </c>
      <c r="AM6" s="243">
        <f>IFERROR(VLOOKUP($AJ6,HomeBroker!$A$22:$F$103,6,0),0)</f>
        <v>0</v>
      </c>
      <c r="AN6" s="613">
        <f>IFERROR(VLOOKUP($AJ6,HomeBroker!$A$22:$F$103,4,0),0)</f>
        <v>0</v>
      </c>
      <c r="AO6" s="617">
        <f>IFERROR(VLOOKUP($AJ6,HomeBroker!$A$22:$F$103,5,0),0)</f>
        <v>0</v>
      </c>
      <c r="AP6" s="617">
        <f>IFERROR(VLOOKUP($AJ6,HomeBroker!$A$22:$N$103,14,0),0)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2800</v>
      </c>
      <c r="AU6" s="62"/>
      <c r="AV6" s="116"/>
      <c r="AW6" s="136" t="s">
        <v>354</v>
      </c>
      <c r="AX6" s="118"/>
      <c r="AY6" s="140"/>
      <c r="AZ6" s="141"/>
      <c r="BA6" s="303">
        <f t="shared" si="10"/>
        <v>0</v>
      </c>
      <c r="BB6" s="304">
        <f t="shared" si="11"/>
        <v>0</v>
      </c>
      <c r="BC6" s="120" t="s">
        <v>408</v>
      </c>
      <c r="BD6" s="118"/>
      <c r="BE6" s="143"/>
      <c r="BF6" s="121"/>
      <c r="BG6" s="306">
        <f t="shared" si="12"/>
        <v>0</v>
      </c>
      <c r="BH6" s="308">
        <f t="shared" si="13"/>
        <v>0</v>
      </c>
      <c r="BI6" s="122" t="s">
        <v>409</v>
      </c>
      <c r="BJ6" s="118"/>
      <c r="BK6" s="121"/>
      <c r="BL6" s="309">
        <f t="shared" si="14"/>
        <v>0</v>
      </c>
      <c r="BM6" s="310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str">
        <f>IFERROR(-1+(O7/$O$18),"")</f>
        <v/>
      </c>
      <c r="O7" s="295">
        <f t="shared" si="3"/>
        <v>0</v>
      </c>
      <c r="P7" s="135">
        <f t="shared" si="4"/>
        <v>0</v>
      </c>
      <c r="Q7" s="135">
        <f t="shared" ca="1" si="5"/>
        <v>0</v>
      </c>
      <c r="R7" s="62"/>
      <c r="S7" s="246" t="str">
        <f t="shared" si="6"/>
        <v/>
      </c>
      <c r="T7" s="110">
        <f t="shared" si="7"/>
        <v>0</v>
      </c>
      <c r="U7" s="240">
        <v>2900</v>
      </c>
      <c r="V7" s="614">
        <f t="shared" ca="1" si="59"/>
        <v>0</v>
      </c>
      <c r="W7" s="615" t="str">
        <f t="shared" si="8"/>
        <v>MERV - XMEV - GFGC2900FE - 24hs</v>
      </c>
      <c r="X7" s="615" t="str">
        <f t="shared" si="60"/>
        <v>GFGC2900FE</v>
      </c>
      <c r="Y7" s="613">
        <f>IFERROR(VLOOKUP($X7,HomeBroker!$A$22:$F$103,2,0),0)</f>
        <v>0</v>
      </c>
      <c r="Z7" s="613">
        <f>IFERROR(VLOOKUP($X7,HomeBroker!$A$22:$F$103,3,0),0)</f>
        <v>0</v>
      </c>
      <c r="AA7" s="243">
        <f>IFERROR(VLOOKUP($X7,HomeBroker!$A$22:$F$103,6,0),0)</f>
        <v>0</v>
      </c>
      <c r="AB7" s="613">
        <f>IFERROR(VLOOKUP($X7,HomeBroker!$A$22:$F$103,4,0),0)</f>
        <v>0</v>
      </c>
      <c r="AC7" s="613">
        <f>IFERROR(VLOOKUP($X7,HomeBroker!$A$22:$F$103,5,0),0)</f>
        <v>0</v>
      </c>
      <c r="AD7" s="616">
        <f>IFERROR(VLOOKUP($X7,HomeBroker!$A$22:$N$103,14,0),0)</f>
        <v>0</v>
      </c>
      <c r="AE7" s="247" t="str">
        <f t="shared" si="61"/>
        <v/>
      </c>
      <c r="AF7" s="110">
        <f t="shared" si="62"/>
        <v>0</v>
      </c>
      <c r="AG7" s="240">
        <v>1701.5</v>
      </c>
      <c r="AH7" s="614">
        <f t="shared" ca="1" si="63"/>
        <v>0</v>
      </c>
      <c r="AI7" s="615" t="str">
        <f t="shared" si="9"/>
        <v>MERV - XMEV - GFGV17015F - 24hs</v>
      </c>
      <c r="AJ7" s="615" t="str">
        <f t="shared" si="64"/>
        <v>GFGV17015F</v>
      </c>
      <c r="AK7" s="617">
        <f>IFERROR(VLOOKUP($AJ7,HomeBroker!$A$22:$F$103,2,0),0)</f>
        <v>0</v>
      </c>
      <c r="AL7" s="613">
        <f>IFERROR(VLOOKUP($AJ7,HomeBroker!$A$22:$F$103,3,0),0)</f>
        <v>0</v>
      </c>
      <c r="AM7" s="243">
        <f>IFERROR(VLOOKUP($AJ7,HomeBroker!$A$22:$F$103,6,0),0)</f>
        <v>0</v>
      </c>
      <c r="AN7" s="613">
        <f>IFERROR(VLOOKUP($AJ7,HomeBroker!$A$22:$F$103,4,0),0)</f>
        <v>0</v>
      </c>
      <c r="AO7" s="617">
        <f>IFERROR(VLOOKUP($AJ7,HomeBroker!$A$22:$F$103,5,0),0)</f>
        <v>0</v>
      </c>
      <c r="AP7" s="617">
        <f>IFERROR(VLOOKUP($AJ7,HomeBroker!$A$22:$N$103,14,0),0)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2900</v>
      </c>
      <c r="AU7" s="62"/>
      <c r="AV7" s="116"/>
      <c r="AW7" s="136" t="s">
        <v>354</v>
      </c>
      <c r="AX7" s="118"/>
      <c r="AY7" s="140"/>
      <c r="AZ7" s="141"/>
      <c r="BA7" s="303">
        <f t="shared" si="10"/>
        <v>0</v>
      </c>
      <c r="BB7" s="304">
        <f t="shared" si="11"/>
        <v>0</v>
      </c>
      <c r="BC7" s="120" t="s">
        <v>408</v>
      </c>
      <c r="BD7" s="118"/>
      <c r="BE7" s="143"/>
      <c r="BF7" s="121"/>
      <c r="BG7" s="306">
        <f t="shared" si="12"/>
        <v>0</v>
      </c>
      <c r="BH7" s="308">
        <f t="shared" si="13"/>
        <v>0</v>
      </c>
      <c r="BI7" s="122" t="s">
        <v>409</v>
      </c>
      <c r="BJ7" s="118"/>
      <c r="BK7" s="121"/>
      <c r="BL7" s="309">
        <f t="shared" si="14"/>
        <v>0</v>
      </c>
      <c r="BM7" s="310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296">
        <f t="shared" si="3"/>
        <v>0</v>
      </c>
      <c r="P8" s="135">
        <f t="shared" si="4"/>
        <v>0</v>
      </c>
      <c r="Q8" s="135">
        <f t="shared" ca="1" si="5"/>
        <v>0</v>
      </c>
      <c r="R8" s="62"/>
      <c r="S8" s="246" t="str">
        <f t="shared" si="6"/>
        <v/>
      </c>
      <c r="T8" s="110">
        <f t="shared" si="7"/>
        <v>0</v>
      </c>
      <c r="U8" s="240">
        <v>3000</v>
      </c>
      <c r="V8" s="614">
        <f t="shared" ca="1" si="59"/>
        <v>0</v>
      </c>
      <c r="W8" s="615" t="str">
        <f t="shared" si="8"/>
        <v>MERV - XMEV - GFGC3000FE - 24hs</v>
      </c>
      <c r="X8" s="615" t="str">
        <f t="shared" si="60"/>
        <v>GFGC3000FE</v>
      </c>
      <c r="Y8" s="613">
        <f>IFERROR(VLOOKUP($X8,HomeBroker!$A$22:$F$103,2,0),0)</f>
        <v>0</v>
      </c>
      <c r="Z8" s="613">
        <f>IFERROR(VLOOKUP($X8,HomeBroker!$A$22:$F$103,3,0),0)</f>
        <v>0</v>
      </c>
      <c r="AA8" s="243">
        <f>IFERROR(VLOOKUP($X8,HomeBroker!$A$22:$F$103,6,0),0)</f>
        <v>0</v>
      </c>
      <c r="AB8" s="613">
        <f>IFERROR(VLOOKUP($X8,HomeBroker!$A$22:$F$103,4,0),0)</f>
        <v>0</v>
      </c>
      <c r="AC8" s="613">
        <f>IFERROR(VLOOKUP($X8,HomeBroker!$A$22:$F$103,5,0),0)</f>
        <v>0</v>
      </c>
      <c r="AD8" s="616">
        <f>IFERROR(VLOOKUP($X8,HomeBroker!$A$22:$N$103,14,0),0)</f>
        <v>0</v>
      </c>
      <c r="AE8" s="247" t="str">
        <f t="shared" si="61"/>
        <v/>
      </c>
      <c r="AF8" s="110">
        <f t="shared" si="62"/>
        <v>0</v>
      </c>
      <c r="AG8" s="240">
        <v>1771.5</v>
      </c>
      <c r="AH8" s="614">
        <f t="shared" ca="1" si="63"/>
        <v>0</v>
      </c>
      <c r="AI8" s="615" t="str">
        <f t="shared" si="9"/>
        <v>MERV - XMEV - GFGV17715F - 24hs</v>
      </c>
      <c r="AJ8" s="615" t="str">
        <f t="shared" si="64"/>
        <v>GFGV17715F</v>
      </c>
      <c r="AK8" s="617">
        <f>IFERROR(VLOOKUP($AJ8,HomeBroker!$A$22:$F$103,2,0),0)</f>
        <v>0</v>
      </c>
      <c r="AL8" s="613">
        <f>IFERROR(VLOOKUP($AJ8,HomeBroker!$A$22:$F$103,3,0),0)</f>
        <v>0</v>
      </c>
      <c r="AM8" s="243">
        <f>IFERROR(VLOOKUP($AJ8,HomeBroker!$A$22:$F$103,6,0),0)</f>
        <v>0</v>
      </c>
      <c r="AN8" s="613">
        <f>IFERROR(VLOOKUP($AJ8,HomeBroker!$A$22:$F$103,4,0),0)</f>
        <v>0</v>
      </c>
      <c r="AO8" s="617">
        <f>IFERROR(VLOOKUP($AJ8,HomeBroker!$A$22:$F$103,5,0),0)</f>
        <v>0</v>
      </c>
      <c r="AP8" s="617">
        <f>IFERROR(VLOOKUP($AJ8,HomeBroker!$A$22:$N$103,14,0),0)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3000</v>
      </c>
      <c r="AU8" s="62"/>
      <c r="AV8" s="116"/>
      <c r="AW8" s="136" t="s">
        <v>354</v>
      </c>
      <c r="AX8" s="118"/>
      <c r="AY8" s="140"/>
      <c r="AZ8" s="141"/>
      <c r="BA8" s="303">
        <f t="shared" si="10"/>
        <v>0</v>
      </c>
      <c r="BB8" s="304">
        <f t="shared" si="11"/>
        <v>0</v>
      </c>
      <c r="BC8" s="120" t="s">
        <v>408</v>
      </c>
      <c r="BD8" s="118"/>
      <c r="BE8" s="143"/>
      <c r="BF8" s="121"/>
      <c r="BG8" s="306">
        <f t="shared" si="12"/>
        <v>0</v>
      </c>
      <c r="BH8" s="308">
        <f t="shared" si="13"/>
        <v>0</v>
      </c>
      <c r="BI8" s="122" t="s">
        <v>409</v>
      </c>
      <c r="BJ8" s="118"/>
      <c r="BK8" s="121"/>
      <c r="BL8" s="309">
        <f t="shared" si="14"/>
        <v>0</v>
      </c>
      <c r="BM8" s="310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296">
        <f t="shared" si="3"/>
        <v>0</v>
      </c>
      <c r="P9" s="142">
        <f t="shared" si="4"/>
        <v>0</v>
      </c>
      <c r="Q9" s="142">
        <f t="shared" ca="1" si="5"/>
        <v>0</v>
      </c>
      <c r="R9" s="62"/>
      <c r="S9" s="246" t="str">
        <f t="shared" si="6"/>
        <v/>
      </c>
      <c r="T9" s="110">
        <f>SUMIFS(B$3:B$37,C$3:C$37,U9)</f>
        <v>0</v>
      </c>
      <c r="U9" s="240"/>
      <c r="V9" s="112">
        <f t="shared" ca="1" si="59"/>
        <v>0</v>
      </c>
      <c r="W9" s="113" t="str">
        <f t="shared" si="8"/>
        <v/>
      </c>
      <c r="X9" s="113" t="str">
        <f t="shared" si="60"/>
        <v/>
      </c>
      <c r="Y9" s="242">
        <f>IFERROR(VLOOKUP($X9,HomeBroker!$A$22:$F$103,2,0),0)</f>
        <v>0</v>
      </c>
      <c r="Z9" s="242">
        <f>IFERROR(VLOOKUP($X9,HomeBroker!$A$22:$F$103,3,0),0)</f>
        <v>0</v>
      </c>
      <c r="AA9" s="243">
        <f>IFERROR(VLOOKUP($X9,HomeBroker!$A$22:$F$103,6,0),0)</f>
        <v>0</v>
      </c>
      <c r="AB9" s="242">
        <f>IFERROR(VLOOKUP($X9,HomeBroker!$A$22:$F$103,4,0),0)</f>
        <v>0</v>
      </c>
      <c r="AC9" s="242">
        <f>IFERROR(VLOOKUP($X9,HomeBroker!$A$22:$F$103,5,0),0)</f>
        <v>0</v>
      </c>
      <c r="AD9" s="305">
        <f>IFERROR(VLOOKUP($X9,HomeBroker!$A$22:$N$103,14,0),0)</f>
        <v>0</v>
      </c>
      <c r="AE9" s="247" t="str">
        <f t="shared" si="61"/>
        <v/>
      </c>
      <c r="AF9" s="110">
        <f t="shared" si="62"/>
        <v>0</v>
      </c>
      <c r="AG9" s="240"/>
      <c r="AH9" s="112">
        <f t="shared" ca="1" si="63"/>
        <v>0</v>
      </c>
      <c r="AI9" s="113" t="str">
        <f t="shared" si="9"/>
        <v/>
      </c>
      <c r="AJ9" s="113" t="str">
        <f t="shared" si="64"/>
        <v/>
      </c>
      <c r="AK9" s="237">
        <f>IFERROR(VLOOKUP($AJ9,HomeBroker!$A$22:$F$103,2,0),0)</f>
        <v>0</v>
      </c>
      <c r="AL9" s="242">
        <f>IFERROR(VLOOKUP($AJ9,HomeBroker!$A$22:$F$103,3,0),0)</f>
        <v>0</v>
      </c>
      <c r="AM9" s="243">
        <f>IFERROR(VLOOKUP($AJ9,HomeBroker!$A$22:$F$103,6,0),0)</f>
        <v>0</v>
      </c>
      <c r="AN9" s="242">
        <f>IFERROR(VLOOKUP($AJ9,HomeBroker!$A$22:$F$103,4,0),0)</f>
        <v>0</v>
      </c>
      <c r="AO9" s="237">
        <f>IFERROR(VLOOKUP($AJ9,HomeBroker!$A$22:$F$103,5,0),0)</f>
        <v>0</v>
      </c>
      <c r="AP9" s="115">
        <f>IFERROR(VLOOKUP($AJ9,HomeBroker!$A$22:$N$103,14,0),0)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 t="str">
        <f t="shared" si="67"/>
        <v>-</v>
      </c>
      <c r="AU9" s="62"/>
      <c r="AV9" s="116"/>
      <c r="AW9" s="136" t="s">
        <v>354</v>
      </c>
      <c r="AX9" s="118"/>
      <c r="AY9" s="140"/>
      <c r="AZ9" s="141"/>
      <c r="BA9" s="303">
        <f t="shared" si="10"/>
        <v>0</v>
      </c>
      <c r="BB9" s="304">
        <f t="shared" si="11"/>
        <v>0</v>
      </c>
      <c r="BC9" s="120" t="s">
        <v>408</v>
      </c>
      <c r="BD9" s="118"/>
      <c r="BE9" s="143"/>
      <c r="BF9" s="121"/>
      <c r="BG9" s="306">
        <f t="shared" si="12"/>
        <v>0</v>
      </c>
      <c r="BH9" s="308">
        <f t="shared" si="13"/>
        <v>0</v>
      </c>
      <c r="BI9" s="122" t="s">
        <v>409</v>
      </c>
      <c r="BJ9" s="118"/>
      <c r="BK9" s="121"/>
      <c r="BL9" s="309">
        <f t="shared" si="14"/>
        <v>0</v>
      </c>
      <c r="BM9" s="310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96">
        <f t="shared" si="3"/>
        <v>0</v>
      </c>
      <c r="P10" s="135">
        <f t="shared" si="4"/>
        <v>0</v>
      </c>
      <c r="Q10" s="135">
        <f t="shared" ca="1" si="5"/>
        <v>0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/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/>
      </c>
      <c r="X10" s="113" t="str">
        <f t="shared" si="60"/>
        <v/>
      </c>
      <c r="Y10" s="242">
        <f>IFERROR(VLOOKUP($X10,HomeBroker!$A$22:$F$103,2,0),0)</f>
        <v>0</v>
      </c>
      <c r="Z10" s="242">
        <f>IFERROR(VLOOKUP($X10,HomeBroker!$A$22:$F$103,3,0),0)</f>
        <v>0</v>
      </c>
      <c r="AA10" s="243">
        <f>IFERROR(VLOOKUP($X10,HomeBroker!$A$22:$F$103,6,0),0)</f>
        <v>0</v>
      </c>
      <c r="AB10" s="242">
        <f>IFERROR(VLOOKUP($X10,HomeBroker!$A$22:$F$103,4,0),0)</f>
        <v>0</v>
      </c>
      <c r="AC10" s="242">
        <f>IFERROR(VLOOKUP($X10,HomeBroker!$A$22:$F$103,5,0),0)</f>
        <v>0</v>
      </c>
      <c r="AD10" s="305">
        <f>IFERROR(VLOOKUP($X10,HomeBroker!$A$22:$N$103,14,0),0)</f>
        <v>0</v>
      </c>
      <c r="AE10" s="247" t="str">
        <f t="shared" si="61"/>
        <v/>
      </c>
      <c r="AF10" s="110">
        <f t="shared" si="62"/>
        <v>0</v>
      </c>
      <c r="AG10" s="240"/>
      <c r="AH10" s="112">
        <f t="shared" ca="1" si="63"/>
        <v>0</v>
      </c>
      <c r="AI10" s="113" t="str">
        <f t="shared" si="9"/>
        <v/>
      </c>
      <c r="AJ10" s="113" t="str">
        <f t="shared" si="64"/>
        <v/>
      </c>
      <c r="AK10" s="237">
        <f>IFERROR(VLOOKUP($AJ10,HomeBroker!$A$22:$F$103,2,0),0)</f>
        <v>0</v>
      </c>
      <c r="AL10" s="242">
        <f>IFERROR(VLOOKUP($AJ10,HomeBroker!$A$22:$F$103,3,0),0)</f>
        <v>0</v>
      </c>
      <c r="AM10" s="243">
        <f>IFERROR(VLOOKUP($AJ10,HomeBroker!$A$22:$F$103,6,0),0)</f>
        <v>0</v>
      </c>
      <c r="AN10" s="242">
        <f>IFERROR(VLOOKUP($AJ10,HomeBroker!$A$22:$F$103,4,0),0)</f>
        <v>0</v>
      </c>
      <c r="AO10" s="237">
        <f>IFERROR(VLOOKUP($AJ10,HomeBroker!$A$22:$F$103,5,0),0)</f>
        <v>0</v>
      </c>
      <c r="AP10" s="115">
        <f>IFERROR(VLOOKUP($AJ10,HomeBroker!$A$22:$N$103,14,0),0)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 t="str">
        <f t="shared" si="67"/>
        <v>-</v>
      </c>
      <c r="AU10" s="62"/>
      <c r="AV10" s="116"/>
      <c r="AW10" s="136" t="s">
        <v>354</v>
      </c>
      <c r="AX10" s="118"/>
      <c r="AY10" s="140"/>
      <c r="AZ10" s="141"/>
      <c r="BA10" s="303">
        <f t="shared" si="10"/>
        <v>0</v>
      </c>
      <c r="BB10" s="304">
        <f t="shared" si="11"/>
        <v>0</v>
      </c>
      <c r="BC10" s="120" t="s">
        <v>408</v>
      </c>
      <c r="BD10" s="118"/>
      <c r="BE10" s="143"/>
      <c r="BF10" s="121"/>
      <c r="BG10" s="306">
        <f t="shared" si="12"/>
        <v>0</v>
      </c>
      <c r="BH10" s="308">
        <f t="shared" si="13"/>
        <v>0</v>
      </c>
      <c r="BI10" s="122" t="s">
        <v>409</v>
      </c>
      <c r="BJ10" s="118"/>
      <c r="BK10" s="121"/>
      <c r="BL10" s="309">
        <f t="shared" si="14"/>
        <v>0</v>
      </c>
      <c r="BM10" s="310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296">
        <f t="shared" si="3"/>
        <v>0</v>
      </c>
      <c r="P11" s="135">
        <f t="shared" si="4"/>
        <v>0</v>
      </c>
      <c r="Q11" s="135">
        <f t="shared" ca="1" si="5"/>
        <v>0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IFERROR(VLOOKUP($X11,HomeBroker!$A$22:$F$103,2,0),0)</f>
        <v>0</v>
      </c>
      <c r="Z11" s="242">
        <f>IFERROR(VLOOKUP($X11,HomeBroker!$A$22:$F$103,3,0),0)</f>
        <v>0</v>
      </c>
      <c r="AA11" s="243">
        <f>IFERROR(VLOOKUP($X11,HomeBroker!$A$22:$F$103,6,0),0)</f>
        <v>0</v>
      </c>
      <c r="AB11" s="242">
        <f>IFERROR(VLOOKUP($X11,HomeBroker!$A$22:$F$103,4,0),0)</f>
        <v>0</v>
      </c>
      <c r="AC11" s="242">
        <f>IFERROR(VLOOKUP($X11,HomeBroker!$A$22:$F$103,5,0),0)</f>
        <v>0</v>
      </c>
      <c r="AD11" s="305">
        <f>IFERROR(VLOOKUP($X11,HomeBroker!$A$22:$N$103,14,0),0)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IFERROR(VLOOKUP($AJ11,HomeBroker!$A$22:$F$103,2,0),0)</f>
        <v>0</v>
      </c>
      <c r="AL11" s="242">
        <f>IFERROR(VLOOKUP($AJ11,HomeBroker!$A$22:$F$103,3,0),0)</f>
        <v>0</v>
      </c>
      <c r="AM11" s="243">
        <f>IFERROR(VLOOKUP($AJ11,HomeBroker!$A$22:$F$103,6,0),0)</f>
        <v>0</v>
      </c>
      <c r="AN11" s="242">
        <f>IFERROR(VLOOKUP($AJ11,HomeBroker!$A$22:$F$103,4,0),0)</f>
        <v>0</v>
      </c>
      <c r="AO11" s="237">
        <f>IFERROR(VLOOKUP($AJ11,HomeBroker!$A$22:$F$103,5,0),0)</f>
        <v>0</v>
      </c>
      <c r="AP11" s="115">
        <f>IFERROR(VLOOKUP($AJ11,HomeBroker!$A$22:$N$103,14,0),0)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303">
        <f t="shared" si="10"/>
        <v>0</v>
      </c>
      <c r="BB11" s="304">
        <f t="shared" si="11"/>
        <v>0</v>
      </c>
      <c r="BC11" s="120" t="s">
        <v>408</v>
      </c>
      <c r="BD11" s="118"/>
      <c r="BE11" s="143"/>
      <c r="BF11" s="121"/>
      <c r="BG11" s="306">
        <f t="shared" si="12"/>
        <v>0</v>
      </c>
      <c r="BH11" s="308">
        <f t="shared" si="13"/>
        <v>0</v>
      </c>
      <c r="BI11" s="122" t="s">
        <v>409</v>
      </c>
      <c r="BJ11" s="118"/>
      <c r="BK11" s="121"/>
      <c r="BL11" s="309">
        <f t="shared" si="14"/>
        <v>0</v>
      </c>
      <c r="BM11" s="310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str">
        <f>IFERROR(-1+(O12/$O$18),"")</f>
        <v/>
      </c>
      <c r="O12" s="296">
        <f t="shared" si="3"/>
        <v>0</v>
      </c>
      <c r="P12" s="142">
        <f t="shared" si="4"/>
        <v>0</v>
      </c>
      <c r="Q12" s="142">
        <f t="shared" ca="1" si="5"/>
        <v>0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IFERROR(VLOOKUP($X12,HomeBroker!$A$22:$F$103,2,0),0)</f>
        <v>0</v>
      </c>
      <c r="Z12" s="242">
        <f>IFERROR(VLOOKUP($X12,HomeBroker!$A$22:$F$103,3,0),0)</f>
        <v>0</v>
      </c>
      <c r="AA12" s="243">
        <f>IFERROR(VLOOKUP($X12,HomeBroker!$A$22:$F$103,6,0),0)</f>
        <v>0</v>
      </c>
      <c r="AB12" s="242">
        <f>IFERROR(VLOOKUP($X12,HomeBroker!$A$22:$F$103,4,0),0)</f>
        <v>0</v>
      </c>
      <c r="AC12" s="242">
        <f>IFERROR(VLOOKUP($X12,HomeBroker!$A$22:$F$103,5,0),0)</f>
        <v>0</v>
      </c>
      <c r="AD12" s="305">
        <f>IFERROR(VLOOKUP($X12,HomeBroker!$A$22:$N$103,14,0),0)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IFERROR(VLOOKUP($AJ12,HomeBroker!$A$22:$F$103,2,0),0)</f>
        <v>0</v>
      </c>
      <c r="AL12" s="242">
        <f>IFERROR(VLOOKUP($AJ12,HomeBroker!$A$22:$F$103,3,0),0)</f>
        <v>0</v>
      </c>
      <c r="AM12" s="243">
        <f>IFERROR(VLOOKUP($AJ12,HomeBroker!$A$22:$F$103,6,0),0)</f>
        <v>0</v>
      </c>
      <c r="AN12" s="242">
        <f>IFERROR(VLOOKUP($AJ12,HomeBroker!$A$22:$F$103,4,0),0)</f>
        <v>0</v>
      </c>
      <c r="AO12" s="237">
        <f>IFERROR(VLOOKUP($AJ12,HomeBroker!$A$22:$F$103,5,0),0)</f>
        <v>0</v>
      </c>
      <c r="AP12" s="115">
        <f>IFERROR(VLOOKUP($AJ12,HomeBroker!$A$22:$N$103,14,0),0)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303">
        <f t="shared" si="10"/>
        <v>0</v>
      </c>
      <c r="BB12" s="304">
        <f t="shared" si="11"/>
        <v>0</v>
      </c>
      <c r="BC12" s="120" t="s">
        <v>408</v>
      </c>
      <c r="BD12" s="118"/>
      <c r="BE12" s="143"/>
      <c r="BF12" s="121"/>
      <c r="BG12" s="306">
        <f t="shared" si="12"/>
        <v>0</v>
      </c>
      <c r="BH12" s="308">
        <f t="shared" si="13"/>
        <v>0</v>
      </c>
      <c r="BI12" s="122" t="s">
        <v>409</v>
      </c>
      <c r="BJ12" s="118"/>
      <c r="BK12" s="121"/>
      <c r="BL12" s="309">
        <f t="shared" si="14"/>
        <v>0</v>
      </c>
      <c r="BM12" s="310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str">
        <f>IFERROR(-1+(O13/$O$18),"")</f>
        <v/>
      </c>
      <c r="O13" s="297">
        <f t="shared" si="3"/>
        <v>0</v>
      </c>
      <c r="P13" s="135">
        <f t="shared" si="4"/>
        <v>0</v>
      </c>
      <c r="Q13" s="135">
        <f t="shared" ca="1" si="5"/>
        <v>0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IFERROR(VLOOKUP($X13,HomeBroker!$A$22:$F$103,2,0),0)</f>
        <v>0</v>
      </c>
      <c r="Z13" s="242">
        <f>IFERROR(VLOOKUP($X13,HomeBroker!$A$22:$F$103,3,0),0)</f>
        <v>0</v>
      </c>
      <c r="AA13" s="243">
        <f>IFERROR(VLOOKUP($X13,HomeBroker!$A$22:$F$103,6,0),0)</f>
        <v>0</v>
      </c>
      <c r="AB13" s="242">
        <f>IFERROR(VLOOKUP($X13,HomeBroker!$A$22:$F$103,4,0),0)</f>
        <v>0</v>
      </c>
      <c r="AC13" s="242">
        <f>IFERROR(VLOOKUP($X13,HomeBroker!$A$22:$F$103,5,0),0)</f>
        <v>0</v>
      </c>
      <c r="AD13" s="305">
        <f>IFERROR(VLOOKUP($X13,HomeBroker!$A$22:$N$103,14,0),0)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IFERROR(VLOOKUP($AJ13,HomeBroker!$A$22:$F$103,2,0),0)</f>
        <v>0</v>
      </c>
      <c r="AL13" s="242">
        <f>IFERROR(VLOOKUP($AJ13,HomeBroker!$A$22:$F$103,3,0),0)</f>
        <v>0</v>
      </c>
      <c r="AM13" s="243">
        <f>IFERROR(VLOOKUP($AJ13,HomeBroker!$A$22:$F$103,6,0),0)</f>
        <v>0</v>
      </c>
      <c r="AN13" s="242">
        <f>IFERROR(VLOOKUP($AJ13,HomeBroker!$A$22:$F$103,4,0),0)</f>
        <v>0</v>
      </c>
      <c r="AO13" s="237">
        <f>IFERROR(VLOOKUP($AJ13,HomeBroker!$A$22:$F$103,5,0),0)</f>
        <v>0</v>
      </c>
      <c r="AP13" s="115">
        <f>IFERROR(VLOOKUP($AJ13,HomeBroker!$A$22:$N$103,14,0),0)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303">
        <f t="shared" si="10"/>
        <v>0</v>
      </c>
      <c r="BB13" s="304">
        <f t="shared" si="11"/>
        <v>0</v>
      </c>
      <c r="BC13" s="120" t="s">
        <v>408</v>
      </c>
      <c r="BD13" s="118"/>
      <c r="BE13" s="143"/>
      <c r="BF13" s="121"/>
      <c r="BG13" s="306">
        <f t="shared" si="12"/>
        <v>0</v>
      </c>
      <c r="BH13" s="308">
        <f t="shared" si="13"/>
        <v>0</v>
      </c>
      <c r="BI13" s="122" t="s">
        <v>409</v>
      </c>
      <c r="BJ13" s="118"/>
      <c r="BK13" s="121"/>
      <c r="BL13" s="309">
        <f t="shared" si="14"/>
        <v>0</v>
      </c>
      <c r="BM13" s="310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str">
        <f>IFERROR(-1+(O14/$O$18),"")</f>
        <v/>
      </c>
      <c r="O14" s="297">
        <f t="shared" si="3"/>
        <v>0</v>
      </c>
      <c r="P14" s="135">
        <f t="shared" si="4"/>
        <v>0</v>
      </c>
      <c r="Q14" s="135">
        <f t="shared" ca="1" si="5"/>
        <v>0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IFERROR(VLOOKUP($X14,HomeBroker!$A$22:$F$103,2,0),0)</f>
        <v>0</v>
      </c>
      <c r="Z14" s="242">
        <f>IFERROR(VLOOKUP($X14,HomeBroker!$A$22:$F$103,3,0),0)</f>
        <v>0</v>
      </c>
      <c r="AA14" s="243">
        <f>IFERROR(VLOOKUP($X14,HomeBroker!$A$22:$F$103,6,0),0)</f>
        <v>0</v>
      </c>
      <c r="AB14" s="242">
        <f>IFERROR(VLOOKUP($X14,HomeBroker!$A$22:$F$103,4,0),0)</f>
        <v>0</v>
      </c>
      <c r="AC14" s="242">
        <f>IFERROR(VLOOKUP($X14,HomeBroker!$A$22:$F$88,5,0),0)</f>
        <v>0</v>
      </c>
      <c r="AD14" s="305">
        <f>IFERROR(VLOOKUP($X14,HomeBroker!$A$22:$N$103,14,0),0)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IFERROR(VLOOKUP($AJ14,HomeBroker!$A$22:$F$103,2,0),0)</f>
        <v>0</v>
      </c>
      <c r="AL14" s="242">
        <f>IFERROR(VLOOKUP($AJ14,HomeBroker!$A$22:$F$103,3,0),0)</f>
        <v>0</v>
      </c>
      <c r="AM14" s="243">
        <f>IFERROR(VLOOKUP($AJ14,HomeBroker!$A$22:$F$103,6,0),0)</f>
        <v>0</v>
      </c>
      <c r="AN14" s="242">
        <f>IFERROR(VLOOKUP($AJ14,HomeBroker!$A$22:$F$103,4,0),0)</f>
        <v>0</v>
      </c>
      <c r="AO14" s="237">
        <f>IFERROR(VLOOKUP($AJ14,HomeBroker!$A$22:$F$103,5,0),0)</f>
        <v>0</v>
      </c>
      <c r="AP14" s="115">
        <f>IFERROR(VLOOKUP($AJ14,HomeBroker!$A$22:$N$103,14,0),0)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303">
        <f t="shared" si="10"/>
        <v>0</v>
      </c>
      <c r="BB14" s="304">
        <f t="shared" si="11"/>
        <v>0</v>
      </c>
      <c r="BC14" s="120" t="s">
        <v>408</v>
      </c>
      <c r="BD14" s="118"/>
      <c r="BE14" s="143"/>
      <c r="BF14" s="121"/>
      <c r="BG14" s="306">
        <f t="shared" si="12"/>
        <v>0</v>
      </c>
      <c r="BH14" s="308">
        <f t="shared" si="13"/>
        <v>0</v>
      </c>
      <c r="BI14" s="122" t="s">
        <v>409</v>
      </c>
      <c r="BJ14" s="118"/>
      <c r="BK14" s="121"/>
      <c r="BL14" s="309">
        <f t="shared" si="14"/>
        <v>0</v>
      </c>
      <c r="BM14" s="310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str">
        <f t="shared" ref="N15:N17" si="71">IFERROR(-1+(O15/$O$18),"")</f>
        <v/>
      </c>
      <c r="O15" s="297">
        <f t="shared" si="3"/>
        <v>0</v>
      </c>
      <c r="P15" s="142">
        <f t="shared" si="4"/>
        <v>0</v>
      </c>
      <c r="Q15" s="142">
        <f t="shared" ca="1" si="5"/>
        <v>0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IFERROR(VLOOKUP($X15,HomeBroker!$A$22:$F$88,2,0),0)</f>
        <v>0</v>
      </c>
      <c r="Z15" s="242">
        <f>IFERROR(VLOOKUP($X15,HomeBroker!$A$22:$F$88,3,0),0)</f>
        <v>0</v>
      </c>
      <c r="AA15" s="243">
        <f>IFERROR(VLOOKUP($X15,HomeBroker!$A$22:$F$88,6,0),0)</f>
        <v>0</v>
      </c>
      <c r="AB15" s="242">
        <f>IFERROR(VLOOKUP($X15,HomeBroker!$A$22:$F$88,4,0),0)</f>
        <v>0</v>
      </c>
      <c r="AC15" s="242">
        <f>IFERROR(VLOOKUP($X15,HomeBroker!$A$22:$F$88,5,0),0)</f>
        <v>0</v>
      </c>
      <c r="AD15" s="305">
        <f>IFERROR(VLOOKUP($X15,HomeBroker!$A$22:$N$88,14,0),0)</f>
        <v>0</v>
      </c>
      <c r="AE15" s="247" t="str">
        <f t="shared" si="61"/>
        <v/>
      </c>
      <c r="AF15" s="110">
        <f t="shared" si="62"/>
        <v>0</v>
      </c>
      <c r="AG15" s="311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IFERROR(VLOOKUP($AJ15,HomeBroker!$A$22:$F$88,2,0),0)</f>
        <v>0</v>
      </c>
      <c r="AL15" s="242">
        <f>IFERROR(VLOOKUP($AJ15,HomeBroker!$A$22:$F$88,3,0),0)</f>
        <v>0</v>
      </c>
      <c r="AM15" s="243">
        <f>IFERROR(VLOOKUP($AJ15,HomeBroker!$A$22:$F$88,6,0),0)</f>
        <v>0</v>
      </c>
      <c r="AN15" s="242">
        <f>IFERROR(VLOOKUP($AJ15,HomeBroker!$A$22:$F$88,4,0),0)</f>
        <v>0</v>
      </c>
      <c r="AO15" s="237">
        <f>IFERROR(VLOOKUP($AJ15,HomeBroker!$A$22:$F$88,5,0),0)</f>
        <v>0</v>
      </c>
      <c r="AP15" s="115">
        <f>IFERROR(VLOOKUP($AJ15,HomeBroker!$A$22:$N$88,14,0),0)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303">
        <f t="shared" si="10"/>
        <v>0</v>
      </c>
      <c r="BB15" s="304">
        <f t="shared" si="11"/>
        <v>0</v>
      </c>
      <c r="BC15" s="120" t="s">
        <v>408</v>
      </c>
      <c r="BD15" s="118"/>
      <c r="BE15" s="143"/>
      <c r="BF15" s="121"/>
      <c r="BG15" s="306">
        <f t="shared" si="12"/>
        <v>0</v>
      </c>
      <c r="BH15" s="308">
        <f t="shared" si="13"/>
        <v>0</v>
      </c>
      <c r="BI15" s="122" t="s">
        <v>409</v>
      </c>
      <c r="BJ15" s="118"/>
      <c r="BK15" s="121"/>
      <c r="BL15" s="309">
        <f t="shared" si="14"/>
        <v>0</v>
      </c>
      <c r="BM15" s="310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str">
        <f t="shared" si="71"/>
        <v/>
      </c>
      <c r="O16" s="297">
        <f t="shared" si="3"/>
        <v>0</v>
      </c>
      <c r="P16" s="135">
        <f t="shared" si="4"/>
        <v>0</v>
      </c>
      <c r="Q16" s="135">
        <f t="shared" ca="1" si="5"/>
        <v>0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IFERROR(VLOOKUP($X16,HomeBroker!$A$22:$F$88,2,0),0)</f>
        <v>0</v>
      </c>
      <c r="Z16" s="242">
        <f>IFERROR(VLOOKUP($X16,HomeBroker!$A$22:$F$88,3,0),0)</f>
        <v>0</v>
      </c>
      <c r="AA16" s="243">
        <f>IFERROR(VLOOKUP($X16,HomeBroker!$A$22:$F$88,6,0),0)</f>
        <v>0</v>
      </c>
      <c r="AB16" s="242">
        <f>IFERROR(VLOOKUP($X16,HomeBroker!$A$22:$F$88,4,0),0)</f>
        <v>0</v>
      </c>
      <c r="AC16" s="242">
        <f>IFERROR(VLOOKUP($X16,HomeBroker!$A$22:$F$88,5,0),0)</f>
        <v>0</v>
      </c>
      <c r="AD16" s="305">
        <f>IFERROR(VLOOKUP($X16,HomeBroker!$A$22:$N$88,14,0),0)</f>
        <v>0</v>
      </c>
      <c r="AE16" s="247" t="str">
        <f t="shared" si="61"/>
        <v/>
      </c>
      <c r="AF16" s="110">
        <f t="shared" si="62"/>
        <v>0</v>
      </c>
      <c r="AG16" s="311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IFERROR(VLOOKUP($AJ16,HomeBroker!$A$22:$F$88,2,0),0)</f>
        <v>0</v>
      </c>
      <c r="AL16" s="242">
        <f>IFERROR(VLOOKUP($AJ16,HomeBroker!$A$22:$F$88,3,0),0)</f>
        <v>0</v>
      </c>
      <c r="AM16" s="243">
        <f>IFERROR(VLOOKUP($AJ16,HomeBroker!$A$22:$F$88,6,0),0)</f>
        <v>0</v>
      </c>
      <c r="AN16" s="242">
        <f>IFERROR(VLOOKUP($AJ16,HomeBroker!$A$22:$F$88,4,0),0)</f>
        <v>0</v>
      </c>
      <c r="AO16" s="237">
        <f>IFERROR(VLOOKUP($AJ16,HomeBroker!$A$22:$F$88,5,0),0)</f>
        <v>0</v>
      </c>
      <c r="AP16" s="115">
        <f>IFERROR(VLOOKUP($AJ16,HomeBroker!$A$22:$N$88,14,0),0)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303">
        <f t="shared" si="10"/>
        <v>0</v>
      </c>
      <c r="BB16" s="304">
        <f t="shared" si="11"/>
        <v>0</v>
      </c>
      <c r="BC16" s="120" t="s">
        <v>408</v>
      </c>
      <c r="BD16" s="118"/>
      <c r="BE16" s="143"/>
      <c r="BF16" s="121"/>
      <c r="BG16" s="306">
        <f t="shared" si="12"/>
        <v>0</v>
      </c>
      <c r="BH16" s="308">
        <f t="shared" si="13"/>
        <v>0</v>
      </c>
      <c r="BI16" s="122" t="s">
        <v>409</v>
      </c>
      <c r="BJ16" s="118"/>
      <c r="BK16" s="121"/>
      <c r="BL16" s="309">
        <f t="shared" si="14"/>
        <v>0</v>
      </c>
      <c r="BM16" s="310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str">
        <f t="shared" si="71"/>
        <v/>
      </c>
      <c r="O17" s="297">
        <f t="shared" si="3"/>
        <v>0</v>
      </c>
      <c r="P17" s="135">
        <f t="shared" si="4"/>
        <v>0</v>
      </c>
      <c r="Q17" s="135">
        <f t="shared" ca="1" si="5"/>
        <v>0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IFERROR(VLOOKUP($X17,HomeBroker!$A$22:$F$88,2,0),0)</f>
        <v>0</v>
      </c>
      <c r="Z17" s="242">
        <f>IFERROR(VLOOKUP($X17,HomeBroker!$A$22:$F$88,3,0),0)</f>
        <v>0</v>
      </c>
      <c r="AA17" s="243">
        <f>IFERROR(VLOOKUP($X17,HomeBroker!$A$22:$F$88,6,0),0)</f>
        <v>0</v>
      </c>
      <c r="AB17" s="242">
        <f>IFERROR(VLOOKUP($X17,HomeBroker!$A$22:$F$88,4,0),0)</f>
        <v>0</v>
      </c>
      <c r="AC17" s="242">
        <f>IFERROR(VLOOKUP($X17,HomeBroker!$A$22:$F$88,5,0),0)</f>
        <v>0</v>
      </c>
      <c r="AD17" s="305">
        <f>IFERROR(VLOOKUP($X17,HomeBroker!$A$22:$N$88,14,0),0)</f>
        <v>0</v>
      </c>
      <c r="AE17" s="247" t="str">
        <f t="shared" si="61"/>
        <v/>
      </c>
      <c r="AF17" s="110">
        <f t="shared" si="62"/>
        <v>0</v>
      </c>
      <c r="AG17" s="311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IFERROR(VLOOKUP($AJ17,HomeBroker!$A$22:$F$88,2,0),0)</f>
        <v>0</v>
      </c>
      <c r="AL17" s="242">
        <f>IFERROR(VLOOKUP($AJ17,HomeBroker!$A$22:$F$88,3,0),0)</f>
        <v>0</v>
      </c>
      <c r="AM17" s="243">
        <f>IFERROR(VLOOKUP($AJ17,HomeBroker!$A$22:$F$88,6,0),0)</f>
        <v>0</v>
      </c>
      <c r="AN17" s="242">
        <f>IFERROR(VLOOKUP($AJ17,HomeBroker!$A$22:$F$88,4,0),0)</f>
        <v>0</v>
      </c>
      <c r="AO17" s="237">
        <f>IFERROR(VLOOKUP($AJ17,HomeBroker!$A$22:$F$88,5,0),0)</f>
        <v>0</v>
      </c>
      <c r="AP17" s="115">
        <f>IFERROR(VLOOKUP($AJ17,HomeBroker!$A$22:$N$88,14,0),0)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303">
        <f t="shared" si="10"/>
        <v>0</v>
      </c>
      <c r="BB17" s="304">
        <f t="shared" si="11"/>
        <v>0</v>
      </c>
      <c r="BC17" s="120" t="s">
        <v>408</v>
      </c>
      <c r="BD17" s="118"/>
      <c r="BE17" s="143"/>
      <c r="BF17" s="121"/>
      <c r="BG17" s="306">
        <f t="shared" si="12"/>
        <v>0</v>
      </c>
      <c r="BH17" s="308">
        <f t="shared" si="13"/>
        <v>0</v>
      </c>
      <c r="BI17" s="122" t="s">
        <v>409</v>
      </c>
      <c r="BJ17" s="118"/>
      <c r="BK17" s="121"/>
      <c r="BL17" s="309">
        <f t="shared" si="14"/>
        <v>0</v>
      </c>
      <c r="BM17" s="310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298">
        <f>IF($Q$45&lt;&gt;"",$Q$45,$B$76)</f>
        <v>0</v>
      </c>
      <c r="P18" s="142">
        <f t="shared" si="4"/>
        <v>0</v>
      </c>
      <c r="Q18" s="142">
        <f t="shared" ca="1" si="5"/>
        <v>0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IFERROR(VLOOKUP($X18,HomeBroker!$A$22:$F$88,2,0),0)</f>
        <v>0</v>
      </c>
      <c r="Z18" s="242">
        <f>IFERROR(VLOOKUP($X18,HomeBroker!$A$22:$F$88,3,0),0)</f>
        <v>0</v>
      </c>
      <c r="AA18" s="243">
        <f>IFERROR(VLOOKUP($X18,HomeBroker!$A$22:$F$88,6,0),0)</f>
        <v>0</v>
      </c>
      <c r="AB18" s="242">
        <f>IFERROR(VLOOKUP($X18,HomeBroker!$A$22:$F$88,4,0),0)</f>
        <v>0</v>
      </c>
      <c r="AC18" s="242">
        <f>IFERROR(VLOOKUP($X18,HomeBroker!$A$22:$F$88,5,0),0)</f>
        <v>0</v>
      </c>
      <c r="AD18" s="305">
        <f>IFERROR(VLOOKUP($X18,HomeBroker!$A$22:$N$88,14,0),0)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IFERROR(VLOOKUP($AJ18,HomeBroker!$A$22:$F$88,2,0),0)</f>
        <v>0</v>
      </c>
      <c r="AL18" s="242">
        <f>IFERROR(VLOOKUP($AJ18,HomeBroker!$A$22:$F$88,3,0),0)</f>
        <v>0</v>
      </c>
      <c r="AM18" s="243">
        <f>IFERROR(VLOOKUP($AJ18,HomeBroker!$A$22:$F$88,6,0),0)</f>
        <v>0</v>
      </c>
      <c r="AN18" s="242">
        <f>IFERROR(VLOOKUP($AJ18,HomeBroker!$A$22:$F$88,4,0),0)</f>
        <v>0</v>
      </c>
      <c r="AO18" s="114">
        <f>IFERROR(VLOOKUP($AJ18,HomeBroker!$A$22:$F$88,5,0),0)</f>
        <v>0</v>
      </c>
      <c r="AP18" s="115">
        <f>IFERROR(VLOOKUP($AJ18,HomeBroker!$A$22:$N$88,14,0),0)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303">
        <f t="shared" si="10"/>
        <v>0</v>
      </c>
      <c r="BB18" s="304">
        <f t="shared" si="11"/>
        <v>0</v>
      </c>
      <c r="BC18" s="120" t="s">
        <v>408</v>
      </c>
      <c r="BD18" s="118"/>
      <c r="BE18" s="143"/>
      <c r="BF18" s="121"/>
      <c r="BG18" s="306">
        <f t="shared" si="12"/>
        <v>0</v>
      </c>
      <c r="BH18" s="308">
        <f t="shared" si="13"/>
        <v>0</v>
      </c>
      <c r="BI18" s="122" t="s">
        <v>409</v>
      </c>
      <c r="BJ18" s="118"/>
      <c r="BK18" s="121"/>
      <c r="BL18" s="309">
        <f t="shared" si="14"/>
        <v>0</v>
      </c>
      <c r="BM18" s="310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str">
        <f>IFERROR(+O19/$O$18-1,"")</f>
        <v/>
      </c>
      <c r="O19" s="297">
        <f t="shared" ref="O19:O34" si="79">+O18*(1+$Q$42)</f>
        <v>0</v>
      </c>
      <c r="P19" s="135">
        <f t="shared" si="4"/>
        <v>0</v>
      </c>
      <c r="Q19" s="135">
        <f t="shared" ca="1" si="5"/>
        <v>0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0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IFERROR(VLOOKUP($X19,HomeBroker!$A$22:$F$88,2,0),0)</f>
        <v>0</v>
      </c>
      <c r="Z19" s="242">
        <f>IFERROR(VLOOKUP($X19,HomeBroker!$A$22:$F$88,3,0),0)</f>
        <v>0</v>
      </c>
      <c r="AA19" s="243">
        <f>IFERROR(VLOOKUP($X19,HomeBroker!$A$22:$F$88,6,0),0)</f>
        <v>0</v>
      </c>
      <c r="AB19" s="242">
        <f>IFERROR(VLOOKUP($X19,HomeBroker!$A$22:$F$88,4,0),0)</f>
        <v>0</v>
      </c>
      <c r="AC19" s="242">
        <f>IFERROR(VLOOKUP($X19,HomeBroker!$A$22:$F$88,5,0),0)</f>
        <v>0</v>
      </c>
      <c r="AD19" s="305">
        <f>IFERROR(VLOOKUP($X19,HomeBroker!$A$22:$N$88,14,0),0)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IFERROR(VLOOKUP($AJ19,HomeBroker!$A$22:$F$88,2,0),0)</f>
        <v>0</v>
      </c>
      <c r="AL19" s="242">
        <f>IFERROR(VLOOKUP($AJ19,HomeBroker!$A$22:$F$88,3,0),0)</f>
        <v>0</v>
      </c>
      <c r="AM19" s="243">
        <f>IFERROR(VLOOKUP($AJ19,HomeBroker!$A$22:$F$88,6,0),0)</f>
        <v>0</v>
      </c>
      <c r="AN19" s="242">
        <f>IFERROR(VLOOKUP($AJ19,HomeBroker!$A$22:$F$88,4,0),0)</f>
        <v>0</v>
      </c>
      <c r="AO19" s="114">
        <f>IFERROR(VLOOKUP($AJ19,HomeBroker!$A$22:$F$88,5,0),0)</f>
        <v>0</v>
      </c>
      <c r="AP19" s="115">
        <f>IFERROR(VLOOKUP($AJ19,HomeBroker!$A$22:$N$88,14,0),0)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303">
        <f t="shared" si="10"/>
        <v>0</v>
      </c>
      <c r="BB19" s="304">
        <f t="shared" si="11"/>
        <v>0</v>
      </c>
      <c r="BC19" s="120" t="s">
        <v>408</v>
      </c>
      <c r="BD19" s="118"/>
      <c r="BE19" s="143"/>
      <c r="BF19" s="121"/>
      <c r="BG19" s="306">
        <f t="shared" si="12"/>
        <v>0</v>
      </c>
      <c r="BH19" s="308">
        <f t="shared" si="13"/>
        <v>0</v>
      </c>
      <c r="BI19" s="122" t="s">
        <v>409</v>
      </c>
      <c r="BJ19" s="118"/>
      <c r="BK19" s="121"/>
      <c r="BL19" s="309">
        <f t="shared" si="14"/>
        <v>0</v>
      </c>
      <c r="BM19" s="310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str">
        <f t="shared" ref="N20:N23" si="81">IFERROR(+O20/$O$18-1,"")</f>
        <v/>
      </c>
      <c r="O20" s="297">
        <f t="shared" si="79"/>
        <v>0</v>
      </c>
      <c r="P20" s="135">
        <f t="shared" si="4"/>
        <v>0</v>
      </c>
      <c r="Q20" s="135">
        <f t="shared" ca="1" si="5"/>
        <v>0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0"/>
        <v/>
      </c>
      <c r="X20" s="113" t="str">
        <f t="shared" si="75"/>
        <v/>
      </c>
      <c r="Y20" s="242">
        <f>IFERROR(VLOOKUP($X20,HomeBroker!$A$22:$F$88,2,0),0)</f>
        <v>0</v>
      </c>
      <c r="Z20" s="242">
        <f>IFERROR(VLOOKUP($X20,HomeBroker!$A$22:$F$88,3,0),0)</f>
        <v>0</v>
      </c>
      <c r="AA20" s="243">
        <f>IFERROR(VLOOKUP($X20,HomeBroker!$A$22:$F$88,6,0),0)</f>
        <v>0</v>
      </c>
      <c r="AB20" s="242">
        <f>IFERROR(VLOOKUP($X20,HomeBroker!$A$22:$F$88,4,0),0)</f>
        <v>0</v>
      </c>
      <c r="AC20" s="242">
        <f>IFERROR(VLOOKUP($X20,HomeBroker!$A$22:$F$88,5,0),0)</f>
        <v>0</v>
      </c>
      <c r="AD20" s="305">
        <f>IFERROR(VLOOKUP($X20,HomeBroker!$A$22:$N$88,14,0),0)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IFERROR(VLOOKUP($AJ20,HomeBroker!$A$22:$F$88,2,0),0)</f>
        <v>0</v>
      </c>
      <c r="AL20" s="242">
        <f>IFERROR(VLOOKUP($AJ20,HomeBroker!$A$22:$F$88,3,0),0)</f>
        <v>0</v>
      </c>
      <c r="AM20" s="243">
        <f>IFERROR(VLOOKUP($AJ20,HomeBroker!$A$22:$F$88,6,0),0)</f>
        <v>0</v>
      </c>
      <c r="AN20" s="242">
        <f>IFERROR(VLOOKUP($AJ20,HomeBroker!$A$22:$F$88,4,0),0)</f>
        <v>0</v>
      </c>
      <c r="AO20" s="114">
        <f>IFERROR(VLOOKUP($AJ20,HomeBroker!$A$22:$F$88,5,0),0)</f>
        <v>0</v>
      </c>
      <c r="AP20" s="115">
        <f>IFERROR(VLOOKUP($AJ20,HomeBroker!$A$22:$N$88,14,0),0)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303">
        <f t="shared" si="10"/>
        <v>0</v>
      </c>
      <c r="BB20" s="304">
        <f t="shared" si="11"/>
        <v>0</v>
      </c>
      <c r="BC20" s="120" t="s">
        <v>408</v>
      </c>
      <c r="BD20" s="118"/>
      <c r="BE20" s="143"/>
      <c r="BF20" s="121"/>
      <c r="BG20" s="306">
        <f t="shared" si="12"/>
        <v>0</v>
      </c>
      <c r="BH20" s="308">
        <f t="shared" si="13"/>
        <v>0</v>
      </c>
      <c r="BI20" s="122" t="s">
        <v>409</v>
      </c>
      <c r="BJ20" s="118"/>
      <c r="BK20" s="121"/>
      <c r="BL20" s="309">
        <f t="shared" si="14"/>
        <v>0</v>
      </c>
      <c r="BM20" s="310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str">
        <f t="shared" si="81"/>
        <v/>
      </c>
      <c r="O21" s="297">
        <f t="shared" si="79"/>
        <v>0</v>
      </c>
      <c r="P21" s="142">
        <f t="shared" si="4"/>
        <v>0</v>
      </c>
      <c r="Q21" s="142">
        <f t="shared" ca="1" si="5"/>
        <v>0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0"/>
        <v/>
      </c>
      <c r="X21" s="113" t="str">
        <f t="shared" si="75"/>
        <v/>
      </c>
      <c r="Y21" s="242">
        <f>IFERROR(VLOOKUP($X21,HomeBroker!$A$22:$F$88,2,0),0)</f>
        <v>0</v>
      </c>
      <c r="Z21" s="242">
        <f>IFERROR(VLOOKUP($X21,HomeBroker!$A$22:$F$88,3,0),0)</f>
        <v>0</v>
      </c>
      <c r="AA21" s="243">
        <f>IFERROR(VLOOKUP($X21,HomeBroker!$A$22:$F$88,6,0),0)</f>
        <v>0</v>
      </c>
      <c r="AB21" s="242">
        <f>IFERROR(VLOOKUP($X21,HomeBroker!$A$22:$F$88,4,0),0)</f>
        <v>0</v>
      </c>
      <c r="AC21" s="242">
        <f>IFERROR(VLOOKUP($X21,HomeBroker!$A$22:$F$88,5,0),0)</f>
        <v>0</v>
      </c>
      <c r="AD21" s="305">
        <f>IFERROR(VLOOKUP($X21,HomeBroker!$A$22:$N$88,14,0),0)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IFERROR(VLOOKUP($AJ21,HomeBroker!$A$22:$F$88,2,0),0)</f>
        <v>0</v>
      </c>
      <c r="AL21" s="242">
        <f>IFERROR(VLOOKUP($AJ21,HomeBroker!$A$22:$F$88,3,0),0)</f>
        <v>0</v>
      </c>
      <c r="AM21" s="243">
        <f>IFERROR(VLOOKUP($AJ21,HomeBroker!$A$22:$F$88,6,0),0)</f>
        <v>0</v>
      </c>
      <c r="AN21" s="242">
        <f>IFERROR(VLOOKUP($AJ21,HomeBroker!$A$22:$F$88,4,0),0)</f>
        <v>0</v>
      </c>
      <c r="AO21" s="114">
        <f>IFERROR(VLOOKUP($AJ21,HomeBroker!$A$22:$F$88,5,0),0)</f>
        <v>0</v>
      </c>
      <c r="AP21" s="115">
        <f>IFERROR(VLOOKUP($AJ21,HomeBroker!$A$22:$N$88,14,0),0)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303">
        <f t="shared" si="10"/>
        <v>0</v>
      </c>
      <c r="BB21" s="304">
        <f t="shared" si="11"/>
        <v>0</v>
      </c>
      <c r="BC21" s="120" t="s">
        <v>408</v>
      </c>
      <c r="BD21" s="118"/>
      <c r="BE21" s="143"/>
      <c r="BF21" s="121"/>
      <c r="BG21" s="306">
        <f t="shared" si="12"/>
        <v>0</v>
      </c>
      <c r="BH21" s="308">
        <f t="shared" si="13"/>
        <v>0</v>
      </c>
      <c r="BI21" s="122" t="s">
        <v>409</v>
      </c>
      <c r="BJ21" s="118"/>
      <c r="BK21" s="121"/>
      <c r="BL21" s="309">
        <f t="shared" si="14"/>
        <v>0</v>
      </c>
      <c r="BM21" s="310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str">
        <f t="shared" si="81"/>
        <v/>
      </c>
      <c r="O22" s="297">
        <f t="shared" si="79"/>
        <v>0</v>
      </c>
      <c r="P22" s="135">
        <f t="shared" si="4"/>
        <v>0</v>
      </c>
      <c r="Q22" s="135">
        <f t="shared" ca="1" si="5"/>
        <v>0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0"/>
        <v/>
      </c>
      <c r="X22" s="113" t="str">
        <f t="shared" si="75"/>
        <v/>
      </c>
      <c r="Y22" s="242">
        <f>IFERROR(VLOOKUP($X22,HomeBroker!$A$22:$F$88,2,0),0)</f>
        <v>0</v>
      </c>
      <c r="Z22" s="242">
        <f>IFERROR(VLOOKUP($X22,HomeBroker!$A$22:$F$88,3,0),0)</f>
        <v>0</v>
      </c>
      <c r="AA22" s="243">
        <f>IFERROR(VLOOKUP($X22,HomeBroker!$A$22:$F$88,6,0),0)</f>
        <v>0</v>
      </c>
      <c r="AB22" s="242">
        <f>IFERROR(VLOOKUP($X22,HomeBroker!$A$22:$F$88,4,0),0)</f>
        <v>0</v>
      </c>
      <c r="AC22" s="242">
        <f>IFERROR(VLOOKUP($X22,HomeBroker!$A$22:$F$88,5,0),0)</f>
        <v>0</v>
      </c>
      <c r="AD22" s="305">
        <f>IFERROR(VLOOKUP($X22,HomeBroker!$A$22:$N$88,14,0),0)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IFERROR(VLOOKUP($AJ22,HomeBroker!$A$22:$F$88,2,0),0)</f>
        <v>0</v>
      </c>
      <c r="AL22" s="242">
        <f>IFERROR(VLOOKUP($AJ22,HomeBroker!$A$22:$F$88,3,0),0)</f>
        <v>0</v>
      </c>
      <c r="AM22" s="243">
        <f>IFERROR(VLOOKUP($AJ22,HomeBroker!$A$22:$F$88,6,0),0)</f>
        <v>0</v>
      </c>
      <c r="AN22" s="242">
        <f>IFERROR(VLOOKUP($AJ22,HomeBroker!$A$22:$F$88,4,0),0)</f>
        <v>0</v>
      </c>
      <c r="AO22" s="114">
        <f>IFERROR(VLOOKUP($AJ22,HomeBroker!$A$22:$F$88,5,0),0)</f>
        <v>0</v>
      </c>
      <c r="AP22" s="115">
        <f>IFERROR(VLOOKUP($AJ22,HomeBroker!$A$22:$N$88,14,0),0)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303">
        <f t="shared" si="10"/>
        <v>0</v>
      </c>
      <c r="BB22" s="304">
        <f t="shared" si="11"/>
        <v>0</v>
      </c>
      <c r="BC22" s="120" t="s">
        <v>408</v>
      </c>
      <c r="BD22" s="118"/>
      <c r="BE22" s="143"/>
      <c r="BF22" s="121"/>
      <c r="BG22" s="306">
        <f t="shared" si="12"/>
        <v>0</v>
      </c>
      <c r="BH22" s="308">
        <f t="shared" si="13"/>
        <v>0</v>
      </c>
      <c r="BI22" s="122" t="s">
        <v>409</v>
      </c>
      <c r="BJ22" s="118"/>
      <c r="BK22" s="121"/>
      <c r="BL22" s="309">
        <f t="shared" si="14"/>
        <v>0</v>
      </c>
      <c r="BM22" s="310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str">
        <f t="shared" si="81"/>
        <v/>
      </c>
      <c r="O23" s="297">
        <f t="shared" si="79"/>
        <v>0</v>
      </c>
      <c r="P23" s="135">
        <f t="shared" si="4"/>
        <v>0</v>
      </c>
      <c r="Q23" s="135">
        <f t="shared" ca="1" si="5"/>
        <v>0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0"/>
        <v/>
      </c>
      <c r="X23" s="113" t="str">
        <f t="shared" si="75"/>
        <v/>
      </c>
      <c r="Y23" s="242">
        <f>IFERROR(VLOOKUP($X23,HomeBroker!$A$22:$F$88,2,0),0)</f>
        <v>0</v>
      </c>
      <c r="Z23" s="242">
        <f>IFERROR(VLOOKUP($X23,HomeBroker!$A$22:$F$88,3,0),0)</f>
        <v>0</v>
      </c>
      <c r="AA23" s="243">
        <f>IFERROR(VLOOKUP($X23,HomeBroker!$A$22:$F$88,6,0),0)</f>
        <v>0</v>
      </c>
      <c r="AB23" s="242">
        <f>IFERROR(VLOOKUP($X23,HomeBroker!$A$22:$F$88,4,0),0)</f>
        <v>0</v>
      </c>
      <c r="AC23" s="242">
        <f>IFERROR(VLOOKUP($X23,HomeBroker!$A$22:$F$88,5,0),0)</f>
        <v>0</v>
      </c>
      <c r="AD23" s="305">
        <f>IFERROR(VLOOKUP($X23,HomeBroker!$A$22:$N$88,14,0),0)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IFERROR(VLOOKUP($AJ23,HomeBroker!$A$22:$F$88,2,0),0)</f>
        <v>0</v>
      </c>
      <c r="AL23" s="242">
        <f>IFERROR(VLOOKUP($AJ23,HomeBroker!$A$22:$F$88,3,0),0)</f>
        <v>0</v>
      </c>
      <c r="AM23" s="243">
        <f>IFERROR(VLOOKUP($AJ23,HomeBroker!$A$22:$F$88,6,0),0)</f>
        <v>0</v>
      </c>
      <c r="AN23" s="242">
        <f>IFERROR(VLOOKUP($AJ23,HomeBroker!$A$22:$F$88,4,0),0)</f>
        <v>0</v>
      </c>
      <c r="AO23" s="114">
        <f>IFERROR(VLOOKUP($AJ23,HomeBroker!$A$22:$F$88,5,0),0)</f>
        <v>0</v>
      </c>
      <c r="AP23" s="115">
        <f>IFERROR(VLOOKUP($AJ23,HomeBroker!$A$22:$N$88,14,0),0)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303">
        <f t="shared" si="10"/>
        <v>0</v>
      </c>
      <c r="BB23" s="304">
        <f t="shared" si="11"/>
        <v>0</v>
      </c>
      <c r="BC23" s="120" t="s">
        <v>408</v>
      </c>
      <c r="BD23" s="118"/>
      <c r="BE23" s="143"/>
      <c r="BF23" s="121"/>
      <c r="BG23" s="306">
        <f t="shared" si="12"/>
        <v>0</v>
      </c>
      <c r="BH23" s="308">
        <f t="shared" si="13"/>
        <v>0</v>
      </c>
      <c r="BI23" s="122" t="s">
        <v>409</v>
      </c>
      <c r="BJ23" s="118"/>
      <c r="BK23" s="121"/>
      <c r="BL23" s="309">
        <f t="shared" si="14"/>
        <v>0</v>
      </c>
      <c r="BM23" s="310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str">
        <f>IFERROR(+O24/$O$18-1,"")</f>
        <v/>
      </c>
      <c r="O24" s="296">
        <f t="shared" si="79"/>
        <v>0</v>
      </c>
      <c r="P24" s="142">
        <f t="shared" si="4"/>
        <v>0</v>
      </c>
      <c r="Q24" s="142">
        <f t="shared" ca="1" si="5"/>
        <v>0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0"/>
        <v/>
      </c>
      <c r="X24" s="113" t="str">
        <f t="shared" si="75"/>
        <v/>
      </c>
      <c r="Y24" s="242">
        <f>IFERROR(VLOOKUP($X24,HomeBroker!$A$22:$F$88,2,0),0)</f>
        <v>0</v>
      </c>
      <c r="Z24" s="242">
        <f>IFERROR(VLOOKUP($X24,HomeBroker!$A$22:$F$88,3,0),0)</f>
        <v>0</v>
      </c>
      <c r="AA24" s="243">
        <f>IFERROR(VLOOKUP($X24,HomeBroker!$A$22:$F$88,6,0),0)</f>
        <v>0</v>
      </c>
      <c r="AB24" s="242">
        <f>IFERROR(VLOOKUP($X24,HomeBroker!$A$22:$F$88,4,0),0)</f>
        <v>0</v>
      </c>
      <c r="AC24" s="242">
        <f>IFERROR(VLOOKUP($X24,HomeBroker!$A$22:$F$88,5,0),0)</f>
        <v>0</v>
      </c>
      <c r="AD24" s="305">
        <f>IFERROR(VLOOKUP($X24,HomeBroker!$A$22:$N$88,14,0),0)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IFERROR(VLOOKUP($AJ24,HomeBroker!$A$22:$F$88,2,0),0)</f>
        <v>0</v>
      </c>
      <c r="AL24" s="242">
        <f>IFERROR(VLOOKUP($AJ24,HomeBroker!$A$22:$F$88,3,0),0)</f>
        <v>0</v>
      </c>
      <c r="AM24" s="243">
        <f>IFERROR(VLOOKUP($AJ24,HomeBroker!$A$22:$F$88,6,0),0)</f>
        <v>0</v>
      </c>
      <c r="AN24" s="242">
        <f>IFERROR(VLOOKUP($AJ24,HomeBroker!$A$22:$F$88,4,0),0)</f>
        <v>0</v>
      </c>
      <c r="AO24" s="114">
        <f>IFERROR(VLOOKUP($AJ24,HomeBroker!$A$22:$F$88,5,0),0)</f>
        <v>0</v>
      </c>
      <c r="AP24" s="115">
        <f>IFERROR(VLOOKUP($AJ24,HomeBroker!$A$22:$N$88,14,0),0)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303">
        <f t="shared" si="10"/>
        <v>0</v>
      </c>
      <c r="BB24" s="304">
        <f t="shared" si="11"/>
        <v>0</v>
      </c>
      <c r="BC24" s="120" t="s">
        <v>408</v>
      </c>
      <c r="BD24" s="118"/>
      <c r="BE24" s="143"/>
      <c r="BF24" s="121"/>
      <c r="BG24" s="306">
        <f t="shared" si="12"/>
        <v>0</v>
      </c>
      <c r="BH24" s="308">
        <f t="shared" si="13"/>
        <v>0</v>
      </c>
      <c r="BI24" s="122" t="s">
        <v>409</v>
      </c>
      <c r="BJ24" s="118"/>
      <c r="BK24" s="121"/>
      <c r="BL24" s="309">
        <f t="shared" si="14"/>
        <v>0</v>
      </c>
      <c r="BM24" s="310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96">
        <f t="shared" si="79"/>
        <v>0</v>
      </c>
      <c r="P25" s="135">
        <f t="shared" si="4"/>
        <v>0</v>
      </c>
      <c r="Q25" s="135">
        <f t="shared" ca="1" si="5"/>
        <v>0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0"/>
        <v/>
      </c>
      <c r="X25" s="113" t="str">
        <f t="shared" si="75"/>
        <v/>
      </c>
      <c r="Y25" s="242">
        <f>IFERROR(VLOOKUP($X25,HomeBroker!$A$22:$F$88,2,0),0)</f>
        <v>0</v>
      </c>
      <c r="Z25" s="242">
        <f>IFERROR(VLOOKUP($X25,HomeBroker!$A$22:$F$88,3,0),0)</f>
        <v>0</v>
      </c>
      <c r="AA25" s="243">
        <f>IFERROR(VLOOKUP($X25,HomeBroker!$A$22:$F$88,6,0),0)</f>
        <v>0</v>
      </c>
      <c r="AB25" s="242">
        <f>IFERROR(VLOOKUP($X25,HomeBroker!$A$22:$F$88,4,0),0)</f>
        <v>0</v>
      </c>
      <c r="AC25" s="242">
        <f>IFERROR(VLOOKUP($X25,HomeBroker!$A$22:$F$88,5,0),0)</f>
        <v>0</v>
      </c>
      <c r="AD25" s="305">
        <f>IFERROR(VLOOKUP($X25,HomeBroker!$A$22:$N$88,14,0),0)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IFERROR(VLOOKUP($AJ25,HomeBroker!$A$22:$F$88,2,0),0)</f>
        <v>0</v>
      </c>
      <c r="AL25" s="242">
        <f>IFERROR(VLOOKUP($AJ25,HomeBroker!$A$22:$F$88,3,0),0)</f>
        <v>0</v>
      </c>
      <c r="AM25" s="243">
        <f>IFERROR(VLOOKUP($AJ25,HomeBroker!$A$22:$F$88,6,0),0)</f>
        <v>0</v>
      </c>
      <c r="AN25" s="242">
        <f>IFERROR(VLOOKUP($AJ25,HomeBroker!$A$22:$F$88,4,0),0)</f>
        <v>0</v>
      </c>
      <c r="AO25" s="114">
        <f>IFERROR(VLOOKUP($AJ25,HomeBroker!$A$22:$F$88,5,0),0)</f>
        <v>0</v>
      </c>
      <c r="AP25" s="115">
        <f>IFERROR(VLOOKUP($AJ25,HomeBroker!$A$22:$N$88,14,0),0)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303">
        <f t="shared" si="10"/>
        <v>0</v>
      </c>
      <c r="BB25" s="304">
        <f t="shared" si="11"/>
        <v>0</v>
      </c>
      <c r="BC25" s="120" t="s">
        <v>408</v>
      </c>
      <c r="BD25" s="118"/>
      <c r="BE25" s="143"/>
      <c r="BF25" s="121"/>
      <c r="BG25" s="306">
        <f t="shared" si="12"/>
        <v>0</v>
      </c>
      <c r="BH25" s="308">
        <f t="shared" si="13"/>
        <v>0</v>
      </c>
      <c r="BI25" s="122" t="s">
        <v>409</v>
      </c>
      <c r="BJ25" s="118"/>
      <c r="BK25" s="121"/>
      <c r="BL25" s="309">
        <f t="shared" si="14"/>
        <v>0</v>
      </c>
      <c r="BM25" s="310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296">
        <f t="shared" si="79"/>
        <v>0</v>
      </c>
      <c r="P26" s="135">
        <f t="shared" si="4"/>
        <v>0</v>
      </c>
      <c r="Q26" s="135">
        <f t="shared" ca="1" si="5"/>
        <v>0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0"/>
        <v/>
      </c>
      <c r="X26" s="113" t="str">
        <f t="shared" si="75"/>
        <v/>
      </c>
      <c r="Y26" s="242">
        <f>IFERROR(VLOOKUP($X26,HomeBroker!$A$22:$F$88,2,0),0)</f>
        <v>0</v>
      </c>
      <c r="Z26" s="242">
        <f>IFERROR(VLOOKUP($X26,HomeBroker!$A$22:$F$88,3,0),0)</f>
        <v>0</v>
      </c>
      <c r="AA26" s="243">
        <f>IFERROR(VLOOKUP($X26,HomeBroker!$A$22:$F$88,6,0),0)</f>
        <v>0</v>
      </c>
      <c r="AB26" s="242">
        <f>IFERROR(VLOOKUP($X26,HomeBroker!$A$22:$F$88,4,0),0)</f>
        <v>0</v>
      </c>
      <c r="AC26" s="242">
        <f>IFERROR(VLOOKUP($X26,HomeBroker!$A$22:$F$88,5,0),0)</f>
        <v>0</v>
      </c>
      <c r="AD26" s="305">
        <f>IFERROR(VLOOKUP($X26,HomeBroker!$A$22:$N$88,14,0),0)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IFERROR(VLOOKUP($AJ26,HomeBroker!$A$22:$F$88,2,0),0)</f>
        <v>0</v>
      </c>
      <c r="AL26" s="242">
        <f>IFERROR(VLOOKUP($AJ26,HomeBroker!$A$22:$F$88,3,0),0)</f>
        <v>0</v>
      </c>
      <c r="AM26" s="243">
        <f>IFERROR(VLOOKUP($AJ26,HomeBroker!$A$22:$F$88,6,0),0)</f>
        <v>0</v>
      </c>
      <c r="AN26" s="242">
        <f>IFERROR(VLOOKUP($AJ26,HomeBroker!$A$22:$F$88,4,0),0)</f>
        <v>0</v>
      </c>
      <c r="AO26" s="114">
        <f>IFERROR(VLOOKUP($AJ26,HomeBroker!$A$22:$F$88,5,0),0)</f>
        <v>0</v>
      </c>
      <c r="AP26" s="115">
        <f>IFERROR(VLOOKUP($AJ26,HomeBroker!$A$22:$N$88,14,0),0)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303">
        <f t="shared" si="10"/>
        <v>0</v>
      </c>
      <c r="BB26" s="304">
        <f t="shared" si="11"/>
        <v>0</v>
      </c>
      <c r="BC26" s="120" t="s">
        <v>408</v>
      </c>
      <c r="BD26" s="118"/>
      <c r="BE26" s="143"/>
      <c r="BF26" s="121"/>
      <c r="BG26" s="306">
        <f t="shared" si="12"/>
        <v>0</v>
      </c>
      <c r="BH26" s="308">
        <f t="shared" si="13"/>
        <v>0</v>
      </c>
      <c r="BI26" s="122" t="s">
        <v>409</v>
      </c>
      <c r="BJ26" s="118"/>
      <c r="BK26" s="121"/>
      <c r="BL26" s="309">
        <f t="shared" si="14"/>
        <v>0</v>
      </c>
      <c r="BM26" s="310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296">
        <f t="shared" si="79"/>
        <v>0</v>
      </c>
      <c r="P27" s="142">
        <f t="shared" si="4"/>
        <v>0</v>
      </c>
      <c r="Q27" s="142">
        <f t="shared" ca="1" si="5"/>
        <v>0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0"/>
        <v/>
      </c>
      <c r="X27" s="113" t="str">
        <f t="shared" si="75"/>
        <v/>
      </c>
      <c r="Y27" s="242">
        <f>IFERROR(VLOOKUP($X27,HomeBroker!$A$22:$F$88,2,0),0)</f>
        <v>0</v>
      </c>
      <c r="Z27" s="242">
        <f>IFERROR(VLOOKUP($X27,HomeBroker!$A$22:$F$88,3,0),0)</f>
        <v>0</v>
      </c>
      <c r="AA27" s="243">
        <f>IFERROR(VLOOKUP($X27,HomeBroker!$A$22:$F$88,6,0),0)</f>
        <v>0</v>
      </c>
      <c r="AB27" s="242">
        <f>IFERROR(VLOOKUP($X27,HomeBroker!$A$22:$F$88,4,0),0)</f>
        <v>0</v>
      </c>
      <c r="AC27" s="242">
        <f>IFERROR(VLOOKUP($X27,HomeBroker!$A$22:$F$88,5,0),0)</f>
        <v>0</v>
      </c>
      <c r="AD27" s="305">
        <f>IFERROR(VLOOKUP($X27,HomeBroker!$A$22:$N$88,14,0),0)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IFERROR(VLOOKUP($AJ27,HomeBroker!$A$22:$F$88,2,0),0)</f>
        <v>0</v>
      </c>
      <c r="AL27" s="242">
        <f>IFERROR(VLOOKUP($AJ27,HomeBroker!$A$22:$F$88,3,0),0)</f>
        <v>0</v>
      </c>
      <c r="AM27" s="243">
        <f>IFERROR(VLOOKUP($AJ27,HomeBroker!$A$22:$F$88,6,0),0)</f>
        <v>0</v>
      </c>
      <c r="AN27" s="242">
        <f>IFERROR(VLOOKUP($AJ27,HomeBroker!$A$22:$F$88,4,0),0)</f>
        <v>0</v>
      </c>
      <c r="AO27" s="114">
        <f>IFERROR(VLOOKUP($AJ27,HomeBroker!$A$22:$F$88,5,0),0)</f>
        <v>0</v>
      </c>
      <c r="AP27" s="115">
        <f>IFERROR(VLOOKUP($AJ27,HomeBroker!$A$22:$N$88,14,0),0)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303">
        <f t="shared" si="10"/>
        <v>0</v>
      </c>
      <c r="BB27" s="304">
        <f t="shared" si="11"/>
        <v>0</v>
      </c>
      <c r="BC27" s="120" t="s">
        <v>408</v>
      </c>
      <c r="BD27" s="118"/>
      <c r="BE27" s="143"/>
      <c r="BF27" s="121"/>
      <c r="BG27" s="306">
        <f t="shared" si="12"/>
        <v>0</v>
      </c>
      <c r="BH27" s="308">
        <f t="shared" si="13"/>
        <v>0</v>
      </c>
      <c r="BI27" s="122" t="s">
        <v>409</v>
      </c>
      <c r="BJ27" s="118"/>
      <c r="BK27" s="121"/>
      <c r="BL27" s="309">
        <f t="shared" si="14"/>
        <v>0</v>
      </c>
      <c r="BM27" s="310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96">
        <f t="shared" si="79"/>
        <v>0</v>
      </c>
      <c r="P28" s="135">
        <f t="shared" si="4"/>
        <v>0</v>
      </c>
      <c r="Q28" s="135">
        <f t="shared" ca="1" si="5"/>
        <v>0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0"/>
        <v/>
      </c>
      <c r="X28" s="113" t="str">
        <f t="shared" si="75"/>
        <v/>
      </c>
      <c r="Y28" s="242">
        <f>IFERROR(VLOOKUP($X28,HomeBroker!$A$22:$F$88,2,0),0)</f>
        <v>0</v>
      </c>
      <c r="Z28" s="242">
        <f>IFERROR(VLOOKUP($X28,HomeBroker!$A$22:$F$88,3,0),0)</f>
        <v>0</v>
      </c>
      <c r="AA28" s="243">
        <f>IFERROR(VLOOKUP($X28,HomeBroker!$A$22:$F$88,6,0),0)</f>
        <v>0</v>
      </c>
      <c r="AB28" s="242">
        <f>IFERROR(VLOOKUP($X28,HomeBroker!$A$22:$F$88,4,0),0)</f>
        <v>0</v>
      </c>
      <c r="AC28" s="242">
        <f>IFERROR(VLOOKUP($X28,HomeBroker!$A$22:$F$88,5,0),0)</f>
        <v>0</v>
      </c>
      <c r="AD28" s="305">
        <f>IFERROR(VLOOKUP($X28,HomeBroker!$A$22:$N$88,14,0),0)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IFERROR(VLOOKUP($AJ28,HomeBroker!$A$22:$F$88,2,0),0)</f>
        <v>0</v>
      </c>
      <c r="AL28" s="242">
        <f>IFERROR(VLOOKUP($AJ28,HomeBroker!$A$22:$F$88,3,0),0)</f>
        <v>0</v>
      </c>
      <c r="AM28" s="243">
        <f>IFERROR(VLOOKUP($AJ28,HomeBroker!$A$22:$F$88,6,0),0)</f>
        <v>0</v>
      </c>
      <c r="AN28" s="242">
        <f>IFERROR(VLOOKUP($AJ28,HomeBroker!$A$22:$F$88,4,0),0)</f>
        <v>0</v>
      </c>
      <c r="AO28" s="114">
        <f>IFERROR(VLOOKUP($AJ28,HomeBroker!$A$22:$F$88,5,0),0)</f>
        <v>0</v>
      </c>
      <c r="AP28" s="115">
        <f>IFERROR(VLOOKUP($AJ28,HomeBroker!$A$22:$N$88,14,0),0)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303">
        <f t="shared" si="10"/>
        <v>0</v>
      </c>
      <c r="BB28" s="304">
        <f t="shared" si="11"/>
        <v>0</v>
      </c>
      <c r="BC28" s="120" t="s">
        <v>408</v>
      </c>
      <c r="BD28" s="118"/>
      <c r="BE28" s="143"/>
      <c r="BF28" s="121"/>
      <c r="BG28" s="306">
        <f t="shared" si="12"/>
        <v>0</v>
      </c>
      <c r="BH28" s="308">
        <f t="shared" si="13"/>
        <v>0</v>
      </c>
      <c r="BI28" s="122" t="s">
        <v>409</v>
      </c>
      <c r="BJ28" s="118"/>
      <c r="BK28" s="121"/>
      <c r="BL28" s="309">
        <f t="shared" si="14"/>
        <v>0</v>
      </c>
      <c r="BM28" s="310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str">
        <f>IFERROR(+O29/$O$18-1,"")</f>
        <v/>
      </c>
      <c r="O29" s="299">
        <f t="shared" si="79"/>
        <v>0</v>
      </c>
      <c r="P29" s="135">
        <f t="shared" si="4"/>
        <v>0</v>
      </c>
      <c r="Q29" s="135">
        <f t="shared" ca="1" si="5"/>
        <v>0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0"/>
        <v/>
      </c>
      <c r="X29" s="113" t="str">
        <f t="shared" si="75"/>
        <v/>
      </c>
      <c r="Y29" s="242">
        <f>IFERROR(VLOOKUP($X29,HomeBroker!$A$22:$F$88,2,0),0)</f>
        <v>0</v>
      </c>
      <c r="Z29" s="242">
        <f>IFERROR(VLOOKUP($X29,HomeBroker!$A$22:$F$88,3,0),0)</f>
        <v>0</v>
      </c>
      <c r="AA29" s="243">
        <f>IFERROR(VLOOKUP($X29,HomeBroker!$A$22:$F$88,6,0),0)</f>
        <v>0</v>
      </c>
      <c r="AB29" s="242">
        <f>IFERROR(VLOOKUP($X29,HomeBroker!$A$22:$F$88,4,0),0)</f>
        <v>0</v>
      </c>
      <c r="AC29" s="242">
        <f>IFERROR(VLOOKUP($X29,HomeBroker!$A$22:$F$88,5,0),0)</f>
        <v>0</v>
      </c>
      <c r="AD29" s="305">
        <f>IFERROR(VLOOKUP($X29,HomeBroker!$A$22:$N$88,14,0),0)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IFERROR(VLOOKUP($AJ29,HomeBroker!$A$22:$F$88,2,0),0)</f>
        <v>0</v>
      </c>
      <c r="AL29" s="242">
        <f>IFERROR(VLOOKUP($AJ29,HomeBroker!$A$22:$F$88,3,0),0)</f>
        <v>0</v>
      </c>
      <c r="AM29" s="243">
        <f>IFERROR(VLOOKUP($AJ29,HomeBroker!$A$22:$F$88,6,0),0)</f>
        <v>0</v>
      </c>
      <c r="AN29" s="242">
        <f>IFERROR(VLOOKUP($AJ29,HomeBroker!$A$22:$F$88,4,0),0)</f>
        <v>0</v>
      </c>
      <c r="AO29" s="114">
        <f>IFERROR(VLOOKUP($AJ29,HomeBroker!$A$22:$F$88,5,0),0)</f>
        <v>0</v>
      </c>
      <c r="AP29" s="115">
        <f>IFERROR(VLOOKUP($AJ29,HomeBroker!$A$22:$N$88,14,0),0)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303">
        <f t="shared" si="10"/>
        <v>0</v>
      </c>
      <c r="BB29" s="304">
        <f t="shared" si="11"/>
        <v>0</v>
      </c>
      <c r="BC29" s="120" t="s">
        <v>408</v>
      </c>
      <c r="BD29" s="118"/>
      <c r="BE29" s="143"/>
      <c r="BF29" s="121"/>
      <c r="BG29" s="306">
        <f t="shared" si="12"/>
        <v>0</v>
      </c>
      <c r="BH29" s="308">
        <f t="shared" si="13"/>
        <v>0</v>
      </c>
      <c r="BI29" s="122" t="s">
        <v>409</v>
      </c>
      <c r="BJ29" s="118"/>
      <c r="BK29" s="121"/>
      <c r="BL29" s="309">
        <f t="shared" si="14"/>
        <v>0</v>
      </c>
      <c r="BM29" s="310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299">
        <f t="shared" si="79"/>
        <v>0</v>
      </c>
      <c r="P30" s="142">
        <f t="shared" si="4"/>
        <v>0</v>
      </c>
      <c r="Q30" s="142">
        <f t="shared" ca="1" si="5"/>
        <v>0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0"/>
        <v/>
      </c>
      <c r="X30" s="113" t="str">
        <f t="shared" si="75"/>
        <v/>
      </c>
      <c r="Y30" s="242">
        <f>IFERROR(VLOOKUP($X30,HomeBroker!$A$22:$F$88,2,0),0)</f>
        <v>0</v>
      </c>
      <c r="Z30" s="242">
        <f>IFERROR(VLOOKUP($X30,HomeBroker!$A$22:$F$88,3,0),0)</f>
        <v>0</v>
      </c>
      <c r="AA30" s="243">
        <f>IFERROR(VLOOKUP($X30,HomeBroker!$A$22:$F$88,6,0),0)</f>
        <v>0</v>
      </c>
      <c r="AB30" s="242">
        <f>IFERROR(VLOOKUP($X30,HomeBroker!$A$22:$F$88,4,0),0)</f>
        <v>0</v>
      </c>
      <c r="AC30" s="242">
        <f>IFERROR(VLOOKUP($X30,HomeBroker!$A$22:$F$88,5,0),0)</f>
        <v>0</v>
      </c>
      <c r="AD30" s="305">
        <f>IFERROR(VLOOKUP($X30,HomeBroker!$A$22:$N$88,14,0),0)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IFERROR(VLOOKUP($AJ30,HomeBroker!$A$22:$F$88,2,0),0)</f>
        <v>0</v>
      </c>
      <c r="AL30" s="242">
        <f>IFERROR(VLOOKUP($AJ30,HomeBroker!$A$22:$F$88,3,0),0)</f>
        <v>0</v>
      </c>
      <c r="AM30" s="243">
        <f>IFERROR(VLOOKUP($AJ30,HomeBroker!$A$22:$F$88,6,0),0)</f>
        <v>0</v>
      </c>
      <c r="AN30" s="242">
        <f>IFERROR(VLOOKUP($AJ30,HomeBroker!$A$22:$F$88,4,0),0)</f>
        <v>0</v>
      </c>
      <c r="AO30" s="114">
        <f>IFERROR(VLOOKUP($AJ30,HomeBroker!$A$22:$F$88,5,0),0)</f>
        <v>0</v>
      </c>
      <c r="AP30" s="115">
        <f>IFERROR(VLOOKUP($AJ30,HomeBroker!$A$22:$N$88,14,0),0)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303">
        <f t="shared" si="10"/>
        <v>0</v>
      </c>
      <c r="BB30" s="304">
        <f t="shared" si="11"/>
        <v>0</v>
      </c>
      <c r="BC30" s="120" t="s">
        <v>408</v>
      </c>
      <c r="BD30" s="118"/>
      <c r="BE30" s="143"/>
      <c r="BF30" s="121"/>
      <c r="BG30" s="306">
        <f t="shared" si="12"/>
        <v>0</v>
      </c>
      <c r="BH30" s="308">
        <f t="shared" si="13"/>
        <v>0</v>
      </c>
      <c r="BI30" s="122" t="s">
        <v>409</v>
      </c>
      <c r="BJ30" s="118"/>
      <c r="BK30" s="121"/>
      <c r="BL30" s="309">
        <f t="shared" si="14"/>
        <v>0</v>
      </c>
      <c r="BM30" s="310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99">
        <f t="shared" si="79"/>
        <v>0</v>
      </c>
      <c r="P31" s="135">
        <f t="shared" si="4"/>
        <v>0</v>
      </c>
      <c r="Q31" s="135">
        <f t="shared" ca="1" si="5"/>
        <v>0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0"/>
        <v/>
      </c>
      <c r="X31" s="113" t="str">
        <f t="shared" si="75"/>
        <v/>
      </c>
      <c r="Y31" s="242">
        <f>IFERROR(VLOOKUP($X31,HomeBroker!$A$22:$F$88,2,0),0)</f>
        <v>0</v>
      </c>
      <c r="Z31" s="242">
        <f>IFERROR(VLOOKUP($X31,HomeBroker!$A$22:$F$88,3,0),0)</f>
        <v>0</v>
      </c>
      <c r="AA31" s="243">
        <f>IFERROR(VLOOKUP($X31,HomeBroker!$A$22:$F$88,6,0),0)</f>
        <v>0</v>
      </c>
      <c r="AB31" s="242">
        <f>IFERROR(VLOOKUP($X31,HomeBroker!$A$22:$F$88,4,0),0)</f>
        <v>0</v>
      </c>
      <c r="AC31" s="242">
        <f>IFERROR(VLOOKUP($X31,HomeBroker!$A$22:$F$88,5,0),0)</f>
        <v>0</v>
      </c>
      <c r="AD31" s="305">
        <f>IFERROR(VLOOKUP($X31,HomeBroker!$A$22:$N$88,14,0),0)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IFERROR(VLOOKUP($AJ31,HomeBroker!$A$22:$F$88,2,0),0)</f>
        <v>0</v>
      </c>
      <c r="AL31" s="242">
        <f>IFERROR(VLOOKUP($AJ31,HomeBroker!$A$22:$F$88,3,0),0)</f>
        <v>0</v>
      </c>
      <c r="AM31" s="243">
        <f>IFERROR(VLOOKUP($AJ31,HomeBroker!$A$22:$F$88,6,0),0)</f>
        <v>0</v>
      </c>
      <c r="AN31" s="242">
        <f>IFERROR(VLOOKUP($AJ31,HomeBroker!$A$22:$F$88,4,0),0)</f>
        <v>0</v>
      </c>
      <c r="AO31" s="114">
        <f>IFERROR(VLOOKUP($AJ31,HomeBroker!$A$22:$F$88,5,0),0)</f>
        <v>0</v>
      </c>
      <c r="AP31" s="115">
        <f>IFERROR(VLOOKUP($AJ31,HomeBroker!$A$22:$N$88,14,0),0)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303">
        <f t="shared" si="10"/>
        <v>0</v>
      </c>
      <c r="BB31" s="304">
        <f t="shared" si="11"/>
        <v>0</v>
      </c>
      <c r="BC31" s="120" t="s">
        <v>408</v>
      </c>
      <c r="BD31" s="118"/>
      <c r="BE31" s="143"/>
      <c r="BF31" s="121"/>
      <c r="BG31" s="306">
        <f t="shared" si="12"/>
        <v>0</v>
      </c>
      <c r="BH31" s="308">
        <f t="shared" si="13"/>
        <v>0</v>
      </c>
      <c r="BI31" s="122" t="s">
        <v>409</v>
      </c>
      <c r="BJ31" s="118"/>
      <c r="BK31" s="121"/>
      <c r="BL31" s="309">
        <f t="shared" si="14"/>
        <v>0</v>
      </c>
      <c r="BM31" s="310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299">
        <f t="shared" si="79"/>
        <v>0</v>
      </c>
      <c r="P32" s="135">
        <f t="shared" si="4"/>
        <v>0</v>
      </c>
      <c r="Q32" s="135">
        <f t="shared" ca="1" si="5"/>
        <v>0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0"/>
        <v/>
      </c>
      <c r="X32" s="113" t="str">
        <f t="shared" si="75"/>
        <v/>
      </c>
      <c r="Y32" s="242">
        <f>IFERROR(VLOOKUP($X32,HomeBroker!$A$22:$F$88,2,0),0)</f>
        <v>0</v>
      </c>
      <c r="Z32" s="242">
        <f>IFERROR(VLOOKUP($X32,HomeBroker!$A$22:$F$88,3,0),0)</f>
        <v>0</v>
      </c>
      <c r="AA32" s="243">
        <f>IFERROR(VLOOKUP($X32,HomeBroker!$A$22:$F$88,6,0),0)</f>
        <v>0</v>
      </c>
      <c r="AB32" s="242">
        <f>IFERROR(VLOOKUP($X32,HomeBroker!$A$22:$F$88,4,0),0)</f>
        <v>0</v>
      </c>
      <c r="AC32" s="242">
        <f>IFERROR(VLOOKUP($X32,HomeBroker!$A$22:$F$88,5,0),0)</f>
        <v>0</v>
      </c>
      <c r="AD32" s="305">
        <f>IFERROR(VLOOKUP($X32,HomeBroker!$A$22:$N$88,14,0),0)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IFERROR(VLOOKUP($AJ32,HomeBroker!$A$22:$F$88,2,0),0)</f>
        <v>0</v>
      </c>
      <c r="AL32" s="242">
        <f>IFERROR(VLOOKUP($AJ32,HomeBroker!$A$22:$F$88,3,0),0)</f>
        <v>0</v>
      </c>
      <c r="AM32" s="243">
        <f>IFERROR(VLOOKUP($AJ32,HomeBroker!$A$22:$F$88,6,0),0)</f>
        <v>0</v>
      </c>
      <c r="AN32" s="242">
        <f>IFERROR(VLOOKUP($AJ32,HomeBroker!$A$22:$F$88,4,0),0)</f>
        <v>0</v>
      </c>
      <c r="AO32" s="114">
        <f>IFERROR(VLOOKUP($AJ32,HomeBroker!$A$22:$F$88,5,0),0)</f>
        <v>0</v>
      </c>
      <c r="AP32" s="115">
        <f>IFERROR(VLOOKUP($AJ32,HomeBroker!$A$22:$N$88,14,0),0)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303">
        <f t="shared" si="10"/>
        <v>0</v>
      </c>
      <c r="BB32" s="304">
        <f t="shared" si="11"/>
        <v>0</v>
      </c>
      <c r="BC32" s="120" t="s">
        <v>408</v>
      </c>
      <c r="BD32" s="118"/>
      <c r="BE32" s="143"/>
      <c r="BF32" s="121"/>
      <c r="BG32" s="306">
        <f t="shared" si="12"/>
        <v>0</v>
      </c>
      <c r="BH32" s="308">
        <f t="shared" si="13"/>
        <v>0</v>
      </c>
      <c r="BI32" s="122" t="s">
        <v>409</v>
      </c>
      <c r="BJ32" s="118"/>
      <c r="BK32" s="121"/>
      <c r="BL32" s="309">
        <f t="shared" si="14"/>
        <v>0</v>
      </c>
      <c r="BM32" s="310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299">
        <f t="shared" si="79"/>
        <v>0</v>
      </c>
      <c r="P33" s="142">
        <f t="shared" si="4"/>
        <v>0</v>
      </c>
      <c r="Q33" s="142">
        <f t="shared" ca="1" si="5"/>
        <v>0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0"/>
        <v/>
      </c>
      <c r="X33" s="113" t="str">
        <f t="shared" si="75"/>
        <v/>
      </c>
      <c r="Y33" s="242">
        <f>IFERROR(VLOOKUP($X33,HomeBroker!$A$22:$F$88,2,0),0)</f>
        <v>0</v>
      </c>
      <c r="Z33" s="242">
        <f>IFERROR(VLOOKUP($X33,HomeBroker!$A$22:$F$88,3,0),0)</f>
        <v>0</v>
      </c>
      <c r="AA33" s="243">
        <f>IFERROR(VLOOKUP($X33,HomeBroker!$A$22:$F$88,6,0),0)</f>
        <v>0</v>
      </c>
      <c r="AB33" s="242">
        <f>IFERROR(VLOOKUP($X33,HomeBroker!$A$22:$F$88,4,0),0)</f>
        <v>0</v>
      </c>
      <c r="AC33" s="242">
        <f>IFERROR(VLOOKUP($X33,HomeBroker!$A$22:$F$88,5,0),0)</f>
        <v>0</v>
      </c>
      <c r="AD33" s="305">
        <f>IFERROR(VLOOKUP($X33,HomeBroker!$A$22:$N$88,14,0),0)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IFERROR(VLOOKUP($AJ33,HomeBroker!$A$22:$F$88,2,0),0)</f>
        <v>0</v>
      </c>
      <c r="AL33" s="242">
        <f>IFERROR(VLOOKUP($AJ33,HomeBroker!$A$22:$F$88,3,0),0)</f>
        <v>0</v>
      </c>
      <c r="AM33" s="243">
        <f>IFERROR(VLOOKUP($AJ33,HomeBroker!$A$22:$F$88,6,0),0)</f>
        <v>0</v>
      </c>
      <c r="AN33" s="242">
        <f>IFERROR(VLOOKUP($AJ33,HomeBroker!$A$22:$F$88,4,0),0)</f>
        <v>0</v>
      </c>
      <c r="AO33" s="114">
        <f>IFERROR(VLOOKUP($AJ33,HomeBroker!$A$22:$F$88,5,0),0)</f>
        <v>0</v>
      </c>
      <c r="AP33" s="115">
        <f>IFERROR(VLOOKUP($AJ33,HomeBroker!$A$22:$N$88,14,0),0)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303">
        <f t="shared" si="10"/>
        <v>0</v>
      </c>
      <c r="BB33" s="304">
        <f t="shared" si="11"/>
        <v>0</v>
      </c>
      <c r="BC33" s="120" t="s">
        <v>408</v>
      </c>
      <c r="BD33" s="118"/>
      <c r="BE33" s="143"/>
      <c r="BF33" s="121"/>
      <c r="BG33" s="306">
        <f t="shared" si="12"/>
        <v>0</v>
      </c>
      <c r="BH33" s="308">
        <f t="shared" si="13"/>
        <v>0</v>
      </c>
      <c r="BI33" s="122" t="s">
        <v>409</v>
      </c>
      <c r="BJ33" s="118"/>
      <c r="BK33" s="121"/>
      <c r="BL33" s="309">
        <f t="shared" si="14"/>
        <v>0</v>
      </c>
      <c r="BM33" s="310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300">
        <f t="shared" si="79"/>
        <v>0</v>
      </c>
      <c r="P34" s="154">
        <f t="shared" si="4"/>
        <v>0</v>
      </c>
      <c r="Q34" s="154">
        <f t="shared" ca="1" si="5"/>
        <v>0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0"/>
        <v/>
      </c>
      <c r="X34" s="113" t="str">
        <f t="shared" si="75"/>
        <v/>
      </c>
      <c r="Y34" s="242">
        <f>IFERROR(VLOOKUP($X34,HomeBroker!$A$22:$F$88,2,0),0)</f>
        <v>0</v>
      </c>
      <c r="Z34" s="242">
        <f>IFERROR(VLOOKUP($X34,HomeBroker!$A$22:$F$88,3,0),0)</f>
        <v>0</v>
      </c>
      <c r="AA34" s="243">
        <f>IFERROR(VLOOKUP($X34,HomeBroker!$A$22:$F$88,6,0),0)</f>
        <v>0</v>
      </c>
      <c r="AB34" s="242">
        <f>IFERROR(VLOOKUP($X34,HomeBroker!$A$22:$F$88,4,0),0)</f>
        <v>0</v>
      </c>
      <c r="AC34" s="242">
        <f>IFERROR(VLOOKUP($X34,HomeBroker!$A$22:$F$88,5,0),0)</f>
        <v>0</v>
      </c>
      <c r="AD34" s="305">
        <f>IFERROR(VLOOKUP($X34,HomeBroker!$A$22:$N$88,14,0),0)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IFERROR(VLOOKUP($AJ34,HomeBroker!$A$22:$F$88,2,0),0)</f>
        <v>0</v>
      </c>
      <c r="AL34" s="242">
        <f>IFERROR(VLOOKUP($AJ34,HomeBroker!$A$22:$F$88,3,0),0)</f>
        <v>0</v>
      </c>
      <c r="AM34" s="243">
        <f>IFERROR(VLOOKUP($AJ34,HomeBroker!$A$22:$F$88,6,0),0)</f>
        <v>0</v>
      </c>
      <c r="AN34" s="242">
        <f>IFERROR(VLOOKUP($AJ34,HomeBroker!$A$22:$F$88,4,0),0)</f>
        <v>0</v>
      </c>
      <c r="AO34" s="114">
        <f>IFERROR(VLOOKUP($AJ34,HomeBroker!$A$22:$F$88,5,0),0)</f>
        <v>0</v>
      </c>
      <c r="AP34" s="115">
        <f>IFERROR(VLOOKUP($AJ34,HomeBroker!$A$22:$N$88,14,0),0)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303">
        <f t="shared" si="10"/>
        <v>0</v>
      </c>
      <c r="BB34" s="304">
        <f t="shared" si="11"/>
        <v>0</v>
      </c>
      <c r="BC34" s="120" t="s">
        <v>408</v>
      </c>
      <c r="BD34" s="118"/>
      <c r="BE34" s="143"/>
      <c r="BF34" s="121"/>
      <c r="BG34" s="306">
        <f t="shared" si="12"/>
        <v>0</v>
      </c>
      <c r="BH34" s="308">
        <f t="shared" si="13"/>
        <v>0</v>
      </c>
      <c r="BI34" s="122" t="s">
        <v>409</v>
      </c>
      <c r="BJ34" s="118"/>
      <c r="BK34" s="121"/>
      <c r="BL34" s="309">
        <f t="shared" si="14"/>
        <v>0</v>
      </c>
      <c r="BM34" s="310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0"/>
        <v/>
      </c>
      <c r="X35" s="113" t="str">
        <f t="shared" si="75"/>
        <v/>
      </c>
      <c r="Y35" s="242">
        <f>IFERROR(VLOOKUP($X35,HomeBroker!$A$22:$F$88,2,0),0)</f>
        <v>0</v>
      </c>
      <c r="Z35" s="242">
        <f>IFERROR(VLOOKUP($X35,HomeBroker!$A$22:$F$88,3,0),0)</f>
        <v>0</v>
      </c>
      <c r="AA35" s="243">
        <f>IFERROR(VLOOKUP($X35,HomeBroker!$A$22:$F$88,6,0),0)</f>
        <v>0</v>
      </c>
      <c r="AB35" s="242">
        <f>IFERROR(VLOOKUP($X35,HomeBroker!$A$22:$F$88,4,0),0)</f>
        <v>0</v>
      </c>
      <c r="AC35" s="242">
        <f>IFERROR(VLOOKUP($X35,HomeBroker!$A$22:$F$88,5,0),0)</f>
        <v>0</v>
      </c>
      <c r="AD35" s="305">
        <f>IFERROR(VLOOKUP($X35,HomeBroker!$A$22:$N$88,14,0),0)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IFERROR(VLOOKUP($AJ35,HomeBroker!$A$22:$F$88,2,0),0)</f>
        <v>0</v>
      </c>
      <c r="AL35" s="242">
        <f>IFERROR(VLOOKUP($AJ35,HomeBroker!$A$22:$F$88,3,0),0)</f>
        <v>0</v>
      </c>
      <c r="AM35" s="243">
        <f>IFERROR(VLOOKUP($AJ35,HomeBroker!$A$22:$F$88,6,0),0)</f>
        <v>0</v>
      </c>
      <c r="AN35" s="242">
        <f>IFERROR(VLOOKUP($AJ35,HomeBroker!$A$22:$F$88,4,0),0)</f>
        <v>0</v>
      </c>
      <c r="AO35" s="114">
        <f>IFERROR(VLOOKUP($AJ35,HomeBroker!$A$22:$F$88,5,0),0)</f>
        <v>0</v>
      </c>
      <c r="AP35" s="115">
        <f>IFERROR(VLOOKUP($AJ35,HomeBroker!$A$22:$N$88,14,0),0)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303">
        <f t="shared" si="10"/>
        <v>0</v>
      </c>
      <c r="BB35" s="304">
        <f t="shared" si="11"/>
        <v>0</v>
      </c>
      <c r="BC35" s="120" t="s">
        <v>408</v>
      </c>
      <c r="BD35" s="118"/>
      <c r="BE35" s="143"/>
      <c r="BF35" s="121"/>
      <c r="BG35" s="306">
        <f t="shared" si="12"/>
        <v>0</v>
      </c>
      <c r="BH35" s="308">
        <f t="shared" si="13"/>
        <v>0</v>
      </c>
      <c r="BI35" s="122" t="s">
        <v>409</v>
      </c>
      <c r="BJ35" s="118"/>
      <c r="BK35" s="121"/>
      <c r="BL35" s="309">
        <f t="shared" si="14"/>
        <v>0</v>
      </c>
      <c r="BM35" s="310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827" t="s">
        <v>450</v>
      </c>
      <c r="O36" s="804"/>
      <c r="P36" s="805"/>
      <c r="Q36" s="165">
        <f>SUM(BB:BB)+SUM(BH:BH)+SUM(BM:BM)+$F$76</f>
        <v>0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0"/>
        <v/>
      </c>
      <c r="X36" s="113" t="str">
        <f t="shared" si="75"/>
        <v/>
      </c>
      <c r="Y36" s="242">
        <f>IFERROR(VLOOKUP($X36,HomeBroker!$A$22:$F$88,2,0),0)</f>
        <v>0</v>
      </c>
      <c r="Z36" s="242">
        <f>IFERROR(VLOOKUP($X36,HomeBroker!$A$22:$F$88,3,0),0)</f>
        <v>0</v>
      </c>
      <c r="AA36" s="243">
        <f>IFERROR(VLOOKUP($X36,HomeBroker!$A$22:$F$88,6,0),0)</f>
        <v>0</v>
      </c>
      <c r="AB36" s="242">
        <f>IFERROR(VLOOKUP($X36,HomeBroker!$A$22:$F$88,4,0),0)</f>
        <v>0</v>
      </c>
      <c r="AC36" s="242">
        <f>IFERROR(VLOOKUP($X36,HomeBroker!$A$22:$F$88,5,0),0)</f>
        <v>0</v>
      </c>
      <c r="AD36" s="305">
        <f>IFERROR(VLOOKUP($X36,HomeBroker!$A$22:$N$88,14,0),0)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IFERROR(VLOOKUP($AJ36,HomeBroker!$A$22:$F$88,2,0),0)</f>
        <v>0</v>
      </c>
      <c r="AL36" s="242">
        <f>IFERROR(VLOOKUP($AJ36,HomeBroker!$A$22:$F$88,3,0),0)</f>
        <v>0</v>
      </c>
      <c r="AM36" s="243">
        <f>IFERROR(VLOOKUP($AJ36,HomeBroker!$A$22:$F$88,6,0),0)</f>
        <v>0</v>
      </c>
      <c r="AN36" s="242">
        <f>IFERROR(VLOOKUP($AJ36,HomeBroker!$A$22:$F$88,4,0),0)</f>
        <v>0</v>
      </c>
      <c r="AO36" s="114">
        <f>IFERROR(VLOOKUP($AJ36,HomeBroker!$A$22:$F$88,5,0),0)</f>
        <v>0</v>
      </c>
      <c r="AP36" s="115">
        <f>IFERROR(VLOOKUP($AJ36,HomeBroker!$A$22:$N$88,14,0),0)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303">
        <f t="shared" si="10"/>
        <v>0</v>
      </c>
      <c r="BB36" s="304">
        <f t="shared" si="11"/>
        <v>0</v>
      </c>
      <c r="BC36" s="120" t="s">
        <v>408</v>
      </c>
      <c r="BD36" s="118"/>
      <c r="BE36" s="143"/>
      <c r="BF36" s="121"/>
      <c r="BG36" s="306">
        <f t="shared" si="12"/>
        <v>0</v>
      </c>
      <c r="BH36" s="308">
        <f t="shared" si="13"/>
        <v>0</v>
      </c>
      <c r="BI36" s="122" t="s">
        <v>409</v>
      </c>
      <c r="BJ36" s="118"/>
      <c r="BK36" s="121"/>
      <c r="BL36" s="309">
        <f t="shared" si="14"/>
        <v>0</v>
      </c>
      <c r="BM36" s="310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827" t="s">
        <v>451</v>
      </c>
      <c r="O37" s="804"/>
      <c r="P37" s="805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0"/>
        <v/>
      </c>
      <c r="X37" s="113" t="str">
        <f t="shared" si="75"/>
        <v/>
      </c>
      <c r="Y37" s="242">
        <f>IFERROR(VLOOKUP($X37,HomeBroker!$A$22:$F$88,2,0),0)</f>
        <v>0</v>
      </c>
      <c r="Z37" s="242">
        <f>IFERROR(VLOOKUP($X37,HomeBroker!$A$22:$F$88,3,0),0)</f>
        <v>0</v>
      </c>
      <c r="AA37" s="243">
        <f>IFERROR(VLOOKUP($X37,HomeBroker!$A$22:$F$88,6,0),0)</f>
        <v>0</v>
      </c>
      <c r="AB37" s="242">
        <f>IFERROR(VLOOKUP($X37,HomeBroker!$A$22:$F$88,4,0),0)</f>
        <v>0</v>
      </c>
      <c r="AC37" s="242">
        <f>IFERROR(VLOOKUP($X37,HomeBroker!$A$22:$F$88,5,0),0)</f>
        <v>0</v>
      </c>
      <c r="AD37" s="305">
        <f>IFERROR(VLOOKUP($X37,HomeBroker!$A$22:$N$88,14,0),0)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IFERROR(VLOOKUP($AJ37,HomeBroker!$A$22:$F$88,2,0),0)</f>
        <v>0</v>
      </c>
      <c r="AL37" s="242">
        <f>IFERROR(VLOOKUP($AJ37,HomeBroker!$A$22:$F$88,3,0),0)</f>
        <v>0</v>
      </c>
      <c r="AM37" s="243">
        <f>IFERROR(VLOOKUP($AJ37,HomeBroker!$A$22:$F$88,6,0),0)</f>
        <v>0</v>
      </c>
      <c r="AN37" s="242">
        <f>IFERROR(VLOOKUP($AJ37,HomeBroker!$A$22:$F$88,4,0),0)</f>
        <v>0</v>
      </c>
      <c r="AO37" s="114">
        <f>IFERROR(VLOOKUP($AJ37,HomeBroker!$A$22:$F$88,5,0),0)</f>
        <v>0</v>
      </c>
      <c r="AP37" s="115">
        <f>IFERROR(VLOOKUP($AJ37,HomeBroker!$A$22:$N$88,14,0),0)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303">
        <f t="shared" si="10"/>
        <v>0</v>
      </c>
      <c r="BB37" s="304">
        <f t="shared" si="11"/>
        <v>0</v>
      </c>
      <c r="BC37" s="120" t="s">
        <v>408</v>
      </c>
      <c r="BD37" s="118"/>
      <c r="BE37" s="143"/>
      <c r="BF37" s="121"/>
      <c r="BG37" s="306">
        <f t="shared" si="12"/>
        <v>0</v>
      </c>
      <c r="BH37" s="308">
        <f t="shared" si="13"/>
        <v>0</v>
      </c>
      <c r="BI37" s="122" t="s">
        <v>409</v>
      </c>
      <c r="BJ37" s="118"/>
      <c r="BK37" s="121"/>
      <c r="BL37" s="309">
        <f t="shared" si="14"/>
        <v>0</v>
      </c>
      <c r="BM37" s="310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828" t="s">
        <v>452</v>
      </c>
      <c r="O38" s="804"/>
      <c r="P38" s="805"/>
      <c r="Q38" s="174">
        <f>SUM(T3:T42)</f>
        <v>0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0"/>
        <v/>
      </c>
      <c r="X38" s="113" t="str">
        <f t="shared" si="75"/>
        <v/>
      </c>
      <c r="Y38" s="242">
        <f>IFERROR(VLOOKUP($X38,HomeBroker!$A$22:$F$88,2,0),0)</f>
        <v>0</v>
      </c>
      <c r="Z38" s="242">
        <f>IFERROR(VLOOKUP($X38,HomeBroker!$A$22:$F$88,3,0),0)</f>
        <v>0</v>
      </c>
      <c r="AA38" s="243">
        <f>IFERROR(VLOOKUP($X38,HomeBroker!$A$22:$F$88,6,0),0)</f>
        <v>0</v>
      </c>
      <c r="AB38" s="242">
        <f>IFERROR(VLOOKUP($X38,HomeBroker!$A$22:$F$88,4,0),0)</f>
        <v>0</v>
      </c>
      <c r="AC38" s="242">
        <f>IFERROR(VLOOKUP($X38,HomeBroker!$A$22:$F$88,5,0),0)</f>
        <v>0</v>
      </c>
      <c r="AD38" s="305">
        <f>IFERROR(VLOOKUP($X38,HomeBroker!$A$22:$N$88,14,0),0)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IFERROR(VLOOKUP($AJ38,HomeBroker!$A$22:$F$88,2,0),0)</f>
        <v>0</v>
      </c>
      <c r="AL38" s="242">
        <f>IFERROR(VLOOKUP($AJ38,HomeBroker!$A$22:$F$88,3,0),0)</f>
        <v>0</v>
      </c>
      <c r="AM38" s="243">
        <f>IFERROR(VLOOKUP($AJ38,HomeBroker!$A$22:$F$88,6,0),0)</f>
        <v>0</v>
      </c>
      <c r="AN38" s="242">
        <f>IFERROR(VLOOKUP($AJ38,HomeBroker!$A$22:$F$88,4,0),0)</f>
        <v>0</v>
      </c>
      <c r="AO38" s="114">
        <f>IFERROR(VLOOKUP($AJ38,HomeBroker!$A$22:$F$88,5,0),0)</f>
        <v>0</v>
      </c>
      <c r="AP38" s="115">
        <f>IFERROR(VLOOKUP($AJ38,HomeBroker!$A$22:$N$88,14,0),0)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303">
        <f t="shared" si="10"/>
        <v>0</v>
      </c>
      <c r="BB38" s="304">
        <f t="shared" si="11"/>
        <v>0</v>
      </c>
      <c r="BC38" s="177" t="s">
        <v>408</v>
      </c>
      <c r="BD38" s="118"/>
      <c r="BE38" s="143"/>
      <c r="BF38" s="121"/>
      <c r="BG38" s="306">
        <f t="shared" si="12"/>
        <v>0</v>
      </c>
      <c r="BH38" s="308">
        <f t="shared" si="13"/>
        <v>0</v>
      </c>
      <c r="BI38" s="178" t="s">
        <v>409</v>
      </c>
      <c r="BJ38" s="118"/>
      <c r="BK38" s="121"/>
      <c r="BL38" s="309">
        <f t="shared" si="14"/>
        <v>0</v>
      </c>
      <c r="BM38" s="310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829" t="s">
        <v>453</v>
      </c>
      <c r="O39" s="804"/>
      <c r="P39" s="805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0"/>
        <v/>
      </c>
      <c r="X39" s="113" t="str">
        <f t="shared" si="75"/>
        <v/>
      </c>
      <c r="Y39" s="242">
        <f>IFERROR(VLOOKUP($X39,HomeBroker!$A$22:$F$88,2,0),0)</f>
        <v>0</v>
      </c>
      <c r="Z39" s="242">
        <f>IFERROR(VLOOKUP($X39,HomeBroker!$A$22:$F$88,3,0),0)</f>
        <v>0</v>
      </c>
      <c r="AA39" s="243">
        <f>IFERROR(VLOOKUP($X39,HomeBroker!$A$22:$F$88,6,0),0)</f>
        <v>0</v>
      </c>
      <c r="AB39" s="242">
        <f>IFERROR(VLOOKUP($X39,HomeBroker!$A$22:$F$88,4,0),0)</f>
        <v>0</v>
      </c>
      <c r="AC39" s="242">
        <f>IFERROR(VLOOKUP($X39,HomeBroker!$A$22:$F$88,5,0),0)</f>
        <v>0</v>
      </c>
      <c r="AD39" s="305">
        <f>IFERROR(VLOOKUP($X39,HomeBroker!$A$22:$N$88,14,0),0)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IFERROR(VLOOKUP($AJ39,HomeBroker!$A$22:$F$88,2,0),0)</f>
        <v>0</v>
      </c>
      <c r="AL39" s="242">
        <f>IFERROR(VLOOKUP($AJ39,HomeBroker!$A$22:$F$88,3,0),0)</f>
        <v>0</v>
      </c>
      <c r="AM39" s="243">
        <f>IFERROR(VLOOKUP($AJ39,HomeBroker!$A$22:$F$88,6,0),0)</f>
        <v>0</v>
      </c>
      <c r="AN39" s="242">
        <f>IFERROR(VLOOKUP($AJ39,HomeBroker!$A$22:$F$88,4,0),0)</f>
        <v>0</v>
      </c>
      <c r="AO39" s="114">
        <f>IFERROR(VLOOKUP($AJ39,HomeBroker!$A$22:$F$88,5,0),0)</f>
        <v>0</v>
      </c>
      <c r="AP39" s="115">
        <f>IFERROR(VLOOKUP($AJ39,HomeBroker!$A$22:$N$88,14,0),0)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303">
        <f t="shared" si="10"/>
        <v>0</v>
      </c>
      <c r="BB39" s="304">
        <f t="shared" si="11"/>
        <v>0</v>
      </c>
      <c r="BC39" s="177" t="s">
        <v>408</v>
      </c>
      <c r="BD39" s="118"/>
      <c r="BE39" s="143"/>
      <c r="BF39" s="121"/>
      <c r="BG39" s="306">
        <f t="shared" si="12"/>
        <v>0</v>
      </c>
      <c r="BH39" s="308">
        <f t="shared" si="13"/>
        <v>0</v>
      </c>
      <c r="BI39" s="178" t="s">
        <v>409</v>
      </c>
      <c r="BJ39" s="118"/>
      <c r="BK39" s="121"/>
      <c r="BL39" s="309">
        <f t="shared" si="14"/>
        <v>0</v>
      </c>
      <c r="BM39" s="310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824" t="s">
        <v>0</v>
      </c>
      <c r="O40" s="804"/>
      <c r="P40" s="805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0"/>
        <v/>
      </c>
      <c r="X40" s="113" t="str">
        <f t="shared" si="75"/>
        <v/>
      </c>
      <c r="Y40" s="242">
        <f>IFERROR(VLOOKUP($X40,HomeBroker!$A$22:$F$88,2,0),0)</f>
        <v>0</v>
      </c>
      <c r="Z40" s="242">
        <f>IFERROR(VLOOKUP($X40,HomeBroker!$A$22:$F$88,3,0),0)</f>
        <v>0</v>
      </c>
      <c r="AA40" s="243">
        <f>IFERROR(VLOOKUP($X40,HomeBroker!$A$22:$F$88,6,0),0)</f>
        <v>0</v>
      </c>
      <c r="AB40" s="242">
        <f>IFERROR(VLOOKUP($X40,HomeBroker!$A$22:$F$88,4,0),0)</f>
        <v>0</v>
      </c>
      <c r="AC40" s="242">
        <f>IFERROR(VLOOKUP($X40,HomeBroker!$A$22:$F$88,5,0),0)</f>
        <v>0</v>
      </c>
      <c r="AD40" s="305">
        <f>IFERROR(VLOOKUP($X40,HomeBroker!$A$22:$N$88,14,0),0)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IFERROR(VLOOKUP($AJ40,HomeBroker!$A$22:$F$88,2,0),0)</f>
        <v>0</v>
      </c>
      <c r="AL40" s="242">
        <f>IFERROR(VLOOKUP($AJ40,HomeBroker!$A$22:$F$88,3,0),0)</f>
        <v>0</v>
      </c>
      <c r="AM40" s="243">
        <f>IFERROR(VLOOKUP($AJ40,HomeBroker!$A$22:$F$88,6,0),0)</f>
        <v>0</v>
      </c>
      <c r="AN40" s="242">
        <f>IFERROR(VLOOKUP($AJ40,HomeBroker!$A$22:$F$88,4,0),0)</f>
        <v>0</v>
      </c>
      <c r="AO40" s="114">
        <f>IFERROR(VLOOKUP($AJ40,HomeBroker!$A$22:$F$88,5,0),0)</f>
        <v>0</v>
      </c>
      <c r="AP40" s="115">
        <f>IFERROR(VLOOKUP($AJ40,HomeBroker!$A$22:$N$88,14,0),0)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303">
        <f t="shared" si="10"/>
        <v>0</v>
      </c>
      <c r="BB40" s="304">
        <f t="shared" si="11"/>
        <v>0</v>
      </c>
      <c r="BC40" s="177" t="s">
        <v>408</v>
      </c>
      <c r="BD40" s="118"/>
      <c r="BE40" s="143"/>
      <c r="BF40" s="121"/>
      <c r="BG40" s="306">
        <f t="shared" si="12"/>
        <v>0</v>
      </c>
      <c r="BH40" s="308">
        <f t="shared" si="13"/>
        <v>0</v>
      </c>
      <c r="BI40" s="178" t="s">
        <v>409</v>
      </c>
      <c r="BJ40" s="118"/>
      <c r="BK40" s="121"/>
      <c r="BL40" s="309">
        <f t="shared" si="14"/>
        <v>0</v>
      </c>
      <c r="BM40" s="310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0"/>
        <v/>
      </c>
      <c r="X41" s="113" t="str">
        <f t="shared" si="75"/>
        <v/>
      </c>
      <c r="Y41" s="242">
        <f>IFERROR(VLOOKUP($X41,HomeBroker!$A$22:$F$88,2,0),0)</f>
        <v>0</v>
      </c>
      <c r="Z41" s="242">
        <f>IFERROR(VLOOKUP($X41,HomeBroker!$A$22:$F$88,3,0),0)</f>
        <v>0</v>
      </c>
      <c r="AA41" s="243">
        <f>IFERROR(VLOOKUP($X41,HomeBroker!$A$22:$F$88,6,0),0)</f>
        <v>0</v>
      </c>
      <c r="AB41" s="242">
        <f>IFERROR(VLOOKUP($X41,HomeBroker!$A$22:$F$88,4,0),0)</f>
        <v>0</v>
      </c>
      <c r="AC41" s="242">
        <f>IFERROR(VLOOKUP($X41,HomeBroker!$A$22:$F$88,5,0),0)</f>
        <v>0</v>
      </c>
      <c r="AD41" s="305">
        <f>IFERROR(VLOOKUP($X41,HomeBroker!$A$22:$N$88,14,0),0)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IFERROR(VLOOKUP($AJ41,HomeBroker!$A$22:$F$88,2,0),0)</f>
        <v>0</v>
      </c>
      <c r="AL41" s="242">
        <f>IFERROR(VLOOKUP($AJ41,HomeBroker!$A$22:$F$88,3,0),0)</f>
        <v>0</v>
      </c>
      <c r="AM41" s="243">
        <f>IFERROR(VLOOKUP($AJ41,HomeBroker!$A$22:$F$88,6,0),0)</f>
        <v>0</v>
      </c>
      <c r="AN41" s="242">
        <f>IFERROR(VLOOKUP($AJ41,HomeBroker!$A$22:$F$88,4,0),0)</f>
        <v>0</v>
      </c>
      <c r="AO41" s="114">
        <f>IFERROR(VLOOKUP($AJ41,HomeBroker!$A$22:$F$88,5,0),0)</f>
        <v>0</v>
      </c>
      <c r="AP41" s="115">
        <f>IFERROR(VLOOKUP($AJ41,HomeBroker!$A$22:$N$88,14,0),0)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303">
        <f t="shared" si="10"/>
        <v>0</v>
      </c>
      <c r="BB41" s="304">
        <f t="shared" si="11"/>
        <v>0</v>
      </c>
      <c r="BC41" s="177" t="s">
        <v>408</v>
      </c>
      <c r="BD41" s="118"/>
      <c r="BE41" s="143"/>
      <c r="BF41" s="121"/>
      <c r="BG41" s="306">
        <f t="shared" si="12"/>
        <v>0</v>
      </c>
      <c r="BH41" s="308">
        <f t="shared" si="13"/>
        <v>0</v>
      </c>
      <c r="BI41" s="178" t="s">
        <v>409</v>
      </c>
      <c r="BJ41" s="118"/>
      <c r="BK41" s="121"/>
      <c r="BL41" s="309">
        <f t="shared" si="14"/>
        <v>0</v>
      </c>
      <c r="BM41" s="310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808" t="s">
        <v>454</v>
      </c>
      <c r="O42" s="804"/>
      <c r="P42" s="805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0"/>
        <v/>
      </c>
      <c r="X42" s="113" t="str">
        <f t="shared" si="75"/>
        <v/>
      </c>
      <c r="Y42" s="242">
        <f>IFERROR(VLOOKUP($X42,HomeBroker!$A$22:$F$88,2,0),0)</f>
        <v>0</v>
      </c>
      <c r="Z42" s="242">
        <f>IFERROR(VLOOKUP($X42,HomeBroker!$A$22:$F$88,3,0),0)</f>
        <v>0</v>
      </c>
      <c r="AA42" s="243">
        <f>IFERROR(VLOOKUP($X42,HomeBroker!$A$22:$F$88,6,0),0)</f>
        <v>0</v>
      </c>
      <c r="AB42" s="242">
        <f>IFERROR(VLOOKUP($X42,HomeBroker!$A$22:$F$88,4,0),0)</f>
        <v>0</v>
      </c>
      <c r="AC42" s="242">
        <f>IFERROR(VLOOKUP($X42,HomeBroker!$A$22:$F$88,5,0),0)</f>
        <v>0</v>
      </c>
      <c r="AD42" s="305">
        <f>IFERROR(VLOOKUP($X42,HomeBroker!$A$22:$N$88,14,0),0)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IFERROR(VLOOKUP($AJ42,HomeBroker!$A$22:$F$88,2,0),0)</f>
        <v>0</v>
      </c>
      <c r="AL42" s="242">
        <f>IFERROR(VLOOKUP($AJ42,HomeBroker!$A$22:$F$88,3,0),0)</f>
        <v>0</v>
      </c>
      <c r="AM42" s="243">
        <f>IFERROR(VLOOKUP($AJ42,HomeBroker!$A$22:$F$88,6,0),0)</f>
        <v>0</v>
      </c>
      <c r="AN42" s="242">
        <f>IFERROR(VLOOKUP($AJ42,HomeBroker!$A$22:$F$88,4,0),0)</f>
        <v>0</v>
      </c>
      <c r="AO42" s="114">
        <f>IFERROR(VLOOKUP($AJ42,HomeBroker!$A$22:$F$88,5,0),0)</f>
        <v>0</v>
      </c>
      <c r="AP42" s="115">
        <f>IFERROR(VLOOKUP($AJ42,HomeBroker!$A$22:$N$88,14,0),0)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303">
        <f t="shared" si="10"/>
        <v>0</v>
      </c>
      <c r="BB42" s="304">
        <f t="shared" si="11"/>
        <v>0</v>
      </c>
      <c r="BC42" s="177" t="s">
        <v>408</v>
      </c>
      <c r="BD42" s="118"/>
      <c r="BE42" s="143"/>
      <c r="BF42" s="121"/>
      <c r="BG42" s="306">
        <f t="shared" si="12"/>
        <v>0</v>
      </c>
      <c r="BH42" s="308">
        <f t="shared" si="13"/>
        <v>0</v>
      </c>
      <c r="BI42" s="178" t="s">
        <v>409</v>
      </c>
      <c r="BJ42" s="118"/>
      <c r="BK42" s="121"/>
      <c r="BL42" s="309">
        <f t="shared" si="14"/>
        <v>0</v>
      </c>
      <c r="BM42" s="310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666</v>
      </c>
      <c r="R43" s="62"/>
      <c r="S43" s="809" t="s">
        <v>409</v>
      </c>
      <c r="T43" s="810"/>
      <c r="U43" s="810"/>
      <c r="V43" s="810"/>
      <c r="W43" s="810"/>
      <c r="X43" s="810"/>
      <c r="Y43" s="810"/>
      <c r="Z43" s="810"/>
      <c r="AA43" s="810"/>
      <c r="AB43" s="810"/>
      <c r="AC43" s="810"/>
      <c r="AD43" s="811"/>
      <c r="AE43" s="815">
        <f>SUMIFS(BJ:BJ,BI:BI,S43)</f>
        <v>0</v>
      </c>
      <c r="AF43" s="815"/>
      <c r="AG43" s="815"/>
      <c r="AH43" s="815"/>
      <c r="AI43" s="815"/>
      <c r="AJ43" s="815"/>
      <c r="AK43" s="815"/>
      <c r="AL43" s="815"/>
      <c r="AM43" s="815"/>
      <c r="AN43" s="815"/>
      <c r="AO43" s="815"/>
      <c r="AP43" s="816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303">
        <f t="shared" si="10"/>
        <v>0</v>
      </c>
      <c r="BB43" s="304">
        <f t="shared" si="11"/>
        <v>0</v>
      </c>
      <c r="BC43" s="177" t="s">
        <v>408</v>
      </c>
      <c r="BD43" s="118"/>
      <c r="BE43" s="143"/>
      <c r="BF43" s="121"/>
      <c r="BG43" s="306">
        <f t="shared" si="12"/>
        <v>0</v>
      </c>
      <c r="BH43" s="308">
        <f t="shared" si="13"/>
        <v>0</v>
      </c>
      <c r="BI43" s="178" t="s">
        <v>409</v>
      </c>
      <c r="BJ43" s="118"/>
      <c r="BK43" s="121"/>
      <c r="BL43" s="309">
        <f t="shared" si="14"/>
        <v>0</v>
      </c>
      <c r="BM43" s="310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806" t="s">
        <v>458</v>
      </c>
      <c r="O44" s="804"/>
      <c r="P44" s="805"/>
      <c r="Q44" s="188"/>
      <c r="R44" s="62"/>
      <c r="S44" s="812"/>
      <c r="T44" s="813"/>
      <c r="U44" s="813"/>
      <c r="V44" s="813"/>
      <c r="W44" s="813"/>
      <c r="X44" s="813"/>
      <c r="Y44" s="813"/>
      <c r="Z44" s="813"/>
      <c r="AA44" s="813"/>
      <c r="AB44" s="813"/>
      <c r="AC44" s="813"/>
      <c r="AD44" s="814"/>
      <c r="AE44" s="817"/>
      <c r="AF44" s="817"/>
      <c r="AG44" s="817"/>
      <c r="AH44" s="817"/>
      <c r="AI44" s="817"/>
      <c r="AJ44" s="817"/>
      <c r="AK44" s="817"/>
      <c r="AL44" s="817"/>
      <c r="AM44" s="817"/>
      <c r="AN44" s="817"/>
      <c r="AO44" s="817"/>
      <c r="AP44" s="818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303">
        <f t="shared" si="10"/>
        <v>0</v>
      </c>
      <c r="BB44" s="304">
        <f t="shared" si="11"/>
        <v>0</v>
      </c>
      <c r="BC44" s="177" t="s">
        <v>408</v>
      </c>
      <c r="BD44" s="118"/>
      <c r="BE44" s="143"/>
      <c r="BF44" s="121"/>
      <c r="BG44" s="306">
        <f t="shared" si="12"/>
        <v>0</v>
      </c>
      <c r="BH44" s="308">
        <f t="shared" si="13"/>
        <v>0</v>
      </c>
      <c r="BI44" s="178" t="s">
        <v>409</v>
      </c>
      <c r="BJ44" s="118"/>
      <c r="BK44" s="121"/>
      <c r="BL44" s="309">
        <f t="shared" si="14"/>
        <v>0</v>
      </c>
      <c r="BM44" s="310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819" t="s">
        <v>459</v>
      </c>
      <c r="O45" s="804"/>
      <c r="P45" s="805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303">
        <f t="shared" si="10"/>
        <v>0</v>
      </c>
      <c r="BB45" s="304">
        <f t="shared" si="11"/>
        <v>0</v>
      </c>
      <c r="BC45" s="177" t="s">
        <v>408</v>
      </c>
      <c r="BD45" s="118"/>
      <c r="BE45" s="143"/>
      <c r="BF45" s="121"/>
      <c r="BG45" s="306">
        <f t="shared" si="12"/>
        <v>0</v>
      </c>
      <c r="BH45" s="308">
        <f t="shared" si="13"/>
        <v>0</v>
      </c>
      <c r="BI45" s="178" t="s">
        <v>409</v>
      </c>
      <c r="BJ45" s="118"/>
      <c r="BK45" s="121"/>
      <c r="BL45" s="309">
        <f t="shared" si="14"/>
        <v>0</v>
      </c>
      <c r="BM45" s="310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823" t="s">
        <v>460</v>
      </c>
      <c r="O46" s="804"/>
      <c r="P46" s="805"/>
      <c r="Q46" s="193">
        <f>Q48</f>
        <v>0.84250000000000014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303">
        <f t="shared" si="10"/>
        <v>0</v>
      </c>
      <c r="BB46" s="304">
        <f t="shared" si="11"/>
        <v>0</v>
      </c>
      <c r="BC46" s="177" t="s">
        <v>408</v>
      </c>
      <c r="BD46" s="118"/>
      <c r="BE46" s="143"/>
      <c r="BF46" s="121"/>
      <c r="BG46" s="306">
        <f t="shared" si="12"/>
        <v>0</v>
      </c>
      <c r="BH46" s="308">
        <f t="shared" si="13"/>
        <v>0</v>
      </c>
      <c r="BI46" s="178" t="s">
        <v>409</v>
      </c>
      <c r="BJ46" s="118"/>
      <c r="BK46" s="121"/>
      <c r="BL46" s="309">
        <f t="shared" si="14"/>
        <v>0</v>
      </c>
      <c r="BM46" s="310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803" t="s">
        <v>461</v>
      </c>
      <c r="O47" s="804"/>
      <c r="P47" s="805"/>
      <c r="Q47" s="193">
        <f>Q46</f>
        <v>0.84250000000000014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303">
        <f t="shared" si="10"/>
        <v>0</v>
      </c>
      <c r="BB47" s="304">
        <f t="shared" si="11"/>
        <v>0</v>
      </c>
      <c r="BC47" s="177" t="s">
        <v>408</v>
      </c>
      <c r="BD47" s="118"/>
      <c r="BE47" s="143"/>
      <c r="BF47" s="121"/>
      <c r="BG47" s="306">
        <f t="shared" si="12"/>
        <v>0</v>
      </c>
      <c r="BH47" s="308">
        <f t="shared" si="13"/>
        <v>0</v>
      </c>
      <c r="BI47" s="178" t="s">
        <v>409</v>
      </c>
      <c r="BJ47" s="118"/>
      <c r="BK47" s="121"/>
      <c r="BL47" s="309">
        <f t="shared" si="14"/>
        <v>0</v>
      </c>
      <c r="BM47" s="310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806" t="s">
        <v>462</v>
      </c>
      <c r="O48" s="804"/>
      <c r="P48" s="805"/>
      <c r="Q48" s="193">
        <f>HomeBroker!AE1*365</f>
        <v>0.84250000000000014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303">
        <f t="shared" si="10"/>
        <v>0</v>
      </c>
      <c r="BB48" s="304">
        <f t="shared" si="11"/>
        <v>0</v>
      </c>
      <c r="BC48" s="177" t="s">
        <v>408</v>
      </c>
      <c r="BD48" s="118"/>
      <c r="BE48" s="143"/>
      <c r="BF48" s="121"/>
      <c r="BG48" s="306">
        <f t="shared" si="12"/>
        <v>0</v>
      </c>
      <c r="BH48" s="308">
        <f t="shared" si="13"/>
        <v>0</v>
      </c>
      <c r="BI48" s="178" t="s">
        <v>409</v>
      </c>
      <c r="BJ48" s="118"/>
      <c r="BK48" s="121"/>
      <c r="BL48" s="309">
        <f t="shared" si="14"/>
        <v>0</v>
      </c>
      <c r="BM48" s="310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807" t="s">
        <v>463</v>
      </c>
      <c r="O49" s="804"/>
      <c r="P49" s="805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303">
        <f t="shared" si="10"/>
        <v>0</v>
      </c>
      <c r="BB49" s="304">
        <f t="shared" si="11"/>
        <v>0</v>
      </c>
      <c r="BC49" s="177" t="s">
        <v>408</v>
      </c>
      <c r="BD49" s="118"/>
      <c r="BE49" s="143"/>
      <c r="BF49" s="121"/>
      <c r="BG49" s="306">
        <f t="shared" si="12"/>
        <v>0</v>
      </c>
      <c r="BH49" s="308">
        <f t="shared" si="13"/>
        <v>0</v>
      </c>
      <c r="BI49" s="178" t="s">
        <v>409</v>
      </c>
      <c r="BJ49" s="118"/>
      <c r="BK49" s="121"/>
      <c r="BL49" s="309">
        <f t="shared" si="14"/>
        <v>0</v>
      </c>
      <c r="BM49" s="310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807" t="s">
        <v>464</v>
      </c>
      <c r="O50" s="804"/>
      <c r="P50" s="805"/>
      <c r="Q50" s="195">
        <f ca="1">Q49-TODAY()-Q44</f>
        <v>25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303">
        <f t="shared" si="10"/>
        <v>0</v>
      </c>
      <c r="BB50" s="304">
        <f t="shared" si="11"/>
        <v>0</v>
      </c>
      <c r="BC50" s="177" t="s">
        <v>408</v>
      </c>
      <c r="BD50" s="118"/>
      <c r="BE50" s="143"/>
      <c r="BF50" s="121"/>
      <c r="BG50" s="306">
        <f t="shared" si="12"/>
        <v>0</v>
      </c>
      <c r="BH50" s="308">
        <f t="shared" si="13"/>
        <v>0</v>
      </c>
      <c r="BI50" s="178" t="s">
        <v>409</v>
      </c>
      <c r="BJ50" s="118"/>
      <c r="BK50" s="121"/>
      <c r="BL50" s="309">
        <f t="shared" si="14"/>
        <v>0</v>
      </c>
      <c r="BM50" s="310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807" t="s">
        <v>465</v>
      </c>
      <c r="O51" s="804"/>
      <c r="P51" s="805"/>
      <c r="Q51" s="196">
        <f ca="1">Q50/365</f>
        <v>6.8493150684931503E-2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303">
        <f t="shared" si="10"/>
        <v>0</v>
      </c>
      <c r="BB51" s="304">
        <f t="shared" si="11"/>
        <v>0</v>
      </c>
      <c r="BC51" s="177" t="s">
        <v>408</v>
      </c>
      <c r="BD51" s="118"/>
      <c r="BE51" s="143"/>
      <c r="BF51" s="121"/>
      <c r="BG51" s="306">
        <f t="shared" si="12"/>
        <v>0</v>
      </c>
      <c r="BH51" s="308">
        <f t="shared" si="13"/>
        <v>0</v>
      </c>
      <c r="BI51" s="178" t="s">
        <v>409</v>
      </c>
      <c r="BJ51" s="118"/>
      <c r="BK51" s="121"/>
      <c r="BL51" s="309">
        <f t="shared" si="14"/>
        <v>0</v>
      </c>
      <c r="BM51" s="310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808" t="s">
        <v>0</v>
      </c>
      <c r="O52" s="804"/>
      <c r="P52" s="805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303">
        <f t="shared" si="10"/>
        <v>0</v>
      </c>
      <c r="BB52" s="304">
        <f t="shared" si="11"/>
        <v>0</v>
      </c>
      <c r="BC52" s="177" t="s">
        <v>408</v>
      </c>
      <c r="BD52" s="118"/>
      <c r="BE52" s="143"/>
      <c r="BF52" s="121"/>
      <c r="BG52" s="306">
        <f t="shared" si="12"/>
        <v>0</v>
      </c>
      <c r="BH52" s="308">
        <f t="shared" si="13"/>
        <v>0</v>
      </c>
      <c r="BI52" s="178" t="s">
        <v>409</v>
      </c>
      <c r="BJ52" s="118"/>
      <c r="BK52" s="121"/>
      <c r="BL52" s="309">
        <f t="shared" si="14"/>
        <v>0</v>
      </c>
      <c r="BM52" s="310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820" t="s">
        <v>1</v>
      </c>
      <c r="O53" s="821"/>
      <c r="P53" s="822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303">
        <f t="shared" si="10"/>
        <v>0</v>
      </c>
      <c r="BB53" s="304">
        <f t="shared" si="11"/>
        <v>0</v>
      </c>
      <c r="BC53" s="177" t="s">
        <v>408</v>
      </c>
      <c r="BD53" s="118"/>
      <c r="BE53" s="143"/>
      <c r="BF53" s="121"/>
      <c r="BG53" s="306">
        <f t="shared" si="12"/>
        <v>0</v>
      </c>
      <c r="BH53" s="308">
        <f t="shared" si="13"/>
        <v>0</v>
      </c>
      <c r="BI53" s="178" t="s">
        <v>409</v>
      </c>
      <c r="BJ53" s="118"/>
      <c r="BK53" s="121"/>
      <c r="BL53" s="309">
        <f t="shared" si="14"/>
        <v>0</v>
      </c>
      <c r="BM53" s="310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303">
        <f t="shared" si="10"/>
        <v>0</v>
      </c>
      <c r="BB54" s="304">
        <f t="shared" si="11"/>
        <v>0</v>
      </c>
      <c r="BC54" s="177" t="s">
        <v>408</v>
      </c>
      <c r="BD54" s="118"/>
      <c r="BE54" s="143"/>
      <c r="BF54" s="121"/>
      <c r="BG54" s="306">
        <f t="shared" si="12"/>
        <v>0</v>
      </c>
      <c r="BH54" s="308">
        <f t="shared" si="13"/>
        <v>0</v>
      </c>
      <c r="BI54" s="178" t="s">
        <v>409</v>
      </c>
      <c r="BJ54" s="118"/>
      <c r="BK54" s="121"/>
      <c r="BL54" s="309">
        <f t="shared" si="14"/>
        <v>0</v>
      </c>
      <c r="BM54" s="310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303">
        <f t="shared" si="10"/>
        <v>0</v>
      </c>
      <c r="BB55" s="304">
        <f t="shared" si="11"/>
        <v>0</v>
      </c>
      <c r="BC55" s="177" t="s">
        <v>408</v>
      </c>
      <c r="BD55" s="118"/>
      <c r="BE55" s="143"/>
      <c r="BF55" s="121"/>
      <c r="BG55" s="306">
        <f t="shared" si="12"/>
        <v>0</v>
      </c>
      <c r="BH55" s="308">
        <f t="shared" si="13"/>
        <v>0</v>
      </c>
      <c r="BI55" s="178" t="s">
        <v>409</v>
      </c>
      <c r="BJ55" s="118"/>
      <c r="BK55" s="121"/>
      <c r="BL55" s="309">
        <f t="shared" si="14"/>
        <v>0</v>
      </c>
      <c r="BM55" s="310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303">
        <f t="shared" si="10"/>
        <v>0</v>
      </c>
      <c r="BB56" s="304">
        <f t="shared" si="11"/>
        <v>0</v>
      </c>
      <c r="BC56" s="177" t="s">
        <v>408</v>
      </c>
      <c r="BD56" s="118"/>
      <c r="BE56" s="143"/>
      <c r="BF56" s="121"/>
      <c r="BG56" s="306">
        <f t="shared" si="12"/>
        <v>0</v>
      </c>
      <c r="BH56" s="308">
        <f t="shared" si="13"/>
        <v>0</v>
      </c>
      <c r="BI56" s="178" t="s">
        <v>409</v>
      </c>
      <c r="BJ56" s="118"/>
      <c r="BK56" s="121"/>
      <c r="BL56" s="309">
        <f t="shared" si="14"/>
        <v>0</v>
      </c>
      <c r="BM56" s="310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303">
        <f t="shared" si="10"/>
        <v>0</v>
      </c>
      <c r="BB57" s="304">
        <f t="shared" si="11"/>
        <v>0</v>
      </c>
      <c r="BC57" s="177" t="s">
        <v>408</v>
      </c>
      <c r="BD57" s="118"/>
      <c r="BE57" s="143"/>
      <c r="BF57" s="121"/>
      <c r="BG57" s="306">
        <f t="shared" si="12"/>
        <v>0</v>
      </c>
      <c r="BH57" s="308">
        <f t="shared" si="13"/>
        <v>0</v>
      </c>
      <c r="BI57" s="178" t="s">
        <v>409</v>
      </c>
      <c r="BJ57" s="118"/>
      <c r="BK57" s="121"/>
      <c r="BL57" s="309">
        <f t="shared" si="14"/>
        <v>0</v>
      </c>
      <c r="BM57" s="310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303">
        <f t="shared" si="10"/>
        <v>0</v>
      </c>
      <c r="BB58" s="304">
        <f t="shared" si="11"/>
        <v>0</v>
      </c>
      <c r="BC58" s="177" t="s">
        <v>408</v>
      </c>
      <c r="BD58" s="118"/>
      <c r="BE58" s="143"/>
      <c r="BF58" s="121"/>
      <c r="BG58" s="306">
        <f t="shared" si="12"/>
        <v>0</v>
      </c>
      <c r="BH58" s="308">
        <f t="shared" si="13"/>
        <v>0</v>
      </c>
      <c r="BI58" s="178" t="s">
        <v>409</v>
      </c>
      <c r="BJ58" s="118"/>
      <c r="BK58" s="121"/>
      <c r="BL58" s="309">
        <f t="shared" si="14"/>
        <v>0</v>
      </c>
      <c r="BM58" s="310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303">
        <f t="shared" si="10"/>
        <v>0</v>
      </c>
      <c r="BB59" s="304">
        <f t="shared" si="11"/>
        <v>0</v>
      </c>
      <c r="BC59" s="177" t="s">
        <v>408</v>
      </c>
      <c r="BD59" s="118"/>
      <c r="BE59" s="143"/>
      <c r="BF59" s="121"/>
      <c r="BG59" s="306">
        <f t="shared" si="12"/>
        <v>0</v>
      </c>
      <c r="BH59" s="308">
        <f t="shared" si="13"/>
        <v>0</v>
      </c>
      <c r="BI59" s="178" t="s">
        <v>409</v>
      </c>
      <c r="BJ59" s="118"/>
      <c r="BK59" s="121"/>
      <c r="BL59" s="309">
        <f t="shared" si="14"/>
        <v>0</v>
      </c>
      <c r="BM59" s="310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303">
        <f t="shared" si="10"/>
        <v>0</v>
      </c>
      <c r="BB60" s="304">
        <f t="shared" si="11"/>
        <v>0</v>
      </c>
      <c r="BC60" s="177" t="s">
        <v>408</v>
      </c>
      <c r="BD60" s="118"/>
      <c r="BE60" s="143"/>
      <c r="BF60" s="121"/>
      <c r="BG60" s="306">
        <f t="shared" si="12"/>
        <v>0</v>
      </c>
      <c r="BH60" s="308">
        <f t="shared" si="13"/>
        <v>0</v>
      </c>
      <c r="BI60" s="178" t="s">
        <v>409</v>
      </c>
      <c r="BJ60" s="118"/>
      <c r="BK60" s="121"/>
      <c r="BL60" s="309">
        <f t="shared" si="14"/>
        <v>0</v>
      </c>
      <c r="BM60" s="310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303">
        <f t="shared" si="10"/>
        <v>0</v>
      </c>
      <c r="BB61" s="304">
        <f t="shared" si="11"/>
        <v>0</v>
      </c>
      <c r="BC61" s="177" t="s">
        <v>408</v>
      </c>
      <c r="BD61" s="118"/>
      <c r="BE61" s="143"/>
      <c r="BF61" s="121"/>
      <c r="BG61" s="306">
        <f t="shared" si="12"/>
        <v>0</v>
      </c>
      <c r="BH61" s="308">
        <f t="shared" si="13"/>
        <v>0</v>
      </c>
      <c r="BI61" s="178" t="s">
        <v>409</v>
      </c>
      <c r="BJ61" s="118"/>
      <c r="BK61" s="121"/>
      <c r="BL61" s="309">
        <f t="shared" si="14"/>
        <v>0</v>
      </c>
      <c r="BM61" s="310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303">
        <f t="shared" si="10"/>
        <v>0</v>
      </c>
      <c r="BB62" s="304">
        <f t="shared" si="11"/>
        <v>0</v>
      </c>
      <c r="BC62" s="177" t="s">
        <v>408</v>
      </c>
      <c r="BD62" s="118"/>
      <c r="BE62" s="143"/>
      <c r="BF62" s="121"/>
      <c r="BG62" s="306">
        <f t="shared" si="12"/>
        <v>0</v>
      </c>
      <c r="BH62" s="308">
        <f t="shared" si="13"/>
        <v>0</v>
      </c>
      <c r="BI62" s="178" t="s">
        <v>409</v>
      </c>
      <c r="BJ62" s="118"/>
      <c r="BK62" s="121"/>
      <c r="BL62" s="309">
        <f t="shared" si="14"/>
        <v>0</v>
      </c>
      <c r="BM62" s="310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303">
        <f t="shared" si="10"/>
        <v>0</v>
      </c>
      <c r="BB63" s="304">
        <f t="shared" si="11"/>
        <v>0</v>
      </c>
      <c r="BC63" s="177" t="s">
        <v>408</v>
      </c>
      <c r="BD63" s="118"/>
      <c r="BE63" s="143"/>
      <c r="BF63" s="121"/>
      <c r="BG63" s="306">
        <f t="shared" si="12"/>
        <v>0</v>
      </c>
      <c r="BH63" s="308">
        <f t="shared" si="13"/>
        <v>0</v>
      </c>
      <c r="BI63" s="178" t="s">
        <v>409</v>
      </c>
      <c r="BJ63" s="118"/>
      <c r="BK63" s="121"/>
      <c r="BL63" s="309">
        <f t="shared" si="14"/>
        <v>0</v>
      </c>
      <c r="BM63" s="310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303">
        <f t="shared" si="10"/>
        <v>0</v>
      </c>
      <c r="BB64" s="304">
        <f t="shared" si="11"/>
        <v>0</v>
      </c>
      <c r="BC64" s="177" t="s">
        <v>408</v>
      </c>
      <c r="BD64" s="118"/>
      <c r="BE64" s="143"/>
      <c r="BF64" s="121"/>
      <c r="BG64" s="306">
        <f t="shared" si="12"/>
        <v>0</v>
      </c>
      <c r="BH64" s="308">
        <f t="shared" si="13"/>
        <v>0</v>
      </c>
      <c r="BI64" s="178" t="s">
        <v>409</v>
      </c>
      <c r="BJ64" s="118"/>
      <c r="BK64" s="121"/>
      <c r="BL64" s="309">
        <f t="shared" si="14"/>
        <v>0</v>
      </c>
      <c r="BM64" s="310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303">
        <f t="shared" si="10"/>
        <v>0</v>
      </c>
      <c r="BB65" s="304">
        <f t="shared" si="11"/>
        <v>0</v>
      </c>
      <c r="BC65" s="177" t="s">
        <v>408</v>
      </c>
      <c r="BD65" s="118"/>
      <c r="BE65" s="143"/>
      <c r="BF65" s="121"/>
      <c r="BG65" s="306">
        <f t="shared" si="12"/>
        <v>0</v>
      </c>
      <c r="BH65" s="308">
        <f t="shared" si="13"/>
        <v>0</v>
      </c>
      <c r="BI65" s="178" t="s">
        <v>409</v>
      </c>
      <c r="BJ65" s="118"/>
      <c r="BK65" s="121"/>
      <c r="BL65" s="309">
        <f t="shared" si="14"/>
        <v>0</v>
      </c>
      <c r="BM65" s="310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303">
        <f t="shared" si="10"/>
        <v>0</v>
      </c>
      <c r="BB66" s="304">
        <f t="shared" si="11"/>
        <v>0</v>
      </c>
      <c r="BC66" s="177" t="s">
        <v>408</v>
      </c>
      <c r="BD66" s="118"/>
      <c r="BE66" s="143"/>
      <c r="BF66" s="121"/>
      <c r="BG66" s="306">
        <f t="shared" si="12"/>
        <v>0</v>
      </c>
      <c r="BH66" s="308">
        <f t="shared" si="13"/>
        <v>0</v>
      </c>
      <c r="BI66" s="178" t="s">
        <v>409</v>
      </c>
      <c r="BJ66" s="118"/>
      <c r="BK66" s="121"/>
      <c r="BL66" s="309">
        <f t="shared" si="14"/>
        <v>0</v>
      </c>
      <c r="BM66" s="310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303">
        <f t="shared" si="10"/>
        <v>0</v>
      </c>
      <c r="BB67" s="304">
        <f t="shared" si="11"/>
        <v>0</v>
      </c>
      <c r="BC67" s="177" t="s">
        <v>408</v>
      </c>
      <c r="BD67" s="118"/>
      <c r="BE67" s="143"/>
      <c r="BF67" s="121"/>
      <c r="BG67" s="306">
        <f t="shared" si="12"/>
        <v>0</v>
      </c>
      <c r="BH67" s="308">
        <f t="shared" si="13"/>
        <v>0</v>
      </c>
      <c r="BI67" s="178" t="s">
        <v>409</v>
      </c>
      <c r="BJ67" s="118"/>
      <c r="BK67" s="121"/>
      <c r="BL67" s="309">
        <f t="shared" si="14"/>
        <v>0</v>
      </c>
      <c r="BM67" s="310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303">
        <f t="shared" si="10"/>
        <v>0</v>
      </c>
      <c r="BB68" s="304">
        <f t="shared" si="11"/>
        <v>0</v>
      </c>
      <c r="BC68" s="177" t="s">
        <v>408</v>
      </c>
      <c r="BD68" s="118"/>
      <c r="BE68" s="143"/>
      <c r="BF68" s="121"/>
      <c r="BG68" s="306">
        <f t="shared" si="12"/>
        <v>0</v>
      </c>
      <c r="BH68" s="308">
        <f t="shared" si="13"/>
        <v>0</v>
      </c>
      <c r="BI68" s="178" t="s">
        <v>409</v>
      </c>
      <c r="BJ68" s="118"/>
      <c r="BK68" s="121"/>
      <c r="BL68" s="309">
        <f t="shared" si="14"/>
        <v>0</v>
      </c>
      <c r="BM68" s="310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303">
        <f t="shared" si="10"/>
        <v>0</v>
      </c>
      <c r="BB69" s="304">
        <f t="shared" si="11"/>
        <v>0</v>
      </c>
      <c r="BC69" s="177" t="s">
        <v>408</v>
      </c>
      <c r="BD69" s="118"/>
      <c r="BE69" s="143"/>
      <c r="BF69" s="121"/>
      <c r="BG69" s="306">
        <f t="shared" si="12"/>
        <v>0</v>
      </c>
      <c r="BH69" s="308">
        <f t="shared" si="13"/>
        <v>0</v>
      </c>
      <c r="BI69" s="178" t="s">
        <v>409</v>
      </c>
      <c r="BJ69" s="118"/>
      <c r="BK69" s="121"/>
      <c r="BL69" s="309">
        <f t="shared" si="14"/>
        <v>0</v>
      </c>
      <c r="BM69" s="310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303">
        <f t="shared" si="10"/>
        <v>0</v>
      </c>
      <c r="BB70" s="304">
        <f t="shared" si="11"/>
        <v>0</v>
      </c>
      <c r="BC70" s="177" t="s">
        <v>408</v>
      </c>
      <c r="BD70" s="118"/>
      <c r="BE70" s="143"/>
      <c r="BF70" s="121"/>
      <c r="BG70" s="306">
        <f t="shared" si="12"/>
        <v>0</v>
      </c>
      <c r="BH70" s="308">
        <f t="shared" si="13"/>
        <v>0</v>
      </c>
      <c r="BI70" s="178" t="s">
        <v>409</v>
      </c>
      <c r="BJ70" s="118"/>
      <c r="BK70" s="121"/>
      <c r="BL70" s="309">
        <f t="shared" si="14"/>
        <v>0</v>
      </c>
      <c r="BM70" s="310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303">
        <f t="shared" si="10"/>
        <v>0</v>
      </c>
      <c r="BB71" s="304">
        <f t="shared" si="11"/>
        <v>0</v>
      </c>
      <c r="BC71" s="177" t="s">
        <v>408</v>
      </c>
      <c r="BD71" s="118"/>
      <c r="BE71" s="143"/>
      <c r="BF71" s="121"/>
      <c r="BG71" s="306">
        <f t="shared" si="12"/>
        <v>0</v>
      </c>
      <c r="BH71" s="308">
        <f t="shared" si="13"/>
        <v>0</v>
      </c>
      <c r="BI71" s="178" t="s">
        <v>409</v>
      </c>
      <c r="BJ71" s="118"/>
      <c r="BK71" s="121"/>
      <c r="BL71" s="309">
        <f t="shared" si="14"/>
        <v>0</v>
      </c>
      <c r="BM71" s="310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303">
        <f t="shared" si="10"/>
        <v>0</v>
      </c>
      <c r="BB72" s="304">
        <f t="shared" si="11"/>
        <v>0</v>
      </c>
      <c r="BC72" s="177" t="s">
        <v>408</v>
      </c>
      <c r="BD72" s="118"/>
      <c r="BE72" s="143"/>
      <c r="BF72" s="121"/>
      <c r="BG72" s="306">
        <f t="shared" si="12"/>
        <v>0</v>
      </c>
      <c r="BH72" s="308">
        <f t="shared" si="13"/>
        <v>0</v>
      </c>
      <c r="BI72" s="178" t="s">
        <v>409</v>
      </c>
      <c r="BJ72" s="118"/>
      <c r="BK72" s="121"/>
      <c r="BL72" s="309">
        <f t="shared" si="14"/>
        <v>0</v>
      </c>
      <c r="BM72" s="310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800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91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303">
        <f t="shared" si="10"/>
        <v>0</v>
      </c>
      <c r="BB73" s="304">
        <f t="shared" si="11"/>
        <v>0</v>
      </c>
      <c r="BC73" s="177" t="s">
        <v>408</v>
      </c>
      <c r="BD73" s="118"/>
      <c r="BE73" s="143"/>
      <c r="BF73" s="121"/>
      <c r="BG73" s="306">
        <f t="shared" si="12"/>
        <v>0</v>
      </c>
      <c r="BH73" s="308">
        <f t="shared" si="13"/>
        <v>0</v>
      </c>
      <c r="BI73" s="178" t="s">
        <v>409</v>
      </c>
      <c r="BJ73" s="118"/>
      <c r="BK73" s="121"/>
      <c r="BL73" s="309">
        <f t="shared" si="14"/>
        <v>0</v>
      </c>
      <c r="BM73" s="310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801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91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303">
        <f t="shared" si="10"/>
        <v>0</v>
      </c>
      <c r="BB74" s="304">
        <f t="shared" si="11"/>
        <v>0</v>
      </c>
      <c r="BC74" s="177" t="s">
        <v>408</v>
      </c>
      <c r="BD74" s="118"/>
      <c r="BE74" s="143"/>
      <c r="BF74" s="121"/>
      <c r="BG74" s="306">
        <f t="shared" si="12"/>
        <v>0</v>
      </c>
      <c r="BH74" s="308">
        <f t="shared" si="13"/>
        <v>0</v>
      </c>
      <c r="BI74" s="178" t="s">
        <v>409</v>
      </c>
      <c r="BJ74" s="118"/>
      <c r="BK74" s="121"/>
      <c r="BL74" s="309">
        <f t="shared" si="14"/>
        <v>0</v>
      </c>
      <c r="BM74" s="310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802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92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303">
        <f t="shared" si="10"/>
        <v>0</v>
      </c>
      <c r="BB75" s="304">
        <f t="shared" si="11"/>
        <v>0</v>
      </c>
      <c r="BC75" s="177" t="s">
        <v>408</v>
      </c>
      <c r="BD75" s="118"/>
      <c r="BE75" s="143"/>
      <c r="BF75" s="121"/>
      <c r="BG75" s="306">
        <f t="shared" si="12"/>
        <v>0</v>
      </c>
      <c r="BH75" s="308">
        <f t="shared" si="13"/>
        <v>0</v>
      </c>
      <c r="BI75" s="178" t="s">
        <v>409</v>
      </c>
      <c r="BJ75" s="118"/>
      <c r="BK75" s="121"/>
      <c r="BL75" s="309">
        <f t="shared" si="14"/>
        <v>0</v>
      </c>
      <c r="BM75" s="310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93">
        <f>IFERROR(VLOOKUP("GGAL - 48hs",HomeBroker!$A$22:$F$88,6,0),0)</f>
        <v>0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303">
        <f t="shared" si="10"/>
        <v>0</v>
      </c>
      <c r="BB76" s="304">
        <f t="shared" si="11"/>
        <v>0</v>
      </c>
      <c r="BC76" s="177" t="s">
        <v>408</v>
      </c>
      <c r="BD76" s="118"/>
      <c r="BE76" s="143"/>
      <c r="BF76" s="121"/>
      <c r="BG76" s="306">
        <f t="shared" si="12"/>
        <v>0</v>
      </c>
      <c r="BH76" s="308">
        <f t="shared" si="13"/>
        <v>0</v>
      </c>
      <c r="BI76" s="178" t="s">
        <v>409</v>
      </c>
      <c r="BJ76" s="118"/>
      <c r="BK76" s="121"/>
      <c r="BL76" s="309">
        <f t="shared" si="14"/>
        <v>0</v>
      </c>
      <c r="BM76" s="310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N40:P40"/>
    <mergeCell ref="N42:P42"/>
    <mergeCell ref="L2:M2"/>
    <mergeCell ref="N36:P36"/>
    <mergeCell ref="N37:P37"/>
    <mergeCell ref="N38:P38"/>
    <mergeCell ref="N39:P39"/>
    <mergeCell ref="S43:AD44"/>
    <mergeCell ref="AE43:AP44"/>
    <mergeCell ref="N44:P44"/>
    <mergeCell ref="N45:P45"/>
    <mergeCell ref="N53:P53"/>
    <mergeCell ref="N46:P46"/>
    <mergeCell ref="A73:A75"/>
    <mergeCell ref="N47:P47"/>
    <mergeCell ref="N48:P48"/>
    <mergeCell ref="N49:P49"/>
    <mergeCell ref="N50:P50"/>
    <mergeCell ref="N51:P51"/>
    <mergeCell ref="N52:P52"/>
  </mergeCells>
  <conditionalFormatting sqref="AG3:AG42 U3:U42">
    <cfRule type="expression" dxfId="471" priority="355">
      <formula>T3&gt;0</formula>
    </cfRule>
  </conditionalFormatting>
  <conditionalFormatting sqref="AG3:AG42 U3:U42">
    <cfRule type="expression" dxfId="470" priority="356">
      <formula>T3&lt;0</formula>
    </cfRule>
  </conditionalFormatting>
  <conditionalFormatting sqref="P3:Q34">
    <cfRule type="cellIs" dxfId="469" priority="357" operator="greaterThan">
      <formula>0</formula>
    </cfRule>
  </conditionalFormatting>
  <conditionalFormatting sqref="P3:Q34">
    <cfRule type="cellIs" dxfId="468" priority="358" operator="lessThan">
      <formula>0</formula>
    </cfRule>
  </conditionalFormatting>
  <conditionalFormatting sqref="B73:B74 B17:B18 B20:B30 AF3:AF17">
    <cfRule type="cellIs" dxfId="467" priority="359" operator="greaterThan">
      <formula>0</formula>
    </cfRule>
  </conditionalFormatting>
  <conditionalFormatting sqref="B73:B74 B17:B18 B20:B30 AF3:AF17">
    <cfRule type="cellIs" dxfId="466" priority="360" operator="lessThan">
      <formula>0</formula>
    </cfRule>
  </conditionalFormatting>
  <conditionalFormatting sqref="BD61:BD76">
    <cfRule type="cellIs" dxfId="465" priority="361" operator="greaterThan">
      <formula>0</formula>
    </cfRule>
  </conditionalFormatting>
  <conditionalFormatting sqref="BD61:BD76">
    <cfRule type="cellIs" dxfId="464" priority="362" operator="lessThan">
      <formula>0</formula>
    </cfRule>
  </conditionalFormatting>
  <conditionalFormatting sqref="BD6:BD8">
    <cfRule type="cellIs" dxfId="463" priority="363" operator="greaterThan">
      <formula>0</formula>
    </cfRule>
  </conditionalFormatting>
  <conditionalFormatting sqref="BD6:BD8">
    <cfRule type="cellIs" dxfId="462" priority="364" operator="lessThan">
      <formula>0</formula>
    </cfRule>
  </conditionalFormatting>
  <conditionalFormatting sqref="B43 B17:B18 B41 B20:B30 T3:T42 AF3:AF42">
    <cfRule type="cellIs" dxfId="461" priority="365" operator="greaterThan">
      <formula>0</formula>
    </cfRule>
  </conditionalFormatting>
  <conditionalFormatting sqref="B43 B17:B18 B41 B20:B30 T3:T42 AF3:AF42">
    <cfRule type="cellIs" dxfId="460" priority="366" operator="lessThan">
      <formula>0</formula>
    </cfRule>
  </conditionalFormatting>
  <conditionalFormatting sqref="B30">
    <cfRule type="cellIs" dxfId="459" priority="367" operator="greaterThan">
      <formula>0</formula>
    </cfRule>
  </conditionalFormatting>
  <conditionalFormatting sqref="B30">
    <cfRule type="cellIs" dxfId="458" priority="368" operator="lessThan">
      <formula>0</formula>
    </cfRule>
  </conditionalFormatting>
  <conditionalFormatting sqref="B75">
    <cfRule type="cellIs" dxfId="457" priority="369" operator="greaterThan">
      <formula>0</formula>
    </cfRule>
  </conditionalFormatting>
  <conditionalFormatting sqref="B75">
    <cfRule type="cellIs" dxfId="456" priority="370" operator="lessThan">
      <formula>0</formula>
    </cfRule>
  </conditionalFormatting>
  <conditionalFormatting sqref="BD9">
    <cfRule type="cellIs" dxfId="455" priority="371" operator="greaterThan">
      <formula>0</formula>
    </cfRule>
  </conditionalFormatting>
  <conditionalFormatting sqref="BD9">
    <cfRule type="cellIs" dxfId="454" priority="372" operator="lessThan">
      <formula>0</formula>
    </cfRule>
  </conditionalFormatting>
  <conditionalFormatting sqref="AX14:AX16">
    <cfRule type="cellIs" dxfId="453" priority="373" operator="greaterThan">
      <formula>0</formula>
    </cfRule>
  </conditionalFormatting>
  <conditionalFormatting sqref="AX14:AX16">
    <cfRule type="cellIs" dxfId="452" priority="374" operator="lessThan">
      <formula>0</formula>
    </cfRule>
  </conditionalFormatting>
  <conditionalFormatting sqref="AX28">
    <cfRule type="cellIs" dxfId="451" priority="375" operator="greaterThan">
      <formula>0</formula>
    </cfRule>
  </conditionalFormatting>
  <conditionalFormatting sqref="AX28">
    <cfRule type="cellIs" dxfId="450" priority="376" operator="lessThan">
      <formula>0</formula>
    </cfRule>
  </conditionalFormatting>
  <conditionalFormatting sqref="BD27">
    <cfRule type="cellIs" dxfId="449" priority="377" operator="greaterThan">
      <formula>0</formula>
    </cfRule>
  </conditionalFormatting>
  <conditionalFormatting sqref="BD27">
    <cfRule type="cellIs" dxfId="448" priority="378" operator="lessThan">
      <formula>0</formula>
    </cfRule>
  </conditionalFormatting>
  <conditionalFormatting sqref="BD22">
    <cfRule type="cellIs" dxfId="447" priority="379" operator="greaterThan">
      <formula>0</formula>
    </cfRule>
  </conditionalFormatting>
  <conditionalFormatting sqref="BD22">
    <cfRule type="cellIs" dxfId="446" priority="380" operator="lessThan">
      <formula>0</formula>
    </cfRule>
  </conditionalFormatting>
  <conditionalFormatting sqref="AX16:AX42">
    <cfRule type="cellIs" dxfId="445" priority="381" operator="greaterThan">
      <formula>0</formula>
    </cfRule>
  </conditionalFormatting>
  <conditionalFormatting sqref="AX16:AX42">
    <cfRule type="cellIs" dxfId="444" priority="382" operator="lessThan">
      <formula>0</formula>
    </cfRule>
  </conditionalFormatting>
  <conditionalFormatting sqref="AX24:AX27">
    <cfRule type="cellIs" dxfId="443" priority="383" operator="greaterThan">
      <formula>0</formula>
    </cfRule>
  </conditionalFormatting>
  <conditionalFormatting sqref="AX24:AX27">
    <cfRule type="cellIs" dxfId="442" priority="384" operator="lessThan">
      <formula>0</formula>
    </cfRule>
  </conditionalFormatting>
  <conditionalFormatting sqref="BD10:BD11 BD16:BD18 BD20:BD42">
    <cfRule type="cellIs" dxfId="441" priority="385" operator="greaterThan">
      <formula>0</formula>
    </cfRule>
  </conditionalFormatting>
  <conditionalFormatting sqref="BD10:BD11 BD16:BD18 BD20:BD42">
    <cfRule type="cellIs" dxfId="440" priority="386" operator="lessThan">
      <formula>0</formula>
    </cfRule>
  </conditionalFormatting>
  <conditionalFormatting sqref="BD12:BD15">
    <cfRule type="cellIs" dxfId="439" priority="387" operator="greaterThan">
      <formula>0</formula>
    </cfRule>
  </conditionalFormatting>
  <conditionalFormatting sqref="BD12:BD15">
    <cfRule type="cellIs" dxfId="438" priority="388" operator="lessThan">
      <formula>0</formula>
    </cfRule>
  </conditionalFormatting>
  <conditionalFormatting sqref="BD19">
    <cfRule type="cellIs" dxfId="437" priority="389" operator="greaterThan">
      <formula>0</formula>
    </cfRule>
  </conditionalFormatting>
  <conditionalFormatting sqref="BD19">
    <cfRule type="cellIs" dxfId="436" priority="390" operator="lessThan">
      <formula>0</formula>
    </cfRule>
  </conditionalFormatting>
  <conditionalFormatting sqref="AX29:AX36">
    <cfRule type="cellIs" dxfId="435" priority="391" operator="greaterThan">
      <formula>0</formula>
    </cfRule>
  </conditionalFormatting>
  <conditionalFormatting sqref="AX29:AX36">
    <cfRule type="cellIs" dxfId="434" priority="392" operator="lessThan">
      <formula>0</formula>
    </cfRule>
  </conditionalFormatting>
  <conditionalFormatting sqref="BD23:BD24">
    <cfRule type="cellIs" dxfId="433" priority="393" operator="greaterThan">
      <formula>0</formula>
    </cfRule>
  </conditionalFormatting>
  <conditionalFormatting sqref="BD23:BD24">
    <cfRule type="cellIs" dxfId="432" priority="394" operator="lessThan">
      <formula>0</formula>
    </cfRule>
  </conditionalFormatting>
  <conditionalFormatting sqref="BD25:BD26">
    <cfRule type="cellIs" dxfId="431" priority="395" operator="greaterThan">
      <formula>0</formula>
    </cfRule>
  </conditionalFormatting>
  <conditionalFormatting sqref="BD25:BD26">
    <cfRule type="cellIs" dxfId="430" priority="396" operator="lessThan">
      <formula>0</formula>
    </cfRule>
  </conditionalFormatting>
  <conditionalFormatting sqref="AX61:AX76">
    <cfRule type="cellIs" dxfId="429" priority="397" operator="greaterThan">
      <formula>0</formula>
    </cfRule>
  </conditionalFormatting>
  <conditionalFormatting sqref="AX61:AX76">
    <cfRule type="cellIs" dxfId="428" priority="398" operator="lessThan">
      <formula>0</formula>
    </cfRule>
  </conditionalFormatting>
  <conditionalFormatting sqref="AX50:AX53 AX55:AX68">
    <cfRule type="cellIs" dxfId="427" priority="399" operator="greaterThan">
      <formula>0</formula>
    </cfRule>
  </conditionalFormatting>
  <conditionalFormatting sqref="AX50:AX53 AX55:AX68">
    <cfRule type="cellIs" dxfId="426" priority="400" operator="lessThan">
      <formula>0</formula>
    </cfRule>
  </conditionalFormatting>
  <conditionalFormatting sqref="AX50">
    <cfRule type="cellIs" dxfId="425" priority="401" operator="greaterThan">
      <formula>0</formula>
    </cfRule>
  </conditionalFormatting>
  <conditionalFormatting sqref="AX50">
    <cfRule type="cellIs" dxfId="424" priority="402" operator="lessThan">
      <formula>0</formula>
    </cfRule>
  </conditionalFormatting>
  <conditionalFormatting sqref="AX70">
    <cfRule type="cellIs" dxfId="423" priority="403" operator="greaterThan">
      <formula>0</formula>
    </cfRule>
  </conditionalFormatting>
  <conditionalFormatting sqref="AX70">
    <cfRule type="cellIs" dxfId="422" priority="404" operator="lessThan">
      <formula>0</formula>
    </cfRule>
  </conditionalFormatting>
  <conditionalFormatting sqref="AX35:AX47 AX50">
    <cfRule type="cellIs" dxfId="421" priority="405" operator="greaterThan">
      <formula>0</formula>
    </cfRule>
  </conditionalFormatting>
  <conditionalFormatting sqref="AX35:AX47 AX50">
    <cfRule type="cellIs" dxfId="420" priority="406" operator="lessThan">
      <formula>0</formula>
    </cfRule>
  </conditionalFormatting>
  <conditionalFormatting sqref="AX43:AX47 AX50">
    <cfRule type="cellIs" dxfId="419" priority="407" operator="greaterThan">
      <formula>0</formula>
    </cfRule>
  </conditionalFormatting>
  <conditionalFormatting sqref="AX43:AX47 AX50">
    <cfRule type="cellIs" dxfId="418" priority="408" operator="lessThan">
      <formula>0</formula>
    </cfRule>
  </conditionalFormatting>
  <conditionalFormatting sqref="AX69">
    <cfRule type="cellIs" dxfId="417" priority="409" operator="greaterThan">
      <formula>0</formula>
    </cfRule>
  </conditionalFormatting>
  <conditionalFormatting sqref="AX69">
    <cfRule type="cellIs" dxfId="416" priority="410" operator="lessThan">
      <formula>0</formula>
    </cfRule>
  </conditionalFormatting>
  <conditionalFormatting sqref="AX59">
    <cfRule type="cellIs" dxfId="415" priority="411" operator="greaterThan">
      <formula>0</formula>
    </cfRule>
  </conditionalFormatting>
  <conditionalFormatting sqref="AX59">
    <cfRule type="cellIs" dxfId="414" priority="412" operator="lessThan">
      <formula>0</formula>
    </cfRule>
  </conditionalFormatting>
  <conditionalFormatting sqref="AX47:AX50">
    <cfRule type="cellIs" dxfId="413" priority="413" operator="greaterThan">
      <formula>0</formula>
    </cfRule>
  </conditionalFormatting>
  <conditionalFormatting sqref="AX47:AX50">
    <cfRule type="cellIs" dxfId="412" priority="414" operator="lessThan">
      <formula>0</formula>
    </cfRule>
  </conditionalFormatting>
  <conditionalFormatting sqref="AX59">
    <cfRule type="cellIs" dxfId="411" priority="415" operator="greaterThan">
      <formula>0</formula>
    </cfRule>
  </conditionalFormatting>
  <conditionalFormatting sqref="AX59">
    <cfRule type="cellIs" dxfId="410" priority="416" operator="lessThan">
      <formula>0</formula>
    </cfRule>
  </conditionalFormatting>
  <conditionalFormatting sqref="AX60">
    <cfRule type="cellIs" dxfId="409" priority="417" operator="greaterThan">
      <formula>0</formula>
    </cfRule>
  </conditionalFormatting>
  <conditionalFormatting sqref="AX60">
    <cfRule type="cellIs" dxfId="408" priority="418" operator="lessThan">
      <formula>0</formula>
    </cfRule>
  </conditionalFormatting>
  <conditionalFormatting sqref="AX61:AX63">
    <cfRule type="cellIs" dxfId="407" priority="419" operator="greaterThan">
      <formula>0</formula>
    </cfRule>
  </conditionalFormatting>
  <conditionalFormatting sqref="AX61:AX63">
    <cfRule type="cellIs" dxfId="406" priority="420" operator="lessThan">
      <formula>0</formula>
    </cfRule>
  </conditionalFormatting>
  <conditionalFormatting sqref="AX63">
    <cfRule type="cellIs" dxfId="405" priority="421" operator="greaterThan">
      <formula>0</formula>
    </cfRule>
  </conditionalFormatting>
  <conditionalFormatting sqref="AX63">
    <cfRule type="cellIs" dxfId="404" priority="422" operator="lessThan">
      <formula>0</formula>
    </cfRule>
  </conditionalFormatting>
  <conditionalFormatting sqref="AX64:AX65">
    <cfRule type="cellIs" dxfId="403" priority="423" operator="greaterThan">
      <formula>0</formula>
    </cfRule>
  </conditionalFormatting>
  <conditionalFormatting sqref="AX64:AX65">
    <cfRule type="cellIs" dxfId="402" priority="424" operator="lessThan">
      <formula>0</formula>
    </cfRule>
  </conditionalFormatting>
  <conditionalFormatting sqref="AX52:AX54">
    <cfRule type="cellIs" dxfId="401" priority="425" operator="greaterThan">
      <formula>0</formula>
    </cfRule>
  </conditionalFormatting>
  <conditionalFormatting sqref="AX52:AX54">
    <cfRule type="cellIs" dxfId="400" priority="426" operator="lessThan">
      <formula>0</formula>
    </cfRule>
  </conditionalFormatting>
  <conditionalFormatting sqref="AX65">
    <cfRule type="cellIs" dxfId="399" priority="427" operator="greaterThan">
      <formula>0</formula>
    </cfRule>
  </conditionalFormatting>
  <conditionalFormatting sqref="AX65">
    <cfRule type="cellIs" dxfId="398" priority="428" operator="lessThan">
      <formula>0</formula>
    </cfRule>
  </conditionalFormatting>
  <conditionalFormatting sqref="AX64">
    <cfRule type="cellIs" dxfId="397" priority="429" operator="greaterThan">
      <formula>0</formula>
    </cfRule>
  </conditionalFormatting>
  <conditionalFormatting sqref="AX64">
    <cfRule type="cellIs" dxfId="396" priority="430" operator="lessThan">
      <formula>0</formula>
    </cfRule>
  </conditionalFormatting>
  <conditionalFormatting sqref="AX54">
    <cfRule type="cellIs" dxfId="395" priority="431" operator="greaterThan">
      <formula>0</formula>
    </cfRule>
  </conditionalFormatting>
  <conditionalFormatting sqref="AX54">
    <cfRule type="cellIs" dxfId="394" priority="432" operator="lessThan">
      <formula>0</formula>
    </cfRule>
  </conditionalFormatting>
  <conditionalFormatting sqref="AX54">
    <cfRule type="cellIs" dxfId="393" priority="433" operator="greaterThan">
      <formula>0</formula>
    </cfRule>
  </conditionalFormatting>
  <conditionalFormatting sqref="AX54">
    <cfRule type="cellIs" dxfId="392" priority="434" operator="lessThan">
      <formula>0</formula>
    </cfRule>
  </conditionalFormatting>
  <conditionalFormatting sqref="AX55:AX68">
    <cfRule type="cellIs" dxfId="391" priority="435" operator="greaterThan">
      <formula>0</formula>
    </cfRule>
  </conditionalFormatting>
  <conditionalFormatting sqref="AX55:AX68">
    <cfRule type="cellIs" dxfId="390" priority="436" operator="lessThan">
      <formula>0</formula>
    </cfRule>
  </conditionalFormatting>
  <conditionalFormatting sqref="AX56:AX58">
    <cfRule type="cellIs" dxfId="389" priority="437" operator="greaterThan">
      <formula>0</formula>
    </cfRule>
  </conditionalFormatting>
  <conditionalFormatting sqref="AX56:AX58">
    <cfRule type="cellIs" dxfId="388" priority="438" operator="lessThan">
      <formula>0</formula>
    </cfRule>
  </conditionalFormatting>
  <conditionalFormatting sqref="AX58">
    <cfRule type="cellIs" dxfId="387" priority="439" operator="greaterThan">
      <formula>0</formula>
    </cfRule>
  </conditionalFormatting>
  <conditionalFormatting sqref="AX58">
    <cfRule type="cellIs" dxfId="386" priority="440" operator="lessThan">
      <formula>0</formula>
    </cfRule>
  </conditionalFormatting>
  <conditionalFormatting sqref="AX59:AX60">
    <cfRule type="cellIs" dxfId="385" priority="441" operator="greaterThan">
      <formula>0</formula>
    </cfRule>
  </conditionalFormatting>
  <conditionalFormatting sqref="AX59:AX60">
    <cfRule type="cellIs" dxfId="384" priority="442" operator="lessThan">
      <formula>0</formula>
    </cfRule>
  </conditionalFormatting>
  <conditionalFormatting sqref="BD28:BD29 BD34:BD36 BD38:BD68">
    <cfRule type="cellIs" dxfId="383" priority="443" operator="greaterThan">
      <formula>0</formula>
    </cfRule>
  </conditionalFormatting>
  <conditionalFormatting sqref="BD28:BD29 BD34:BD36 BD38:BD68">
    <cfRule type="cellIs" dxfId="382" priority="444" operator="lessThan">
      <formula>0</formula>
    </cfRule>
  </conditionalFormatting>
  <conditionalFormatting sqref="BD30:BD33">
    <cfRule type="cellIs" dxfId="381" priority="445" operator="greaterThan">
      <formula>0</formula>
    </cfRule>
  </conditionalFormatting>
  <conditionalFormatting sqref="BD30:BD33">
    <cfRule type="cellIs" dxfId="380" priority="446" operator="lessThan">
      <formula>0</formula>
    </cfRule>
  </conditionalFormatting>
  <conditionalFormatting sqref="BD57">
    <cfRule type="cellIs" dxfId="379" priority="447" operator="greaterThan">
      <formula>0</formula>
    </cfRule>
  </conditionalFormatting>
  <conditionalFormatting sqref="BD57">
    <cfRule type="cellIs" dxfId="378" priority="448" operator="lessThan">
      <formula>0</formula>
    </cfRule>
  </conditionalFormatting>
  <conditionalFormatting sqref="BD37">
    <cfRule type="cellIs" dxfId="377" priority="449" operator="greaterThan">
      <formula>0</formula>
    </cfRule>
  </conditionalFormatting>
  <conditionalFormatting sqref="BD37">
    <cfRule type="cellIs" dxfId="376" priority="450" operator="lessThan">
      <formula>0</formula>
    </cfRule>
  </conditionalFormatting>
  <conditionalFormatting sqref="AX5:AX14">
    <cfRule type="cellIs" dxfId="375" priority="451" operator="greaterThan">
      <formula>0</formula>
    </cfRule>
  </conditionalFormatting>
  <conditionalFormatting sqref="AX5:AX14">
    <cfRule type="cellIs" dxfId="374" priority="452" operator="lessThan">
      <formula>0</formula>
    </cfRule>
  </conditionalFormatting>
  <conditionalFormatting sqref="AX13">
    <cfRule type="cellIs" dxfId="373" priority="453" operator="greaterThan">
      <formula>0</formula>
    </cfRule>
  </conditionalFormatting>
  <conditionalFormatting sqref="AX13">
    <cfRule type="cellIs" dxfId="372" priority="454" operator="lessThan">
      <formula>0</formula>
    </cfRule>
  </conditionalFormatting>
  <conditionalFormatting sqref="B65:B72">
    <cfRule type="cellIs" dxfId="371" priority="455" operator="greaterThan">
      <formula>0</formula>
    </cfRule>
  </conditionalFormatting>
  <conditionalFormatting sqref="B65:B72">
    <cfRule type="cellIs" dxfId="370" priority="456" operator="lessThan">
      <formula>0</formula>
    </cfRule>
  </conditionalFormatting>
  <conditionalFormatting sqref="BJ3:BJ76">
    <cfRule type="cellIs" dxfId="369" priority="457" operator="greaterThan">
      <formula>0</formula>
    </cfRule>
  </conditionalFormatting>
  <conditionalFormatting sqref="BJ3:BJ76">
    <cfRule type="cellIs" dxfId="368" priority="458" operator="lessThan">
      <formula>0</formula>
    </cfRule>
  </conditionalFormatting>
  <conditionalFormatting sqref="AX21">
    <cfRule type="cellIs" dxfId="367" priority="459" operator="greaterThan">
      <formula>0</formula>
    </cfRule>
  </conditionalFormatting>
  <conditionalFormatting sqref="AX21">
    <cfRule type="cellIs" dxfId="366" priority="460" operator="lessThan">
      <formula>0</formula>
    </cfRule>
  </conditionalFormatting>
  <conditionalFormatting sqref="AX21">
    <cfRule type="cellIs" dxfId="365" priority="461" operator="greaterThan">
      <formula>0</formula>
    </cfRule>
  </conditionalFormatting>
  <conditionalFormatting sqref="AX21">
    <cfRule type="cellIs" dxfId="364" priority="462" operator="lessThan">
      <formula>0</formula>
    </cfRule>
  </conditionalFormatting>
  <conditionalFormatting sqref="AX14">
    <cfRule type="cellIs" dxfId="363" priority="463" operator="greaterThan">
      <formula>0</formula>
    </cfRule>
  </conditionalFormatting>
  <conditionalFormatting sqref="AX14">
    <cfRule type="cellIs" dxfId="362" priority="464" operator="lessThan">
      <formula>0</formula>
    </cfRule>
  </conditionalFormatting>
  <conditionalFormatting sqref="AX22">
    <cfRule type="cellIs" dxfId="361" priority="465" operator="greaterThan">
      <formula>0</formula>
    </cfRule>
  </conditionalFormatting>
  <conditionalFormatting sqref="AX22">
    <cfRule type="cellIs" dxfId="360" priority="466" operator="lessThan">
      <formula>0</formula>
    </cfRule>
  </conditionalFormatting>
  <conditionalFormatting sqref="AX22">
    <cfRule type="cellIs" dxfId="359" priority="467" operator="greaterThan">
      <formula>0</formula>
    </cfRule>
  </conditionalFormatting>
  <conditionalFormatting sqref="AX22">
    <cfRule type="cellIs" dxfId="358" priority="468" operator="lessThan">
      <formula>0</formula>
    </cfRule>
  </conditionalFormatting>
  <conditionalFormatting sqref="B64">
    <cfRule type="cellIs" dxfId="357" priority="469" operator="greaterThan">
      <formula>0</formula>
    </cfRule>
  </conditionalFormatting>
  <conditionalFormatting sqref="B64">
    <cfRule type="cellIs" dxfId="356" priority="470" operator="lessThan">
      <formula>0</formula>
    </cfRule>
  </conditionalFormatting>
  <conditionalFormatting sqref="B41 B43:B72 AF3:AF42">
    <cfRule type="cellIs" dxfId="355" priority="471" operator="greaterThan">
      <formula>0</formula>
    </cfRule>
  </conditionalFormatting>
  <conditionalFormatting sqref="B41 B43:B72 AF3:AF42">
    <cfRule type="cellIs" dxfId="354" priority="472" operator="lessThan">
      <formula>0</formula>
    </cfRule>
  </conditionalFormatting>
  <conditionalFormatting sqref="B41 B43:B72">
    <cfRule type="cellIs" dxfId="353" priority="473" operator="greaterThan">
      <formula>0</formula>
    </cfRule>
  </conditionalFormatting>
  <conditionalFormatting sqref="B41 B43:B72">
    <cfRule type="cellIs" dxfId="352" priority="474" operator="lessThan">
      <formula>0</formula>
    </cfRule>
  </conditionalFormatting>
  <conditionalFormatting sqref="B29">
    <cfRule type="cellIs" dxfId="351" priority="475" operator="greaterThan">
      <formula>0</formula>
    </cfRule>
  </conditionalFormatting>
  <conditionalFormatting sqref="B29">
    <cfRule type="cellIs" dxfId="350" priority="476" operator="lessThan">
      <formula>0</formula>
    </cfRule>
  </conditionalFormatting>
  <conditionalFormatting sqref="AX3">
    <cfRule type="cellIs" dxfId="349" priority="477" operator="greaterThan">
      <formula>0</formula>
    </cfRule>
  </conditionalFormatting>
  <conditionalFormatting sqref="AX3">
    <cfRule type="cellIs" dxfId="348" priority="478" operator="lessThan">
      <formula>0</formula>
    </cfRule>
  </conditionalFormatting>
  <conditionalFormatting sqref="AX4">
    <cfRule type="cellIs" dxfId="347" priority="479" operator="greaterThan">
      <formula>0</formula>
    </cfRule>
  </conditionalFormatting>
  <conditionalFormatting sqref="AX4">
    <cfRule type="cellIs" dxfId="346" priority="480" operator="lessThan">
      <formula>0</formula>
    </cfRule>
  </conditionalFormatting>
  <conditionalFormatting sqref="BD3">
    <cfRule type="cellIs" dxfId="345" priority="481" operator="greaterThan">
      <formula>0</formula>
    </cfRule>
  </conditionalFormatting>
  <conditionalFormatting sqref="BD3">
    <cfRule type="cellIs" dxfId="344" priority="482" operator="lessThan">
      <formula>0</formula>
    </cfRule>
  </conditionalFormatting>
  <conditionalFormatting sqref="T3:T42 AF3:AF42">
    <cfRule type="cellIs" dxfId="343" priority="483" operator="greaterThan">
      <formula>0</formula>
    </cfRule>
  </conditionalFormatting>
  <conditionalFormatting sqref="T3:T42 AF3:AF42">
    <cfRule type="cellIs" dxfId="342" priority="484" operator="lessThan">
      <formula>0</formula>
    </cfRule>
  </conditionalFormatting>
  <conditionalFormatting sqref="Q37">
    <cfRule type="cellIs" dxfId="341" priority="485" operator="lessThan">
      <formula>0</formula>
    </cfRule>
  </conditionalFormatting>
  <conditionalFormatting sqref="Q37">
    <cfRule type="cellIs" dxfId="340" priority="486" operator="greaterThan">
      <formula>0</formula>
    </cfRule>
  </conditionalFormatting>
  <conditionalFormatting sqref="I3:I37">
    <cfRule type="cellIs" dxfId="339" priority="353" operator="lessThan">
      <formula>0</formula>
    </cfRule>
    <cfRule type="cellIs" dxfId="338" priority="354" operator="greaterThan">
      <formula>0</formula>
    </cfRule>
  </conditionalFormatting>
  <conditionalFormatting sqref="I41:I72">
    <cfRule type="cellIs" dxfId="337" priority="351" operator="lessThan">
      <formula>0</formula>
    </cfRule>
    <cfRule type="cellIs" dxfId="336" priority="352" operator="greaterThan">
      <formula>0</formula>
    </cfRule>
  </conditionalFormatting>
  <conditionalFormatting sqref="I76">
    <cfRule type="cellIs" dxfId="335" priority="349" operator="lessThan">
      <formula>0</formula>
    </cfRule>
    <cfRule type="cellIs" dxfId="334" priority="350" operator="greaterThan">
      <formula>0</formula>
    </cfRule>
  </conditionalFormatting>
  <conditionalFormatting sqref="B5:B6">
    <cfRule type="cellIs" dxfId="333" priority="345" operator="greaterThan">
      <formula>0</formula>
    </cfRule>
  </conditionalFormatting>
  <conditionalFormatting sqref="B5:B6">
    <cfRule type="cellIs" dxfId="332" priority="346" operator="lessThan">
      <formula>0</formula>
    </cfRule>
  </conditionalFormatting>
  <conditionalFormatting sqref="B5:B6">
    <cfRule type="cellIs" dxfId="331" priority="347" operator="greaterThan">
      <formula>0</formula>
    </cfRule>
  </conditionalFormatting>
  <conditionalFormatting sqref="B5:B6">
    <cfRule type="cellIs" dxfId="330" priority="348" operator="lessThan">
      <formula>0</formula>
    </cfRule>
  </conditionalFormatting>
  <conditionalFormatting sqref="K4:L4 K7:L7 K10:L10 K13:L13 K16:L16 K19:L19 K22:L22 K25:L25 K28:L28 K31:L31 K34:L34">
    <cfRule type="cellIs" dxfId="329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328" priority="343" operator="greaterThan">
      <formula>0</formula>
    </cfRule>
  </conditionalFormatting>
  <conditionalFormatting sqref="AE43">
    <cfRule type="cellIs" dxfId="327" priority="340" operator="greaterThan">
      <formula>0</formula>
    </cfRule>
  </conditionalFormatting>
  <conditionalFormatting sqref="AE43">
    <cfRule type="cellIs" dxfId="326" priority="341" operator="lessThan">
      <formula>0</formula>
    </cfRule>
  </conditionalFormatting>
  <conditionalFormatting sqref="Q38">
    <cfRule type="cellIs" dxfId="325" priority="339" operator="lessThan">
      <formula>0</formula>
    </cfRule>
  </conditionalFormatting>
  <conditionalFormatting sqref="Q39">
    <cfRule type="cellIs" dxfId="324" priority="338" operator="lessThan">
      <formula>0</formula>
    </cfRule>
  </conditionalFormatting>
  <conditionalFormatting sqref="J4 J7 J10 J13 J16 J19 J22 J25 J28 J31 J34">
    <cfRule type="cellIs" dxfId="323" priority="337" operator="greaterThan">
      <formula>1.49</formula>
    </cfRule>
  </conditionalFormatting>
  <conditionalFormatting sqref="AD3:AD42">
    <cfRule type="cellIs" dxfId="322" priority="336" operator="equal">
      <formula>0</formula>
    </cfRule>
  </conditionalFormatting>
  <conditionalFormatting sqref="AP3:AP42">
    <cfRule type="cellIs" dxfId="321" priority="335" operator="equal">
      <formula>0</formula>
    </cfRule>
  </conditionalFormatting>
  <conditionalFormatting sqref="AP15:AP42">
    <cfRule type="cellIs" dxfId="320" priority="334" operator="equal">
      <formula>0</formula>
    </cfRule>
  </conditionalFormatting>
  <conditionalFormatting sqref="B42">
    <cfRule type="cellIs" dxfId="319" priority="328" operator="greaterThan">
      <formula>0</formula>
    </cfRule>
  </conditionalFormatting>
  <conditionalFormatting sqref="B42">
    <cfRule type="cellIs" dxfId="318" priority="329" operator="lessThan">
      <formula>0</formula>
    </cfRule>
  </conditionalFormatting>
  <conditionalFormatting sqref="B42">
    <cfRule type="cellIs" dxfId="317" priority="330" operator="greaterThan">
      <formula>0</formula>
    </cfRule>
  </conditionalFormatting>
  <conditionalFormatting sqref="B42">
    <cfRule type="cellIs" dxfId="316" priority="331" operator="lessThan">
      <formula>0</formula>
    </cfRule>
  </conditionalFormatting>
  <conditionalFormatting sqref="B42">
    <cfRule type="cellIs" dxfId="315" priority="332" operator="greaterThan">
      <formula>0</formula>
    </cfRule>
  </conditionalFormatting>
  <conditionalFormatting sqref="B42">
    <cfRule type="cellIs" dxfId="314" priority="333" operator="lessThan">
      <formula>0</formula>
    </cfRule>
  </conditionalFormatting>
  <conditionalFormatting sqref="S3:S42">
    <cfRule type="expression" dxfId="313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312" priority="488" operator="greaterThan">
      <formula>0</formula>
    </cfRule>
  </conditionalFormatting>
  <conditionalFormatting sqref="S3:S42">
    <cfRule type="expression" dxfId="311" priority="325">
      <formula>$O$18-$U3&gt;0</formula>
    </cfRule>
  </conditionalFormatting>
  <conditionalFormatting sqref="AA3:AA42">
    <cfRule type="cellIs" dxfId="310" priority="323" operator="lessThan">
      <formula>V3</formula>
    </cfRule>
    <cfRule type="cellIs" dxfId="309" priority="324" operator="equal">
      <formula>0</formula>
    </cfRule>
  </conditionalFormatting>
  <conditionalFormatting sqref="BD5">
    <cfRule type="cellIs" dxfId="308" priority="319" operator="greaterThan">
      <formula>0</formula>
    </cfRule>
  </conditionalFormatting>
  <conditionalFormatting sqref="BD5">
    <cfRule type="cellIs" dxfId="307" priority="320" operator="lessThan">
      <formula>0</formula>
    </cfRule>
  </conditionalFormatting>
  <conditionalFormatting sqref="BD4">
    <cfRule type="cellIs" dxfId="306" priority="317" operator="greaterThan">
      <formula>0</formula>
    </cfRule>
  </conditionalFormatting>
  <conditionalFormatting sqref="BD4">
    <cfRule type="cellIs" dxfId="305" priority="318" operator="lessThan">
      <formula>0</formula>
    </cfRule>
  </conditionalFormatting>
  <conditionalFormatting sqref="AE3:AE42">
    <cfRule type="expression" dxfId="304" priority="316">
      <formula>$O$18-$AG3&gt;0</formula>
    </cfRule>
  </conditionalFormatting>
  <conditionalFormatting sqref="AE3:AE42">
    <cfRule type="expression" dxfId="303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302" priority="313" operator="equal">
      <formula>0</formula>
    </cfRule>
  </conditionalFormatting>
  <conditionalFormatting sqref="B14">
    <cfRule type="cellIs" dxfId="301" priority="306" operator="greaterThan">
      <formula>0</formula>
    </cfRule>
  </conditionalFormatting>
  <conditionalFormatting sqref="B14">
    <cfRule type="cellIs" dxfId="300" priority="307" operator="lessThan">
      <formula>0</formula>
    </cfRule>
  </conditionalFormatting>
  <conditionalFormatting sqref="B14">
    <cfRule type="cellIs" dxfId="299" priority="308" operator="greaterThan">
      <formula>0</formula>
    </cfRule>
  </conditionalFormatting>
  <conditionalFormatting sqref="B14">
    <cfRule type="cellIs" dxfId="298" priority="309" operator="lessThan">
      <formula>0</formula>
    </cfRule>
  </conditionalFormatting>
  <conditionalFormatting sqref="B13">
    <cfRule type="cellIs" dxfId="297" priority="302" operator="greaterThan">
      <formula>0</formula>
    </cfRule>
  </conditionalFormatting>
  <conditionalFormatting sqref="B13">
    <cfRule type="cellIs" dxfId="296" priority="303" operator="lessThan">
      <formula>0</formula>
    </cfRule>
  </conditionalFormatting>
  <conditionalFormatting sqref="B13">
    <cfRule type="cellIs" dxfId="295" priority="304" operator="greaterThan">
      <formula>0</formula>
    </cfRule>
  </conditionalFormatting>
  <conditionalFormatting sqref="B13">
    <cfRule type="cellIs" dxfId="294" priority="305" operator="lessThan">
      <formula>0</formula>
    </cfRule>
  </conditionalFormatting>
  <conditionalFormatting sqref="B17:B18">
    <cfRule type="cellIs" dxfId="293" priority="298" operator="greaterThan">
      <formula>0</formula>
    </cfRule>
  </conditionalFormatting>
  <conditionalFormatting sqref="B17:B18">
    <cfRule type="cellIs" dxfId="292" priority="299" operator="lessThan">
      <formula>0</formula>
    </cfRule>
  </conditionalFormatting>
  <conditionalFormatting sqref="B17:B18">
    <cfRule type="cellIs" dxfId="291" priority="300" operator="greaterThan">
      <formula>0</formula>
    </cfRule>
  </conditionalFormatting>
  <conditionalFormatting sqref="B17:B18">
    <cfRule type="cellIs" dxfId="290" priority="301" operator="lessThan">
      <formula>0</formula>
    </cfRule>
  </conditionalFormatting>
  <conditionalFormatting sqref="B13:B14">
    <cfRule type="cellIs" dxfId="289" priority="294" operator="greaterThan">
      <formula>0</formula>
    </cfRule>
  </conditionalFormatting>
  <conditionalFormatting sqref="B13:B14">
    <cfRule type="cellIs" dxfId="288" priority="295" operator="lessThan">
      <formula>0</formula>
    </cfRule>
  </conditionalFormatting>
  <conditionalFormatting sqref="B13:B14">
    <cfRule type="cellIs" dxfId="287" priority="296" operator="greaterThan">
      <formula>0</formula>
    </cfRule>
  </conditionalFormatting>
  <conditionalFormatting sqref="B13:B14">
    <cfRule type="cellIs" dxfId="286" priority="297" operator="lessThan">
      <formula>0</formula>
    </cfRule>
  </conditionalFormatting>
  <conditionalFormatting sqref="B5:B6">
    <cfRule type="cellIs" dxfId="285" priority="290" operator="greaterThan">
      <formula>0</formula>
    </cfRule>
  </conditionalFormatting>
  <conditionalFormatting sqref="B5:B6">
    <cfRule type="cellIs" dxfId="284" priority="291" operator="lessThan">
      <formula>0</formula>
    </cfRule>
  </conditionalFormatting>
  <conditionalFormatting sqref="B5:B6">
    <cfRule type="cellIs" dxfId="283" priority="292" operator="greaterThan">
      <formula>0</formula>
    </cfRule>
  </conditionalFormatting>
  <conditionalFormatting sqref="B5:B6">
    <cfRule type="cellIs" dxfId="282" priority="293" operator="lessThan">
      <formula>0</formula>
    </cfRule>
  </conditionalFormatting>
  <conditionalFormatting sqref="B12">
    <cfRule type="cellIs" dxfId="281" priority="230" operator="greaterThan">
      <formula>0</formula>
    </cfRule>
  </conditionalFormatting>
  <conditionalFormatting sqref="B12">
    <cfRule type="cellIs" dxfId="280" priority="231" operator="lessThan">
      <formula>0</formula>
    </cfRule>
  </conditionalFormatting>
  <conditionalFormatting sqref="B12">
    <cfRule type="cellIs" dxfId="279" priority="232" operator="greaterThan">
      <formula>0</formula>
    </cfRule>
  </conditionalFormatting>
  <conditionalFormatting sqref="B12">
    <cfRule type="cellIs" dxfId="278" priority="233" operator="lessThan">
      <formula>0</formula>
    </cfRule>
  </conditionalFormatting>
  <conditionalFormatting sqref="B15:B16">
    <cfRule type="cellIs" dxfId="277" priority="286" operator="greaterThan">
      <formula>0</formula>
    </cfRule>
  </conditionalFormatting>
  <conditionalFormatting sqref="B15:B16">
    <cfRule type="cellIs" dxfId="276" priority="287" operator="lessThan">
      <formula>0</formula>
    </cfRule>
  </conditionalFormatting>
  <conditionalFormatting sqref="B15:B16">
    <cfRule type="cellIs" dxfId="275" priority="288" operator="greaterThan">
      <formula>0</formula>
    </cfRule>
  </conditionalFormatting>
  <conditionalFormatting sqref="B15:B16">
    <cfRule type="cellIs" dxfId="274" priority="289" operator="lessThan">
      <formula>0</formula>
    </cfRule>
  </conditionalFormatting>
  <conditionalFormatting sqref="B16">
    <cfRule type="cellIs" dxfId="273" priority="282" operator="greaterThan">
      <formula>0</formula>
    </cfRule>
  </conditionalFormatting>
  <conditionalFormatting sqref="B16">
    <cfRule type="cellIs" dxfId="272" priority="283" operator="lessThan">
      <formula>0</formula>
    </cfRule>
  </conditionalFormatting>
  <conditionalFormatting sqref="B16">
    <cfRule type="cellIs" dxfId="271" priority="284" operator="greaterThan">
      <formula>0</formula>
    </cfRule>
  </conditionalFormatting>
  <conditionalFormatting sqref="B16">
    <cfRule type="cellIs" dxfId="270" priority="285" operator="lessThan">
      <formula>0</formula>
    </cfRule>
  </conditionalFormatting>
  <conditionalFormatting sqref="B16">
    <cfRule type="cellIs" dxfId="269" priority="278" operator="greaterThan">
      <formula>0</formula>
    </cfRule>
  </conditionalFormatting>
  <conditionalFormatting sqref="B16">
    <cfRule type="cellIs" dxfId="268" priority="279" operator="lessThan">
      <formula>0</formula>
    </cfRule>
  </conditionalFormatting>
  <conditionalFormatting sqref="B16">
    <cfRule type="cellIs" dxfId="267" priority="280" operator="greaterThan">
      <formula>0</formula>
    </cfRule>
  </conditionalFormatting>
  <conditionalFormatting sqref="B16">
    <cfRule type="cellIs" dxfId="266" priority="281" operator="lessThan">
      <formula>0</formula>
    </cfRule>
  </conditionalFormatting>
  <conditionalFormatting sqref="B15">
    <cfRule type="cellIs" dxfId="265" priority="274" operator="greaterThan">
      <formula>0</formula>
    </cfRule>
  </conditionalFormatting>
  <conditionalFormatting sqref="B15">
    <cfRule type="cellIs" dxfId="264" priority="275" operator="lessThan">
      <formula>0</formula>
    </cfRule>
  </conditionalFormatting>
  <conditionalFormatting sqref="B15">
    <cfRule type="cellIs" dxfId="263" priority="276" operator="greaterThan">
      <formula>0</formula>
    </cfRule>
  </conditionalFormatting>
  <conditionalFormatting sqref="B15">
    <cfRule type="cellIs" dxfId="262" priority="277" operator="lessThan">
      <formula>0</formula>
    </cfRule>
  </conditionalFormatting>
  <conditionalFormatting sqref="B15:B16">
    <cfRule type="cellIs" dxfId="261" priority="270" operator="greaterThan">
      <formula>0</formula>
    </cfRule>
  </conditionalFormatting>
  <conditionalFormatting sqref="B15:B16">
    <cfRule type="cellIs" dxfId="260" priority="271" operator="lessThan">
      <formula>0</formula>
    </cfRule>
  </conditionalFormatting>
  <conditionalFormatting sqref="B15:B16">
    <cfRule type="cellIs" dxfId="259" priority="272" operator="greaterThan">
      <formula>0</formula>
    </cfRule>
  </conditionalFormatting>
  <conditionalFormatting sqref="B15:B16">
    <cfRule type="cellIs" dxfId="258" priority="273" operator="lessThan">
      <formula>0</formula>
    </cfRule>
  </conditionalFormatting>
  <conditionalFormatting sqref="B15:B16">
    <cfRule type="cellIs" dxfId="257" priority="266" operator="greaterThan">
      <formula>0</formula>
    </cfRule>
  </conditionalFormatting>
  <conditionalFormatting sqref="B15:B16">
    <cfRule type="cellIs" dxfId="256" priority="267" operator="lessThan">
      <formula>0</formula>
    </cfRule>
  </conditionalFormatting>
  <conditionalFormatting sqref="B15:B16">
    <cfRule type="cellIs" dxfId="255" priority="268" operator="greaterThan">
      <formula>0</formula>
    </cfRule>
  </conditionalFormatting>
  <conditionalFormatting sqref="B15:B16">
    <cfRule type="cellIs" dxfId="254" priority="269" operator="lessThan">
      <formula>0</formula>
    </cfRule>
  </conditionalFormatting>
  <conditionalFormatting sqref="B11:B12">
    <cfRule type="cellIs" dxfId="253" priority="262" operator="greaterThan">
      <formula>0</formula>
    </cfRule>
  </conditionalFormatting>
  <conditionalFormatting sqref="B11:B12">
    <cfRule type="cellIs" dxfId="252" priority="263" operator="lessThan">
      <formula>0</formula>
    </cfRule>
  </conditionalFormatting>
  <conditionalFormatting sqref="B11:B12">
    <cfRule type="cellIs" dxfId="251" priority="264" operator="greaterThan">
      <formula>0</formula>
    </cfRule>
  </conditionalFormatting>
  <conditionalFormatting sqref="B11:B12">
    <cfRule type="cellIs" dxfId="250" priority="265" operator="lessThan">
      <formula>0</formula>
    </cfRule>
  </conditionalFormatting>
  <conditionalFormatting sqref="B11">
    <cfRule type="cellIs" dxfId="249" priority="258" operator="greaterThan">
      <formula>0</formula>
    </cfRule>
  </conditionalFormatting>
  <conditionalFormatting sqref="B11">
    <cfRule type="cellIs" dxfId="248" priority="259" operator="lessThan">
      <formula>0</formula>
    </cfRule>
  </conditionalFormatting>
  <conditionalFormatting sqref="B11">
    <cfRule type="cellIs" dxfId="247" priority="260" operator="greaterThan">
      <formula>0</formula>
    </cfRule>
  </conditionalFormatting>
  <conditionalFormatting sqref="B11">
    <cfRule type="cellIs" dxfId="246" priority="261" operator="lessThan">
      <formula>0</formula>
    </cfRule>
  </conditionalFormatting>
  <conditionalFormatting sqref="B12">
    <cfRule type="cellIs" dxfId="245" priority="254" operator="greaterThan">
      <formula>0</formula>
    </cfRule>
  </conditionalFormatting>
  <conditionalFormatting sqref="B12">
    <cfRule type="cellIs" dxfId="244" priority="255" operator="lessThan">
      <formula>0</formula>
    </cfRule>
  </conditionalFormatting>
  <conditionalFormatting sqref="B12">
    <cfRule type="cellIs" dxfId="243" priority="256" operator="greaterThan">
      <formula>0</formula>
    </cfRule>
  </conditionalFormatting>
  <conditionalFormatting sqref="B12">
    <cfRule type="cellIs" dxfId="242" priority="257" operator="lessThan">
      <formula>0</formula>
    </cfRule>
  </conditionalFormatting>
  <conditionalFormatting sqref="B5:B6">
    <cfRule type="cellIs" dxfId="241" priority="250" operator="greaterThan">
      <formula>0</formula>
    </cfRule>
  </conditionalFormatting>
  <conditionalFormatting sqref="B5:B6">
    <cfRule type="cellIs" dxfId="240" priority="251" operator="lessThan">
      <formula>0</formula>
    </cfRule>
  </conditionalFormatting>
  <conditionalFormatting sqref="B5:B6">
    <cfRule type="cellIs" dxfId="239" priority="252" operator="greaterThan">
      <formula>0</formula>
    </cfRule>
  </conditionalFormatting>
  <conditionalFormatting sqref="B5:B6">
    <cfRule type="cellIs" dxfId="238" priority="253" operator="lessThan">
      <formula>0</formula>
    </cfRule>
  </conditionalFormatting>
  <conditionalFormatting sqref="B5:B6">
    <cfRule type="cellIs" dxfId="237" priority="246" operator="greaterThan">
      <formula>0</formula>
    </cfRule>
  </conditionalFormatting>
  <conditionalFormatting sqref="B5:B6">
    <cfRule type="cellIs" dxfId="236" priority="247" operator="lessThan">
      <formula>0</formula>
    </cfRule>
  </conditionalFormatting>
  <conditionalFormatting sqref="B5:B6">
    <cfRule type="cellIs" dxfId="235" priority="248" operator="greaterThan">
      <formula>0</formula>
    </cfRule>
  </conditionalFormatting>
  <conditionalFormatting sqref="B5:B6">
    <cfRule type="cellIs" dxfId="234" priority="249" operator="lessThan">
      <formula>0</formula>
    </cfRule>
  </conditionalFormatting>
  <conditionalFormatting sqref="B5:B6">
    <cfRule type="cellIs" dxfId="233" priority="242" operator="greaterThan">
      <formula>0</formula>
    </cfRule>
  </conditionalFormatting>
  <conditionalFormatting sqref="B5:B6">
    <cfRule type="cellIs" dxfId="232" priority="243" operator="lessThan">
      <formula>0</formula>
    </cfRule>
  </conditionalFormatting>
  <conditionalFormatting sqref="B5:B6">
    <cfRule type="cellIs" dxfId="231" priority="244" operator="greaterThan">
      <formula>0</formula>
    </cfRule>
  </conditionalFormatting>
  <conditionalFormatting sqref="B5:B6">
    <cfRule type="cellIs" dxfId="230" priority="245" operator="lessThan">
      <formula>0</formula>
    </cfRule>
  </conditionalFormatting>
  <conditionalFormatting sqref="B11:B12">
    <cfRule type="cellIs" dxfId="229" priority="238" operator="greaterThan">
      <formula>0</formula>
    </cfRule>
  </conditionalFormatting>
  <conditionalFormatting sqref="B11:B12">
    <cfRule type="cellIs" dxfId="228" priority="239" operator="lessThan">
      <formula>0</formula>
    </cfRule>
  </conditionalFormatting>
  <conditionalFormatting sqref="B11:B12">
    <cfRule type="cellIs" dxfId="227" priority="240" operator="greaterThan">
      <formula>0</formula>
    </cfRule>
  </conditionalFormatting>
  <conditionalFormatting sqref="B11:B12">
    <cfRule type="cellIs" dxfId="226" priority="241" operator="lessThan">
      <formula>0</formula>
    </cfRule>
  </conditionalFormatting>
  <conditionalFormatting sqref="B12">
    <cfRule type="cellIs" dxfId="225" priority="234" operator="greaterThan">
      <formula>0</formula>
    </cfRule>
  </conditionalFormatting>
  <conditionalFormatting sqref="B12">
    <cfRule type="cellIs" dxfId="224" priority="235" operator="lessThan">
      <formula>0</formula>
    </cfRule>
  </conditionalFormatting>
  <conditionalFormatting sqref="B12">
    <cfRule type="cellIs" dxfId="223" priority="236" operator="greaterThan">
      <formula>0</formula>
    </cfRule>
  </conditionalFormatting>
  <conditionalFormatting sqref="B12">
    <cfRule type="cellIs" dxfId="222" priority="237" operator="lessThan">
      <formula>0</formula>
    </cfRule>
  </conditionalFormatting>
  <conditionalFormatting sqref="B11">
    <cfRule type="cellIs" dxfId="221" priority="226" operator="greaterThan">
      <formula>0</formula>
    </cfRule>
  </conditionalFormatting>
  <conditionalFormatting sqref="B11">
    <cfRule type="cellIs" dxfId="220" priority="227" operator="lessThan">
      <formula>0</formula>
    </cfRule>
  </conditionalFormatting>
  <conditionalFormatting sqref="B11">
    <cfRule type="cellIs" dxfId="219" priority="228" operator="greaterThan">
      <formula>0</formula>
    </cfRule>
  </conditionalFormatting>
  <conditionalFormatting sqref="B11">
    <cfRule type="cellIs" dxfId="218" priority="229" operator="lessThan">
      <formula>0</formula>
    </cfRule>
  </conditionalFormatting>
  <conditionalFormatting sqref="B11:B12">
    <cfRule type="cellIs" dxfId="217" priority="222" operator="greaterThan">
      <formula>0</formula>
    </cfRule>
  </conditionalFormatting>
  <conditionalFormatting sqref="B11:B12">
    <cfRule type="cellIs" dxfId="216" priority="223" operator="lessThan">
      <formula>0</formula>
    </cfRule>
  </conditionalFormatting>
  <conditionalFormatting sqref="B11:B12">
    <cfRule type="cellIs" dxfId="215" priority="224" operator="greaterThan">
      <formula>0</formula>
    </cfRule>
  </conditionalFormatting>
  <conditionalFormatting sqref="B11:B12">
    <cfRule type="cellIs" dxfId="214" priority="225" operator="lessThan">
      <formula>0</formula>
    </cfRule>
  </conditionalFormatting>
  <conditionalFormatting sqref="B11:B12">
    <cfRule type="cellIs" dxfId="213" priority="218" operator="greaterThan">
      <formula>0</formula>
    </cfRule>
  </conditionalFormatting>
  <conditionalFormatting sqref="B11:B12">
    <cfRule type="cellIs" dxfId="212" priority="219" operator="lessThan">
      <formula>0</formula>
    </cfRule>
  </conditionalFormatting>
  <conditionalFormatting sqref="B11:B12">
    <cfRule type="cellIs" dxfId="211" priority="220" operator="greaterThan">
      <formula>0</formula>
    </cfRule>
  </conditionalFormatting>
  <conditionalFormatting sqref="B11:B12">
    <cfRule type="cellIs" dxfId="210" priority="221" operator="lessThan">
      <formula>0</formula>
    </cfRule>
  </conditionalFormatting>
  <conditionalFormatting sqref="B40">
    <cfRule type="cellIs" dxfId="209" priority="212" operator="greaterThan">
      <formula>0</formula>
    </cfRule>
  </conditionalFormatting>
  <conditionalFormatting sqref="B40">
    <cfRule type="cellIs" dxfId="208" priority="213" operator="lessThan">
      <formula>0</formula>
    </cfRule>
  </conditionalFormatting>
  <conditionalFormatting sqref="B40">
    <cfRule type="cellIs" dxfId="207" priority="214" operator="greaterThan">
      <formula>0</formula>
    </cfRule>
  </conditionalFormatting>
  <conditionalFormatting sqref="B40">
    <cfRule type="cellIs" dxfId="206" priority="215" operator="lessThan">
      <formula>0</formula>
    </cfRule>
  </conditionalFormatting>
  <conditionalFormatting sqref="B40">
    <cfRule type="cellIs" dxfId="205" priority="216" operator="greaterThan">
      <formula>0</formula>
    </cfRule>
  </conditionalFormatting>
  <conditionalFormatting sqref="B40">
    <cfRule type="cellIs" dxfId="204" priority="217" operator="lessThan">
      <formula>0</formula>
    </cfRule>
  </conditionalFormatting>
  <conditionalFormatting sqref="I38:I40">
    <cfRule type="cellIs" dxfId="203" priority="210" operator="lessThan">
      <formula>0</formula>
    </cfRule>
    <cfRule type="cellIs" dxfId="202" priority="211" operator="greaterThan">
      <formula>0</formula>
    </cfRule>
  </conditionalFormatting>
  <conditionalFormatting sqref="B38">
    <cfRule type="cellIs" dxfId="201" priority="204" operator="greaterThan">
      <formula>0</formula>
    </cfRule>
  </conditionalFormatting>
  <conditionalFormatting sqref="B38">
    <cfRule type="cellIs" dxfId="200" priority="205" operator="lessThan">
      <formula>0</formula>
    </cfRule>
  </conditionalFormatting>
  <conditionalFormatting sqref="B38">
    <cfRule type="cellIs" dxfId="199" priority="206" operator="greaterThan">
      <formula>0</formula>
    </cfRule>
  </conditionalFormatting>
  <conditionalFormatting sqref="B38">
    <cfRule type="cellIs" dxfId="198" priority="207" operator="lessThan">
      <formula>0</formula>
    </cfRule>
  </conditionalFormatting>
  <conditionalFormatting sqref="B38">
    <cfRule type="cellIs" dxfId="197" priority="208" operator="greaterThan">
      <formula>0</formula>
    </cfRule>
  </conditionalFormatting>
  <conditionalFormatting sqref="B38">
    <cfRule type="cellIs" dxfId="196" priority="209" operator="lessThan">
      <formula>0</formula>
    </cfRule>
  </conditionalFormatting>
  <conditionalFormatting sqref="B39">
    <cfRule type="cellIs" dxfId="195" priority="198" operator="greaterThan">
      <formula>0</formula>
    </cfRule>
  </conditionalFormatting>
  <conditionalFormatting sqref="B39">
    <cfRule type="cellIs" dxfId="194" priority="199" operator="lessThan">
      <formula>0</formula>
    </cfRule>
  </conditionalFormatting>
  <conditionalFormatting sqref="B39">
    <cfRule type="cellIs" dxfId="193" priority="200" operator="greaterThan">
      <formula>0</formula>
    </cfRule>
  </conditionalFormatting>
  <conditionalFormatting sqref="B39">
    <cfRule type="cellIs" dxfId="192" priority="201" operator="lessThan">
      <formula>0</formula>
    </cfRule>
  </conditionalFormatting>
  <conditionalFormatting sqref="B39">
    <cfRule type="cellIs" dxfId="191" priority="202" operator="greaterThan">
      <formula>0</formula>
    </cfRule>
  </conditionalFormatting>
  <conditionalFormatting sqref="B39">
    <cfRule type="cellIs" dxfId="190" priority="203" operator="lessThan">
      <formula>0</formula>
    </cfRule>
  </conditionalFormatting>
  <conditionalFormatting sqref="B31:B34 B37">
    <cfRule type="cellIs" dxfId="189" priority="194" operator="greaterThan">
      <formula>0</formula>
    </cfRule>
  </conditionalFormatting>
  <conditionalFormatting sqref="B31:B34 B37">
    <cfRule type="cellIs" dxfId="188" priority="195" operator="lessThan">
      <formula>0</formula>
    </cfRule>
  </conditionalFormatting>
  <conditionalFormatting sqref="B31:B34 B37">
    <cfRule type="cellIs" dxfId="187" priority="196" operator="greaterThan">
      <formula>0</formula>
    </cfRule>
  </conditionalFormatting>
  <conditionalFormatting sqref="B31:B34 B37">
    <cfRule type="cellIs" dxfId="186" priority="197" operator="lessThan">
      <formula>0</formula>
    </cfRule>
  </conditionalFormatting>
  <conditionalFormatting sqref="B35:B36">
    <cfRule type="cellIs" dxfId="185" priority="186" operator="greaterThan">
      <formula>0</formula>
    </cfRule>
  </conditionalFormatting>
  <conditionalFormatting sqref="B35:B36">
    <cfRule type="cellIs" dxfId="184" priority="187" operator="lessThan">
      <formula>0</formula>
    </cfRule>
  </conditionalFormatting>
  <conditionalFormatting sqref="B35:B36">
    <cfRule type="cellIs" dxfId="183" priority="188" operator="greaterThan">
      <formula>0</formula>
    </cfRule>
  </conditionalFormatting>
  <conditionalFormatting sqref="B35:B36">
    <cfRule type="cellIs" dxfId="182" priority="189" operator="lessThan">
      <formula>0</formula>
    </cfRule>
  </conditionalFormatting>
  <conditionalFormatting sqref="B36">
    <cfRule type="cellIs" dxfId="181" priority="190" operator="greaterThan">
      <formula>0</formula>
    </cfRule>
  </conditionalFormatting>
  <conditionalFormatting sqref="B36">
    <cfRule type="cellIs" dxfId="180" priority="191" operator="lessThan">
      <formula>0</formula>
    </cfRule>
  </conditionalFormatting>
  <conditionalFormatting sqref="B35">
    <cfRule type="cellIs" dxfId="179" priority="192" operator="greaterThan">
      <formula>0</formula>
    </cfRule>
  </conditionalFormatting>
  <conditionalFormatting sqref="B35">
    <cfRule type="cellIs" dxfId="178" priority="193" operator="lessThan">
      <formula>0</formula>
    </cfRule>
  </conditionalFormatting>
  <conditionalFormatting sqref="K39 K41 K43 K45 K47 K49 K51 K53 K55 K57 K59 K61 K63 K65 K67 K69 K71">
    <cfRule type="cellIs" dxfId="177" priority="185" operator="greaterThan">
      <formula>J39</formula>
    </cfRule>
  </conditionalFormatting>
  <conditionalFormatting sqref="J39 J41 J43 J45 J47 J49 J51 J53 J55 J57 J59 J61 J63 J65 J67 J69 J71">
    <cfRule type="cellIs" dxfId="176" priority="184" operator="greaterThan">
      <formula>1.49</formula>
    </cfRule>
  </conditionalFormatting>
  <conditionalFormatting sqref="L39 L41 L43 L45 L47 L49 L51 L53 L55 L57 L59 L61 L63 L65 L67 L69 L71">
    <cfRule type="cellIs" dxfId="175" priority="183" operator="greaterThan">
      <formula>K39</formula>
    </cfRule>
  </conditionalFormatting>
  <conditionalFormatting sqref="B4">
    <cfRule type="cellIs" dxfId="174" priority="176" operator="greaterThan">
      <formula>0</formula>
    </cfRule>
  </conditionalFormatting>
  <conditionalFormatting sqref="B4">
    <cfRule type="cellIs" dxfId="173" priority="177" operator="lessThan">
      <formula>0</formula>
    </cfRule>
  </conditionalFormatting>
  <conditionalFormatting sqref="B4">
    <cfRule type="cellIs" dxfId="172" priority="178" operator="greaterThan">
      <formula>0</formula>
    </cfRule>
  </conditionalFormatting>
  <conditionalFormatting sqref="B4">
    <cfRule type="cellIs" dxfId="171" priority="179" operator="lessThan">
      <formula>0</formula>
    </cfRule>
  </conditionalFormatting>
  <conditionalFormatting sqref="B4">
    <cfRule type="cellIs" dxfId="170" priority="172" operator="greaterThan">
      <formula>0</formula>
    </cfRule>
  </conditionalFormatting>
  <conditionalFormatting sqref="B4">
    <cfRule type="cellIs" dxfId="169" priority="173" operator="lessThan">
      <formula>0</formula>
    </cfRule>
  </conditionalFormatting>
  <conditionalFormatting sqref="B4">
    <cfRule type="cellIs" dxfId="168" priority="174" operator="greaterThan">
      <formula>0</formula>
    </cfRule>
  </conditionalFormatting>
  <conditionalFormatting sqref="B4">
    <cfRule type="cellIs" dxfId="167" priority="175" operator="lessThan">
      <formula>0</formula>
    </cfRule>
  </conditionalFormatting>
  <conditionalFormatting sqref="B4">
    <cfRule type="cellIs" dxfId="166" priority="168" operator="greaterThan">
      <formula>0</formula>
    </cfRule>
  </conditionalFormatting>
  <conditionalFormatting sqref="B4">
    <cfRule type="cellIs" dxfId="165" priority="169" operator="lessThan">
      <formula>0</formula>
    </cfRule>
  </conditionalFormatting>
  <conditionalFormatting sqref="B4">
    <cfRule type="cellIs" dxfId="164" priority="170" operator="greaterThan">
      <formula>0</formula>
    </cfRule>
  </conditionalFormatting>
  <conditionalFormatting sqref="B4">
    <cfRule type="cellIs" dxfId="163" priority="171" operator="lessThan">
      <formula>0</formula>
    </cfRule>
  </conditionalFormatting>
  <conditionalFormatting sqref="B4">
    <cfRule type="cellIs" dxfId="162" priority="164" operator="greaterThan">
      <formula>0</formula>
    </cfRule>
  </conditionalFormatting>
  <conditionalFormatting sqref="B4">
    <cfRule type="cellIs" dxfId="161" priority="165" operator="lessThan">
      <formula>0</formula>
    </cfRule>
  </conditionalFormatting>
  <conditionalFormatting sqref="B4">
    <cfRule type="cellIs" dxfId="160" priority="166" operator="greaterThan">
      <formula>0</formula>
    </cfRule>
  </conditionalFormatting>
  <conditionalFormatting sqref="B4">
    <cfRule type="cellIs" dxfId="159" priority="167" operator="lessThan">
      <formula>0</formula>
    </cfRule>
  </conditionalFormatting>
  <conditionalFormatting sqref="B4">
    <cfRule type="cellIs" dxfId="158" priority="160" operator="greaterThan">
      <formula>0</formula>
    </cfRule>
  </conditionalFormatting>
  <conditionalFormatting sqref="B4">
    <cfRule type="cellIs" dxfId="157" priority="161" operator="lessThan">
      <formula>0</formula>
    </cfRule>
  </conditionalFormatting>
  <conditionalFormatting sqref="B4">
    <cfRule type="cellIs" dxfId="156" priority="162" operator="greaterThan">
      <formula>0</formula>
    </cfRule>
  </conditionalFormatting>
  <conditionalFormatting sqref="B4">
    <cfRule type="cellIs" dxfId="155" priority="163" operator="lessThan">
      <formula>0</formula>
    </cfRule>
  </conditionalFormatting>
  <conditionalFormatting sqref="B4">
    <cfRule type="cellIs" dxfId="154" priority="156" operator="greaterThan">
      <formula>0</formula>
    </cfRule>
  </conditionalFormatting>
  <conditionalFormatting sqref="B4">
    <cfRule type="cellIs" dxfId="153" priority="157" operator="lessThan">
      <formula>0</formula>
    </cfRule>
  </conditionalFormatting>
  <conditionalFormatting sqref="B4">
    <cfRule type="cellIs" dxfId="152" priority="158" operator="greaterThan">
      <formula>0</formula>
    </cfRule>
  </conditionalFormatting>
  <conditionalFormatting sqref="B4">
    <cfRule type="cellIs" dxfId="151" priority="159" operator="lessThan">
      <formula>0</formula>
    </cfRule>
  </conditionalFormatting>
  <conditionalFormatting sqref="B4">
    <cfRule type="cellIs" dxfId="150" priority="152" operator="greaterThan">
      <formula>0</formula>
    </cfRule>
  </conditionalFormatting>
  <conditionalFormatting sqref="B4">
    <cfRule type="cellIs" dxfId="149" priority="153" operator="lessThan">
      <formula>0</formula>
    </cfRule>
  </conditionalFormatting>
  <conditionalFormatting sqref="B4">
    <cfRule type="cellIs" dxfId="148" priority="154" operator="greaterThan">
      <formula>0</formula>
    </cfRule>
  </conditionalFormatting>
  <conditionalFormatting sqref="B4">
    <cfRule type="cellIs" dxfId="147" priority="155" operator="lessThan">
      <formula>0</formula>
    </cfRule>
  </conditionalFormatting>
  <conditionalFormatting sqref="B4">
    <cfRule type="cellIs" dxfId="146" priority="148" operator="greaterThan">
      <formula>0</formula>
    </cfRule>
  </conditionalFormatting>
  <conditionalFormatting sqref="B4">
    <cfRule type="cellIs" dxfId="145" priority="149" operator="lessThan">
      <formula>0</formula>
    </cfRule>
  </conditionalFormatting>
  <conditionalFormatting sqref="B4">
    <cfRule type="cellIs" dxfId="144" priority="150" operator="greaterThan">
      <formula>0</formula>
    </cfRule>
  </conditionalFormatting>
  <conditionalFormatting sqref="B4">
    <cfRule type="cellIs" dxfId="143" priority="151" operator="lessThan">
      <formula>0</formula>
    </cfRule>
  </conditionalFormatting>
  <conditionalFormatting sqref="B4">
    <cfRule type="cellIs" dxfId="142" priority="144" operator="greaterThan">
      <formula>0</formula>
    </cfRule>
  </conditionalFormatting>
  <conditionalFormatting sqref="B4">
    <cfRule type="cellIs" dxfId="141" priority="145" operator="lessThan">
      <formula>0</formula>
    </cfRule>
  </conditionalFormatting>
  <conditionalFormatting sqref="B4">
    <cfRule type="cellIs" dxfId="140" priority="146" operator="greaterThan">
      <formula>0</formula>
    </cfRule>
  </conditionalFormatting>
  <conditionalFormatting sqref="B4">
    <cfRule type="cellIs" dxfId="139" priority="147" operator="lessThan">
      <formula>0</formula>
    </cfRule>
  </conditionalFormatting>
  <conditionalFormatting sqref="B8">
    <cfRule type="cellIs" dxfId="138" priority="140" operator="greaterThan">
      <formula>0</formula>
    </cfRule>
  </conditionalFormatting>
  <conditionalFormatting sqref="B8">
    <cfRule type="cellIs" dxfId="137" priority="141" operator="lessThan">
      <formula>0</formula>
    </cfRule>
  </conditionalFormatting>
  <conditionalFormatting sqref="B8">
    <cfRule type="cellIs" dxfId="136" priority="142" operator="greaterThan">
      <formula>0</formula>
    </cfRule>
  </conditionalFormatting>
  <conditionalFormatting sqref="B8">
    <cfRule type="cellIs" dxfId="135" priority="143" operator="lessThan">
      <formula>0</formula>
    </cfRule>
  </conditionalFormatting>
  <conditionalFormatting sqref="B8">
    <cfRule type="cellIs" dxfId="134" priority="136" operator="greaterThan">
      <formula>0</formula>
    </cfRule>
  </conditionalFormatting>
  <conditionalFormatting sqref="B8">
    <cfRule type="cellIs" dxfId="133" priority="137" operator="lessThan">
      <formula>0</formula>
    </cfRule>
  </conditionalFormatting>
  <conditionalFormatting sqref="B8">
    <cfRule type="cellIs" dxfId="132" priority="138" operator="greaterThan">
      <formula>0</formula>
    </cfRule>
  </conditionalFormatting>
  <conditionalFormatting sqref="B8">
    <cfRule type="cellIs" dxfId="131" priority="139" operator="lessThan">
      <formula>0</formula>
    </cfRule>
  </conditionalFormatting>
  <conditionalFormatting sqref="B6:B7">
    <cfRule type="cellIs" dxfId="130" priority="92" operator="greaterThan">
      <formula>0</formula>
    </cfRule>
  </conditionalFormatting>
  <conditionalFormatting sqref="B6:B7">
    <cfRule type="cellIs" dxfId="129" priority="93" operator="lessThan">
      <formula>0</formula>
    </cfRule>
  </conditionalFormatting>
  <conditionalFormatting sqref="B6:B7">
    <cfRule type="cellIs" dxfId="128" priority="94" operator="greaterThan">
      <formula>0</formula>
    </cfRule>
  </conditionalFormatting>
  <conditionalFormatting sqref="B6:B7">
    <cfRule type="cellIs" dxfId="127" priority="95" operator="lessThan">
      <formula>0</formula>
    </cfRule>
  </conditionalFormatting>
  <conditionalFormatting sqref="B9:B10">
    <cfRule type="cellIs" dxfId="126" priority="132" operator="greaterThan">
      <formula>0</formula>
    </cfRule>
  </conditionalFormatting>
  <conditionalFormatting sqref="B9:B10">
    <cfRule type="cellIs" dxfId="125" priority="133" operator="lessThan">
      <formula>0</formula>
    </cfRule>
  </conditionalFormatting>
  <conditionalFormatting sqref="B9:B10">
    <cfRule type="cellIs" dxfId="124" priority="134" operator="greaterThan">
      <formula>0</formula>
    </cfRule>
  </conditionalFormatting>
  <conditionalFormatting sqref="B9:B10">
    <cfRule type="cellIs" dxfId="123" priority="135" operator="lessThan">
      <formula>0</formula>
    </cfRule>
  </conditionalFormatting>
  <conditionalFormatting sqref="B10">
    <cfRule type="cellIs" dxfId="122" priority="128" operator="greaterThan">
      <formula>0</formula>
    </cfRule>
  </conditionalFormatting>
  <conditionalFormatting sqref="B10">
    <cfRule type="cellIs" dxfId="121" priority="129" operator="lessThan">
      <formula>0</formula>
    </cfRule>
  </conditionalFormatting>
  <conditionalFormatting sqref="B10">
    <cfRule type="cellIs" dxfId="120" priority="130" operator="greaterThan">
      <formula>0</formula>
    </cfRule>
  </conditionalFormatting>
  <conditionalFormatting sqref="B10">
    <cfRule type="cellIs" dxfId="119" priority="131" operator="lessThan">
      <formula>0</formula>
    </cfRule>
  </conditionalFormatting>
  <conditionalFormatting sqref="B10">
    <cfRule type="cellIs" dxfId="118" priority="124" operator="greaterThan">
      <formula>0</formula>
    </cfRule>
  </conditionalFormatting>
  <conditionalFormatting sqref="B10">
    <cfRule type="cellIs" dxfId="117" priority="125" operator="lessThan">
      <formula>0</formula>
    </cfRule>
  </conditionalFormatting>
  <conditionalFormatting sqref="B10">
    <cfRule type="cellIs" dxfId="116" priority="126" operator="greaterThan">
      <formula>0</formula>
    </cfRule>
  </conditionalFormatting>
  <conditionalFormatting sqref="B10">
    <cfRule type="cellIs" dxfId="115" priority="127" operator="lessThan">
      <formula>0</formula>
    </cfRule>
  </conditionalFormatting>
  <conditionalFormatting sqref="B9">
    <cfRule type="cellIs" dxfId="114" priority="120" operator="greaterThan">
      <formula>0</formula>
    </cfRule>
  </conditionalFormatting>
  <conditionalFormatting sqref="B9">
    <cfRule type="cellIs" dxfId="113" priority="121" operator="lessThan">
      <formula>0</formula>
    </cfRule>
  </conditionalFormatting>
  <conditionalFormatting sqref="B9">
    <cfRule type="cellIs" dxfId="112" priority="122" operator="greaterThan">
      <formula>0</formula>
    </cfRule>
  </conditionalFormatting>
  <conditionalFormatting sqref="B9">
    <cfRule type="cellIs" dxfId="111" priority="123" operator="lessThan">
      <formula>0</formula>
    </cfRule>
  </conditionalFormatting>
  <conditionalFormatting sqref="B9:B10">
    <cfRule type="cellIs" dxfId="110" priority="116" operator="greaterThan">
      <formula>0</formula>
    </cfRule>
  </conditionalFormatting>
  <conditionalFormatting sqref="B9:B10">
    <cfRule type="cellIs" dxfId="109" priority="117" operator="lessThan">
      <formula>0</formula>
    </cfRule>
  </conditionalFormatting>
  <conditionalFormatting sqref="B9:B10">
    <cfRule type="cellIs" dxfId="108" priority="118" operator="greaterThan">
      <formula>0</formula>
    </cfRule>
  </conditionalFormatting>
  <conditionalFormatting sqref="B9:B10">
    <cfRule type="cellIs" dxfId="107" priority="119" operator="lessThan">
      <formula>0</formula>
    </cfRule>
  </conditionalFormatting>
  <conditionalFormatting sqref="B9:B10">
    <cfRule type="cellIs" dxfId="106" priority="112" operator="greaterThan">
      <formula>0</formula>
    </cfRule>
  </conditionalFormatting>
  <conditionalFormatting sqref="B9:B10">
    <cfRule type="cellIs" dxfId="105" priority="113" operator="lessThan">
      <formula>0</formula>
    </cfRule>
  </conditionalFormatting>
  <conditionalFormatting sqref="B9:B10">
    <cfRule type="cellIs" dxfId="104" priority="114" operator="greaterThan">
      <formula>0</formula>
    </cfRule>
  </conditionalFormatting>
  <conditionalFormatting sqref="B9:B10">
    <cfRule type="cellIs" dxfId="103" priority="115" operator="lessThan">
      <formula>0</formula>
    </cfRule>
  </conditionalFormatting>
  <conditionalFormatting sqref="B6:B7">
    <cfRule type="cellIs" dxfId="102" priority="108" operator="greaterThan">
      <formula>0</formula>
    </cfRule>
  </conditionalFormatting>
  <conditionalFormatting sqref="B6:B7">
    <cfRule type="cellIs" dxfId="101" priority="109" operator="lessThan">
      <formula>0</formula>
    </cfRule>
  </conditionalFormatting>
  <conditionalFormatting sqref="B6:B7">
    <cfRule type="cellIs" dxfId="100" priority="110" operator="greaterThan">
      <formula>0</formula>
    </cfRule>
  </conditionalFormatting>
  <conditionalFormatting sqref="B6:B7">
    <cfRule type="cellIs" dxfId="99" priority="111" operator="lessThan">
      <formula>0</formula>
    </cfRule>
  </conditionalFormatting>
  <conditionalFormatting sqref="B6:B7">
    <cfRule type="cellIs" dxfId="98" priority="104" operator="greaterThan">
      <formula>0</formula>
    </cfRule>
  </conditionalFormatting>
  <conditionalFormatting sqref="B6:B7">
    <cfRule type="cellIs" dxfId="97" priority="105" operator="lessThan">
      <formula>0</formula>
    </cfRule>
  </conditionalFormatting>
  <conditionalFormatting sqref="B6:B7">
    <cfRule type="cellIs" dxfId="96" priority="106" operator="greaterThan">
      <formula>0</formula>
    </cfRule>
  </conditionalFormatting>
  <conditionalFormatting sqref="B6:B7">
    <cfRule type="cellIs" dxfId="95" priority="107" operator="lessThan">
      <formula>0</formula>
    </cfRule>
  </conditionalFormatting>
  <conditionalFormatting sqref="B6:B7">
    <cfRule type="cellIs" dxfId="94" priority="100" operator="greaterThan">
      <formula>0</formula>
    </cfRule>
  </conditionalFormatting>
  <conditionalFormatting sqref="B6:B7">
    <cfRule type="cellIs" dxfId="93" priority="101" operator="lessThan">
      <formula>0</formula>
    </cfRule>
  </conditionalFormatting>
  <conditionalFormatting sqref="B6:B7">
    <cfRule type="cellIs" dxfId="92" priority="102" operator="greaterThan">
      <formula>0</formula>
    </cfRule>
  </conditionalFormatting>
  <conditionalFormatting sqref="B6:B7">
    <cfRule type="cellIs" dxfId="91" priority="103" operator="lessThan">
      <formula>0</formula>
    </cfRule>
  </conditionalFormatting>
  <conditionalFormatting sqref="B6:B7">
    <cfRule type="cellIs" dxfId="90" priority="96" operator="greaterThan">
      <formula>0</formula>
    </cfRule>
  </conditionalFormatting>
  <conditionalFormatting sqref="B6:B7">
    <cfRule type="cellIs" dxfId="89" priority="97" operator="lessThan">
      <formula>0</formula>
    </cfRule>
  </conditionalFormatting>
  <conditionalFormatting sqref="B6:B7">
    <cfRule type="cellIs" dxfId="88" priority="98" operator="greaterThan">
      <formula>0</formula>
    </cfRule>
  </conditionalFormatting>
  <conditionalFormatting sqref="B6:B7">
    <cfRule type="cellIs" dxfId="87" priority="99" operator="lessThan">
      <formula>0</formula>
    </cfRule>
  </conditionalFormatting>
  <conditionalFormatting sqref="B6:B7">
    <cfRule type="cellIs" dxfId="86" priority="88" operator="greaterThan">
      <formula>0</formula>
    </cfRule>
  </conditionalFormatting>
  <conditionalFormatting sqref="B6:B7">
    <cfRule type="cellIs" dxfId="85" priority="89" operator="lessThan">
      <formula>0</formula>
    </cfRule>
  </conditionalFormatting>
  <conditionalFormatting sqref="B6:B7">
    <cfRule type="cellIs" dxfId="84" priority="90" operator="greaterThan">
      <formula>0</formula>
    </cfRule>
  </conditionalFormatting>
  <conditionalFormatting sqref="B6:B7">
    <cfRule type="cellIs" dxfId="83" priority="91" operator="lessThan">
      <formula>0</formula>
    </cfRule>
  </conditionalFormatting>
  <conditionalFormatting sqref="B6:B7">
    <cfRule type="cellIs" dxfId="82" priority="84" operator="greaterThan">
      <formula>0</formula>
    </cfRule>
  </conditionalFormatting>
  <conditionalFormatting sqref="B6:B7">
    <cfRule type="cellIs" dxfId="81" priority="85" operator="lessThan">
      <formula>0</formula>
    </cfRule>
  </conditionalFormatting>
  <conditionalFormatting sqref="B6:B7">
    <cfRule type="cellIs" dxfId="80" priority="86" operator="greaterThan">
      <formula>0</formula>
    </cfRule>
  </conditionalFormatting>
  <conditionalFormatting sqref="B6:B7">
    <cfRule type="cellIs" dxfId="79" priority="87" operator="lessThan">
      <formula>0</formula>
    </cfRule>
  </conditionalFormatting>
  <conditionalFormatting sqref="L2:M2">
    <cfRule type="cellIs" dxfId="78" priority="82" operator="lessThan">
      <formula>0</formula>
    </cfRule>
    <cfRule type="cellIs" dxfId="77" priority="83" operator="greaterThan">
      <formula>0</formula>
    </cfRule>
  </conditionalFormatting>
  <conditionalFormatting sqref="B19">
    <cfRule type="cellIs" dxfId="76" priority="78" operator="greaterThan">
      <formula>0</formula>
    </cfRule>
  </conditionalFormatting>
  <conditionalFormatting sqref="B19">
    <cfRule type="cellIs" dxfId="75" priority="79" operator="lessThan">
      <formula>0</formula>
    </cfRule>
  </conditionalFormatting>
  <conditionalFormatting sqref="B19">
    <cfRule type="cellIs" dxfId="74" priority="80" operator="greaterThan">
      <formula>0</formula>
    </cfRule>
  </conditionalFormatting>
  <conditionalFormatting sqref="B19">
    <cfRule type="cellIs" dxfId="73" priority="81" operator="lessThan">
      <formula>0</formula>
    </cfRule>
  </conditionalFormatting>
  <conditionalFormatting sqref="B19">
    <cfRule type="cellIs" dxfId="72" priority="74" operator="greaterThan">
      <formula>0</formula>
    </cfRule>
  </conditionalFormatting>
  <conditionalFormatting sqref="B19">
    <cfRule type="cellIs" dxfId="71" priority="75" operator="lessThan">
      <formula>0</formula>
    </cfRule>
  </conditionalFormatting>
  <conditionalFormatting sqref="B19">
    <cfRule type="cellIs" dxfId="70" priority="76" operator="greaterThan">
      <formula>0</formula>
    </cfRule>
  </conditionalFormatting>
  <conditionalFormatting sqref="B19">
    <cfRule type="cellIs" dxfId="69" priority="77" operator="lessThan">
      <formula>0</formula>
    </cfRule>
  </conditionalFormatting>
  <conditionalFormatting sqref="B3">
    <cfRule type="cellIs" dxfId="68" priority="70" operator="greaterThan">
      <formula>0</formula>
    </cfRule>
  </conditionalFormatting>
  <conditionalFormatting sqref="B3">
    <cfRule type="cellIs" dxfId="67" priority="71" operator="lessThan">
      <formula>0</formula>
    </cfRule>
  </conditionalFormatting>
  <conditionalFormatting sqref="B3">
    <cfRule type="cellIs" dxfId="66" priority="72" operator="greaterThan">
      <formula>0</formula>
    </cfRule>
  </conditionalFormatting>
  <conditionalFormatting sqref="B3">
    <cfRule type="cellIs" dxfId="65" priority="73" operator="lessThan">
      <formula>0</formula>
    </cfRule>
  </conditionalFormatting>
  <conditionalFormatting sqref="B3">
    <cfRule type="cellIs" dxfId="64" priority="66" operator="greaterThan">
      <formula>0</formula>
    </cfRule>
  </conditionalFormatting>
  <conditionalFormatting sqref="B3">
    <cfRule type="cellIs" dxfId="63" priority="67" operator="lessThan">
      <formula>0</formula>
    </cfRule>
  </conditionalFormatting>
  <conditionalFormatting sqref="B3">
    <cfRule type="cellIs" dxfId="62" priority="68" operator="greaterThan">
      <formula>0</formula>
    </cfRule>
  </conditionalFormatting>
  <conditionalFormatting sqref="B3">
    <cfRule type="cellIs" dxfId="61" priority="69" operator="lessThan">
      <formula>0</formula>
    </cfRule>
  </conditionalFormatting>
  <conditionalFormatting sqref="B3">
    <cfRule type="cellIs" dxfId="60" priority="62" operator="greaterThan">
      <formula>0</formula>
    </cfRule>
  </conditionalFormatting>
  <conditionalFormatting sqref="B3">
    <cfRule type="cellIs" dxfId="59" priority="63" operator="lessThan">
      <formula>0</formula>
    </cfRule>
  </conditionalFormatting>
  <conditionalFormatting sqref="B3">
    <cfRule type="cellIs" dxfId="58" priority="64" operator="greaterThan">
      <formula>0</formula>
    </cfRule>
  </conditionalFormatting>
  <conditionalFormatting sqref="B3">
    <cfRule type="cellIs" dxfId="57" priority="65" operator="lessThan">
      <formula>0</formula>
    </cfRule>
  </conditionalFormatting>
  <conditionalFormatting sqref="B3">
    <cfRule type="cellIs" dxfId="56" priority="58" operator="greaterThan">
      <formula>0</formula>
    </cfRule>
  </conditionalFormatting>
  <conditionalFormatting sqref="B3">
    <cfRule type="cellIs" dxfId="55" priority="59" operator="lessThan">
      <formula>0</formula>
    </cfRule>
  </conditionalFormatting>
  <conditionalFormatting sqref="B3">
    <cfRule type="cellIs" dxfId="54" priority="60" operator="greaterThan">
      <formula>0</formula>
    </cfRule>
  </conditionalFormatting>
  <conditionalFormatting sqref="B3">
    <cfRule type="cellIs" dxfId="53" priority="61" operator="lessThan">
      <formula>0</formula>
    </cfRule>
  </conditionalFormatting>
  <conditionalFormatting sqref="B7">
    <cfRule type="cellIs" dxfId="52" priority="54" operator="greaterThan">
      <formula>0</formula>
    </cfRule>
  </conditionalFormatting>
  <conditionalFormatting sqref="B7">
    <cfRule type="cellIs" dxfId="51" priority="55" operator="lessThan">
      <formula>0</formula>
    </cfRule>
  </conditionalFormatting>
  <conditionalFormatting sqref="B7">
    <cfRule type="cellIs" dxfId="50" priority="56" operator="greaterThan">
      <formula>0</formula>
    </cfRule>
  </conditionalFormatting>
  <conditionalFormatting sqref="B7">
    <cfRule type="cellIs" dxfId="49" priority="57" operator="lessThan">
      <formula>0</formula>
    </cfRule>
  </conditionalFormatting>
  <conditionalFormatting sqref="B7">
    <cfRule type="cellIs" dxfId="48" priority="50" operator="greaterThan">
      <formula>0</formula>
    </cfRule>
  </conditionalFormatting>
  <conditionalFormatting sqref="B7">
    <cfRule type="cellIs" dxfId="47" priority="51" operator="lessThan">
      <formula>0</formula>
    </cfRule>
  </conditionalFormatting>
  <conditionalFormatting sqref="B7">
    <cfRule type="cellIs" dxfId="46" priority="52" operator="greaterThan">
      <formula>0</formula>
    </cfRule>
  </conditionalFormatting>
  <conditionalFormatting sqref="B7">
    <cfRule type="cellIs" dxfId="45" priority="53" operator="lessThan">
      <formula>0</formula>
    </cfRule>
  </conditionalFormatting>
  <conditionalFormatting sqref="B7">
    <cfRule type="cellIs" dxfId="44" priority="46" operator="greaterThan">
      <formula>0</formula>
    </cfRule>
  </conditionalFormatting>
  <conditionalFormatting sqref="B7">
    <cfRule type="cellIs" dxfId="43" priority="47" operator="lessThan">
      <formula>0</formula>
    </cfRule>
  </conditionalFormatting>
  <conditionalFormatting sqref="B7">
    <cfRule type="cellIs" dxfId="42" priority="48" operator="greaterThan">
      <formula>0</formula>
    </cfRule>
  </conditionalFormatting>
  <conditionalFormatting sqref="B7">
    <cfRule type="cellIs" dxfId="41" priority="49" operator="lessThan">
      <formula>0</formula>
    </cfRule>
  </conditionalFormatting>
  <conditionalFormatting sqref="B7">
    <cfRule type="cellIs" dxfId="40" priority="42" operator="greaterThan">
      <formula>0</formula>
    </cfRule>
  </conditionalFormatting>
  <conditionalFormatting sqref="B7">
    <cfRule type="cellIs" dxfId="39" priority="43" operator="lessThan">
      <formula>0</formula>
    </cfRule>
  </conditionalFormatting>
  <conditionalFormatting sqref="B7">
    <cfRule type="cellIs" dxfId="38" priority="44" operator="greaterThan">
      <formula>0</formula>
    </cfRule>
  </conditionalFormatting>
  <conditionalFormatting sqref="B7">
    <cfRule type="cellIs" dxfId="37" priority="45" operator="lessThan">
      <formula>0</formula>
    </cfRule>
  </conditionalFormatting>
  <conditionalFormatting sqref="B7">
    <cfRule type="cellIs" dxfId="36" priority="38" operator="greaterThan">
      <formula>0</formula>
    </cfRule>
  </conditionalFormatting>
  <conditionalFormatting sqref="B7">
    <cfRule type="cellIs" dxfId="35" priority="39" operator="lessThan">
      <formula>0</formula>
    </cfRule>
  </conditionalFormatting>
  <conditionalFormatting sqref="B7">
    <cfRule type="cellIs" dxfId="34" priority="40" operator="greaterThan">
      <formula>0</formula>
    </cfRule>
  </conditionalFormatting>
  <conditionalFormatting sqref="B7">
    <cfRule type="cellIs" dxfId="33" priority="41" operator="lessThan">
      <formula>0</formula>
    </cfRule>
  </conditionalFormatting>
  <conditionalFormatting sqref="B7">
    <cfRule type="cellIs" dxfId="32" priority="34" operator="greaterThan">
      <formula>0</formula>
    </cfRule>
  </conditionalFormatting>
  <conditionalFormatting sqref="B7">
    <cfRule type="cellIs" dxfId="31" priority="35" operator="lessThan">
      <formula>0</formula>
    </cfRule>
  </conditionalFormatting>
  <conditionalFormatting sqref="B7">
    <cfRule type="cellIs" dxfId="30" priority="36" operator="greaterThan">
      <formula>0</formula>
    </cfRule>
  </conditionalFormatting>
  <conditionalFormatting sqref="B7">
    <cfRule type="cellIs" dxfId="29" priority="37" operator="lessThan">
      <formula>0</formula>
    </cfRule>
  </conditionalFormatting>
  <conditionalFormatting sqref="B7">
    <cfRule type="cellIs" dxfId="28" priority="30" operator="greaterThan">
      <formula>0</formula>
    </cfRule>
  </conditionalFormatting>
  <conditionalFormatting sqref="B7">
    <cfRule type="cellIs" dxfId="27" priority="31" operator="lessThan">
      <formula>0</formula>
    </cfRule>
  </conditionalFormatting>
  <conditionalFormatting sqref="B7">
    <cfRule type="cellIs" dxfId="26" priority="32" operator="greaterThan">
      <formula>0</formula>
    </cfRule>
  </conditionalFormatting>
  <conditionalFormatting sqref="B7">
    <cfRule type="cellIs" dxfId="25" priority="33" operator="lessThan">
      <formula>0</formula>
    </cfRule>
  </conditionalFormatting>
  <conditionalFormatting sqref="B7">
    <cfRule type="cellIs" dxfId="24" priority="26" operator="greaterThan">
      <formula>0</formula>
    </cfRule>
  </conditionalFormatting>
  <conditionalFormatting sqref="B7">
    <cfRule type="cellIs" dxfId="23" priority="27" operator="lessThan">
      <formula>0</formula>
    </cfRule>
  </conditionalFormatting>
  <conditionalFormatting sqref="B7">
    <cfRule type="cellIs" dxfId="22" priority="28" operator="greaterThan">
      <formula>0</formula>
    </cfRule>
  </conditionalFormatting>
  <conditionalFormatting sqref="B7">
    <cfRule type="cellIs" dxfId="21" priority="29" operator="lessThan">
      <formula>0</formula>
    </cfRule>
  </conditionalFormatting>
  <conditionalFormatting sqref="B7">
    <cfRule type="cellIs" dxfId="20" priority="22" operator="greaterThan">
      <formula>0</formula>
    </cfRule>
  </conditionalFormatting>
  <conditionalFormatting sqref="B7">
    <cfRule type="cellIs" dxfId="19" priority="23" operator="lessThan">
      <formula>0</formula>
    </cfRule>
  </conditionalFormatting>
  <conditionalFormatting sqref="B7">
    <cfRule type="cellIs" dxfId="18" priority="24" operator="greaterThan">
      <formula>0</formula>
    </cfRule>
  </conditionalFormatting>
  <conditionalFormatting sqref="B7">
    <cfRule type="cellIs" dxfId="17" priority="25" operator="lessThan">
      <formula>0</formula>
    </cfRule>
  </conditionalFormatting>
  <conditionalFormatting sqref="AH3:AH42">
    <cfRule type="cellIs" dxfId="16" priority="21" operator="lessThan">
      <formula>0.01</formula>
    </cfRule>
  </conditionalFormatting>
  <conditionalFormatting sqref="V3:V42">
    <cfRule type="cellIs" dxfId="15" priority="20" operator="lessThan">
      <formula>0.01</formula>
    </cfRule>
  </conditionalFormatting>
  <conditionalFormatting sqref="AR3:AR42">
    <cfRule type="expression" dxfId="14" priority="19">
      <formula>$O$18-$U3&lt;0</formula>
    </cfRule>
  </conditionalFormatting>
  <conditionalFormatting sqref="AR3:AR42">
    <cfRule type="expression" dxfId="13" priority="18">
      <formula>$O$18-$U3&gt;0</formula>
    </cfRule>
  </conditionalFormatting>
  <conditionalFormatting sqref="AS3:AS42">
    <cfRule type="expression" dxfId="12" priority="17">
      <formula>$O$18-$U3&lt;0</formula>
    </cfRule>
  </conditionalFormatting>
  <conditionalFormatting sqref="AS3:AS42">
    <cfRule type="expression" dxfId="11" priority="16">
      <formula>$O$18-$U3&gt;0</formula>
    </cfRule>
  </conditionalFormatting>
  <conditionalFormatting sqref="AT3:AT42">
    <cfRule type="expression" dxfId="10" priority="15">
      <formula>$O$18-$U3&lt;0</formula>
    </cfRule>
  </conditionalFormatting>
  <conditionalFormatting sqref="AT3:AT42">
    <cfRule type="expression" dxfId="9" priority="14">
      <formula>$O$18-$U3&gt;0</formula>
    </cfRule>
  </conditionalFormatting>
  <conditionalFormatting sqref="T3:T42">
    <cfRule type="cellIs" dxfId="8" priority="13" operator="equal">
      <formula>0</formula>
    </cfRule>
  </conditionalFormatting>
  <conditionalFormatting sqref="AF3:AF42">
    <cfRule type="cellIs" dxfId="7" priority="12" operator="equal">
      <formula>0</formula>
    </cfRule>
  </conditionalFormatting>
  <conditionalFormatting sqref="AB3:AB42">
    <cfRule type="cellIs" dxfId="6" priority="9" operator="equal">
      <formula>0</formula>
    </cfRule>
  </conditionalFormatting>
  <conditionalFormatting sqref="AC3:AC42">
    <cfRule type="cellIs" dxfId="5" priority="8" operator="equal">
      <formula>0</formula>
    </cfRule>
  </conditionalFormatting>
  <conditionalFormatting sqref="AM3:AM42">
    <cfRule type="cellIs" dxfId="4" priority="4" operator="lessThan">
      <formula>AH3</formula>
    </cfRule>
    <cfRule type="cellIs" dxfId="3" priority="5" operator="equal">
      <formula>0</formula>
    </cfRule>
  </conditionalFormatting>
  <conditionalFormatting sqref="AK3:AL42">
    <cfRule type="cellIs" dxfId="2" priority="3" operator="equal">
      <formula>0</formula>
    </cfRule>
  </conditionalFormatting>
  <conditionalFormatting sqref="AN3:AN42">
    <cfRule type="cellIs" dxfId="1" priority="2" operator="equal">
      <formula>0</formula>
    </cfRule>
  </conditionalFormatting>
  <conditionalFormatting sqref="AO3:AO4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630</v>
      </c>
      <c r="B2" s="20"/>
      <c r="C2" s="19"/>
      <c r="D2" s="20"/>
      <c r="E2" s="19" t="s">
        <v>335</v>
      </c>
      <c r="F2" s="20"/>
      <c r="G2" s="19" t="s">
        <v>606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631</v>
      </c>
      <c r="B3" s="20"/>
      <c r="C3" s="19"/>
      <c r="D3" s="20"/>
      <c r="E3" s="19" t="s">
        <v>336</v>
      </c>
      <c r="F3" s="20"/>
      <c r="G3" s="19" t="s">
        <v>607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632</v>
      </c>
      <c r="B4" s="20"/>
      <c r="C4" s="19"/>
      <c r="D4" s="20"/>
      <c r="E4" s="19" t="s">
        <v>598</v>
      </c>
      <c r="F4" s="20"/>
      <c r="G4" s="19" t="s">
        <v>608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633</v>
      </c>
      <c r="B5" s="20"/>
      <c r="C5" s="19"/>
      <c r="D5" s="20"/>
      <c r="E5" s="19" t="s">
        <v>599</v>
      </c>
      <c r="F5" s="20"/>
      <c r="G5" s="19" t="s">
        <v>609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634</v>
      </c>
      <c r="B6" s="20"/>
      <c r="C6" s="19"/>
      <c r="D6" s="20"/>
      <c r="E6" s="19" t="s">
        <v>13</v>
      </c>
      <c r="F6" s="20"/>
      <c r="G6" s="19" t="s">
        <v>610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612" t="s">
        <v>635</v>
      </c>
      <c r="B7" s="20"/>
      <c r="C7" s="19"/>
      <c r="D7" s="20"/>
      <c r="E7" s="19" t="s">
        <v>2</v>
      </c>
      <c r="F7" s="20"/>
      <c r="G7" s="19" t="s">
        <v>611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647</v>
      </c>
      <c r="B8" s="20"/>
      <c r="C8" s="19"/>
      <c r="D8" s="20"/>
      <c r="E8" s="19" t="s">
        <v>15</v>
      </c>
      <c r="F8" s="20"/>
      <c r="G8" s="19" t="s">
        <v>612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648</v>
      </c>
      <c r="B9" s="20"/>
      <c r="C9" s="19"/>
      <c r="D9" s="20"/>
      <c r="E9" s="19" t="s">
        <v>3</v>
      </c>
      <c r="F9" s="20"/>
      <c r="G9" s="19" t="s">
        <v>613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649</v>
      </c>
      <c r="B10" s="20"/>
      <c r="C10" s="19"/>
      <c r="D10" s="20"/>
      <c r="E10" s="19" t="s">
        <v>14</v>
      </c>
      <c r="F10" s="20"/>
      <c r="G10" s="19" t="s">
        <v>614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650</v>
      </c>
      <c r="B11" s="20"/>
      <c r="C11" s="19"/>
      <c r="D11" s="20"/>
      <c r="E11" s="19" t="s">
        <v>4</v>
      </c>
      <c r="F11" s="20"/>
      <c r="G11" s="19" t="s">
        <v>615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651</v>
      </c>
      <c r="B12" s="20"/>
      <c r="C12" s="19"/>
      <c r="D12" s="20"/>
      <c r="E12" s="19" t="s">
        <v>16</v>
      </c>
      <c r="F12" s="20"/>
      <c r="G12" s="19" t="s">
        <v>616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652</v>
      </c>
      <c r="B13" s="20"/>
      <c r="C13" s="19"/>
      <c r="D13" s="20"/>
      <c r="E13" s="19" t="s">
        <v>5</v>
      </c>
      <c r="F13" s="20"/>
      <c r="G13" s="19" t="s">
        <v>617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/>
      <c r="B14" s="20"/>
      <c r="C14" s="19"/>
      <c r="D14" s="20"/>
      <c r="E14" s="19" t="s">
        <v>17</v>
      </c>
      <c r="F14" s="20"/>
      <c r="G14" s="19" t="s">
        <v>618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/>
      <c r="B15" s="20"/>
      <c r="C15" s="19"/>
      <c r="D15" s="20"/>
      <c r="E15" s="19" t="s">
        <v>6</v>
      </c>
      <c r="F15" s="20"/>
      <c r="G15" s="19" t="s">
        <v>619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/>
      <c r="B16" s="20"/>
      <c r="C16" s="19"/>
      <c r="D16" s="20"/>
      <c r="E16" s="19" t="s">
        <v>18</v>
      </c>
      <c r="F16" s="20"/>
      <c r="G16" s="19" t="s">
        <v>620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/>
      <c r="B17" s="20"/>
      <c r="C17" s="19"/>
      <c r="D17" s="20"/>
      <c r="E17" s="19" t="s">
        <v>7</v>
      </c>
      <c r="F17" s="20"/>
      <c r="G17" s="19" t="s">
        <v>621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673</v>
      </c>
      <c r="F18" s="20"/>
      <c r="G18" s="19" t="s">
        <v>622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674</v>
      </c>
      <c r="F19" s="20"/>
      <c r="G19" s="19" t="s">
        <v>623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675</v>
      </c>
      <c r="F20" s="20"/>
      <c r="G20" s="19" t="s">
        <v>624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676</v>
      </c>
      <c r="F21" s="20"/>
      <c r="G21" s="19" t="s">
        <v>625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677</v>
      </c>
      <c r="F22" s="20"/>
      <c r="G22" s="19" t="s">
        <v>626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678</v>
      </c>
      <c r="F23" s="20"/>
      <c r="G23" s="19" t="s">
        <v>627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543</v>
      </c>
      <c r="F24" s="20"/>
      <c r="G24" s="19" t="s">
        <v>628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544</v>
      </c>
      <c r="F25" s="20"/>
      <c r="G25" s="19" t="s">
        <v>629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 t="s">
        <v>630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546</v>
      </c>
      <c r="F27" s="20"/>
      <c r="G27" s="41" t="s">
        <v>631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547</v>
      </c>
      <c r="F28" s="20"/>
      <c r="G28" s="41" t="s">
        <v>632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 t="s">
        <v>633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592</v>
      </c>
      <c r="F30" s="20"/>
      <c r="G30" s="41" t="s">
        <v>634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593</v>
      </c>
      <c r="F31" s="20"/>
      <c r="G31" s="612" t="s">
        <v>635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594</v>
      </c>
      <c r="F32" s="20"/>
      <c r="G32" s="41" t="s">
        <v>636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595</v>
      </c>
      <c r="F33" s="20"/>
      <c r="G33" s="41" t="s">
        <v>637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596</v>
      </c>
      <c r="F34" s="20"/>
      <c r="G34" s="19" t="s">
        <v>638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597</v>
      </c>
      <c r="F35" s="20"/>
      <c r="G35" s="41" t="s">
        <v>639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600</v>
      </c>
      <c r="F36" s="20"/>
      <c r="G36" s="41" t="s">
        <v>640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601</v>
      </c>
      <c r="F37" s="20"/>
      <c r="G37" s="19" t="s">
        <v>641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602</v>
      </c>
      <c r="F38" s="20"/>
      <c r="G38" s="19" t="s">
        <v>642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603</v>
      </c>
      <c r="F39" s="20"/>
      <c r="G39" s="19" t="s">
        <v>643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604</v>
      </c>
      <c r="F40" s="20"/>
      <c r="G40" s="19" t="s">
        <v>644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605</v>
      </c>
      <c r="F41" s="20"/>
      <c r="G41" s="19" t="s">
        <v>645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671</v>
      </c>
      <c r="F42" s="20"/>
      <c r="G42" s="19" t="s">
        <v>646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672</v>
      </c>
      <c r="F43" s="20"/>
      <c r="G43" s="19" t="s">
        <v>647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667</v>
      </c>
      <c r="F44" s="20"/>
      <c r="G44" s="19" t="s">
        <v>648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668</v>
      </c>
      <c r="F45" s="20"/>
      <c r="G45" s="19" t="s">
        <v>649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669</v>
      </c>
      <c r="F46" s="20"/>
      <c r="G46" s="19" t="s">
        <v>650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670</v>
      </c>
      <c r="F47" s="20"/>
      <c r="G47" s="19" t="s">
        <v>651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679</v>
      </c>
      <c r="F48" s="20"/>
      <c r="G48" s="19" t="s">
        <v>652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680</v>
      </c>
      <c r="F49" s="20"/>
      <c r="G49" s="19" t="s">
        <v>653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681</v>
      </c>
      <c r="F50" s="20"/>
      <c r="G50" s="19" t="s">
        <v>654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682</v>
      </c>
      <c r="F51" s="20"/>
      <c r="G51" s="19" t="s">
        <v>655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683</v>
      </c>
      <c r="F52" s="20"/>
      <c r="G52" s="19" t="s">
        <v>656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684</v>
      </c>
      <c r="F53" s="20"/>
      <c r="G53" s="19" t="s">
        <v>657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571</v>
      </c>
      <c r="F54" s="20"/>
      <c r="G54" s="19" t="s">
        <v>658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 t="s">
        <v>659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572</v>
      </c>
      <c r="F56" s="20"/>
      <c r="G56" s="19" t="s">
        <v>660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 t="s">
        <v>661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573</v>
      </c>
      <c r="F58" s="20"/>
      <c r="G58" s="19" t="s">
        <v>662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 t="s">
        <v>663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565</v>
      </c>
      <c r="F60" s="20"/>
      <c r="G60" s="19" t="s">
        <v>664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 t="s">
        <v>665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566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567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568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569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570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574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575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576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577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578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579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580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581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582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586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587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588</v>
      </c>
      <c r="F94" s="20"/>
      <c r="G94" s="21" t="s">
        <v>549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 t="s">
        <v>550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583</v>
      </c>
      <c r="F96" s="20"/>
      <c r="G96" s="21" t="s">
        <v>551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 t="s">
        <v>552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584</v>
      </c>
      <c r="F98" s="20"/>
      <c r="G98" s="21" t="s">
        <v>553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 t="s">
        <v>554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585</v>
      </c>
      <c r="F100" s="20"/>
      <c r="G100" s="21" t="s">
        <v>555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 t="s">
        <v>556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589</v>
      </c>
      <c r="F102" s="20"/>
      <c r="G102" s="21" t="s">
        <v>557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 t="s">
        <v>562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590</v>
      </c>
      <c r="F104" s="20"/>
      <c r="G104" s="21" t="s">
        <v>558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 t="s">
        <v>559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591</v>
      </c>
      <c r="F106" s="20"/>
      <c r="G106" s="21" t="s">
        <v>560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 t="s">
        <v>561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589</v>
      </c>
      <c r="F108" s="20"/>
      <c r="G108" s="21" t="s">
        <v>563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 t="s">
        <v>564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590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591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2024-01-22T13:25:08Z</dcterms:modified>
</cp:coreProperties>
</file>