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1E42F73F-BC3A-4952-8AF0-9DEEBEDA5FD7}" xr6:coauthVersionLast="47" xr6:coauthVersionMax="47" xr10:uidLastSave="{00000000-0000-0000-0000-000000000000}"/>
  <bookViews>
    <workbookView xWindow="720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4" i="38" l="1"/>
  <c r="B26" i="38"/>
  <c r="B27" i="38"/>
  <c r="B28" i="38"/>
  <c r="B29" i="38"/>
  <c r="B25" i="38"/>
  <c r="B24" i="38"/>
  <c r="B23" i="38"/>
  <c r="B22" i="38"/>
  <c r="A7" i="38"/>
  <c r="A8" i="38"/>
  <c r="A9" i="38"/>
  <c r="A6" i="38"/>
  <c r="A16" i="38"/>
  <c r="A15" i="38"/>
  <c r="A17" i="38"/>
  <c r="A14" i="38"/>
  <c r="A11" i="38"/>
  <c r="A12" i="38"/>
  <c r="A13" i="38"/>
  <c r="A10" i="38"/>
  <c r="A5" i="38"/>
  <c r="A4" i="38"/>
  <c r="O4" i="38" s="1"/>
  <c r="A3" i="38"/>
  <c r="A2" i="38"/>
  <c r="AA80" i="38"/>
  <c r="AA81" i="38"/>
  <c r="AA49" i="38"/>
  <c r="B18" i="38"/>
  <c r="C18" i="38"/>
  <c r="D18" i="38"/>
  <c r="E18" i="38"/>
  <c r="F18" i="38"/>
  <c r="G18" i="38"/>
  <c r="H18" i="38"/>
  <c r="I18" i="38"/>
  <c r="J18" i="38"/>
  <c r="K18" i="38"/>
  <c r="L18" i="38"/>
  <c r="M18" i="38"/>
  <c r="N18" i="38"/>
  <c r="O18" i="38"/>
  <c r="B19" i="38"/>
  <c r="C19" i="38"/>
  <c r="D19" i="38"/>
  <c r="E19" i="38"/>
  <c r="F19" i="38"/>
  <c r="G19" i="38"/>
  <c r="H19" i="38"/>
  <c r="I19" i="38"/>
  <c r="J19" i="38"/>
  <c r="K19" i="38"/>
  <c r="L19" i="38"/>
  <c r="M19" i="38"/>
  <c r="N19" i="38"/>
  <c r="O19" i="38"/>
  <c r="B20" i="38"/>
  <c r="C20" i="38"/>
  <c r="D20" i="38"/>
  <c r="E20" i="38"/>
  <c r="F20" i="38"/>
  <c r="G20" i="38"/>
  <c r="H20" i="38"/>
  <c r="I20" i="38"/>
  <c r="J20" i="38"/>
  <c r="K20" i="38"/>
  <c r="L20" i="38"/>
  <c r="M20" i="38"/>
  <c r="N20" i="38"/>
  <c r="O20" i="38"/>
  <c r="B21" i="38"/>
  <c r="C21" i="38"/>
  <c r="D21" i="38"/>
  <c r="E21" i="38"/>
  <c r="F21" i="38"/>
  <c r="G21" i="38"/>
  <c r="H21" i="38"/>
  <c r="I21" i="38"/>
  <c r="J21" i="38"/>
  <c r="K21" i="38"/>
  <c r="L21" i="38"/>
  <c r="M21" i="38"/>
  <c r="N21" i="38"/>
  <c r="O21" i="38"/>
  <c r="A2" i="3"/>
  <c r="A3" i="3"/>
  <c r="AA128" i="38"/>
  <c r="N28" i="38"/>
  <c r="AA48" i="38"/>
  <c r="Z18" i="38"/>
  <c r="AA18" i="38" s="1"/>
  <c r="Z19" i="38"/>
  <c r="AA19" i="38" s="1"/>
  <c r="Z20" i="38"/>
  <c r="AA20" i="38" s="1"/>
  <c r="Z21" i="38"/>
  <c r="AA21" i="38" s="1"/>
  <c r="W88" i="38"/>
  <c r="AA139" i="38"/>
  <c r="AA133" i="38"/>
  <c r="AA127" i="38"/>
  <c r="AA121" i="38"/>
  <c r="AA115" i="38"/>
  <c r="AA109" i="38"/>
  <c r="AA103" i="38"/>
  <c r="AA97" i="38"/>
  <c r="AA91" i="38"/>
  <c r="AA85" i="38"/>
  <c r="AA79" i="38"/>
  <c r="AA73" i="38"/>
  <c r="AA67" i="38"/>
  <c r="AA61" i="38"/>
  <c r="AA55"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2" i="38"/>
  <c r="Y60" i="38"/>
  <c r="Y56" i="38"/>
  <c r="Y54" i="38"/>
  <c r="Y52"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W62"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Y45" i="38"/>
  <c r="Y44" i="38"/>
  <c r="AA42" i="38"/>
  <c r="AA44" i="38"/>
  <c r="AE1" i="38"/>
  <c r="Q48" i="46" s="1"/>
  <c r="I28" i="38"/>
  <c r="E28" i="38"/>
  <c r="AJ14" i="46"/>
  <c r="AJ13" i="46"/>
  <c r="AJ12" i="46"/>
  <c r="AJ11" i="46"/>
  <c r="AJ10" i="46"/>
  <c r="A13" i="3" s="1"/>
  <c r="AJ9" i="46"/>
  <c r="A12" i="3" s="1"/>
  <c r="AJ8" i="46"/>
  <c r="A11" i="3" s="1"/>
  <c r="AJ7" i="46"/>
  <c r="AJ6" i="46"/>
  <c r="A9" i="3" s="1"/>
  <c r="AJ5" i="46"/>
  <c r="A8" i="3" s="1"/>
  <c r="AJ4" i="46"/>
  <c r="AJ3" i="46"/>
  <c r="X4" i="46"/>
  <c r="X5" i="46"/>
  <c r="X6" i="46"/>
  <c r="X7" i="46"/>
  <c r="A4" i="3" s="1"/>
  <c r="X8" i="46"/>
  <c r="A5" i="3" s="1"/>
  <c r="X9" i="46"/>
  <c r="A6" i="3" s="1"/>
  <c r="X10" i="46"/>
  <c r="A7" i="3" s="1"/>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M4" i="38" l="1"/>
  <c r="Z64" i="38"/>
  <c r="I4" i="38"/>
  <c r="J4" i="38"/>
  <c r="B4" i="38"/>
  <c r="D4" i="38"/>
  <c r="E4" i="38"/>
  <c r="F4" i="38"/>
  <c r="B14" i="38"/>
  <c r="C4" i="38"/>
  <c r="G4" i="38"/>
  <c r="K4" i="38"/>
  <c r="H4" i="38"/>
  <c r="L4" i="38"/>
  <c r="N4" i="38"/>
  <c r="J16" i="38"/>
  <c r="L16" i="38"/>
  <c r="F16" i="38"/>
  <c r="B16" i="38"/>
  <c r="G16" i="38"/>
  <c r="I16" i="38"/>
  <c r="E16" i="38"/>
  <c r="C16" i="38"/>
  <c r="N16" i="38"/>
  <c r="H16" i="38"/>
  <c r="D16" i="38"/>
  <c r="M16" i="38"/>
  <c r="C12" i="38"/>
  <c r="K12" i="38"/>
  <c r="F26" i="38"/>
  <c r="G29" i="38"/>
  <c r="N26" i="38"/>
  <c r="J26" i="38"/>
  <c r="L22" i="38"/>
  <c r="O22" i="38"/>
  <c r="D22" i="38"/>
  <c r="N14" i="38"/>
  <c r="J14" i="38"/>
  <c r="K16" i="38"/>
  <c r="O16" i="38"/>
  <c r="F14" i="38"/>
  <c r="C14" i="38"/>
  <c r="Z14" i="38" s="1"/>
  <c r="G14" i="38"/>
  <c r="K14" i="38"/>
  <c r="O14" i="38"/>
  <c r="D14" i="38"/>
  <c r="H14" i="38"/>
  <c r="L14" i="38"/>
  <c r="E14" i="38"/>
  <c r="I14" i="38"/>
  <c r="M14" i="38"/>
  <c r="E12" i="38"/>
  <c r="M12" i="38"/>
  <c r="L12" i="38"/>
  <c r="G12" i="38"/>
  <c r="O12" i="38"/>
  <c r="I12" i="38"/>
  <c r="B12" i="38"/>
  <c r="F12" i="38"/>
  <c r="J12" i="38"/>
  <c r="N12" i="38"/>
  <c r="D12" i="38"/>
  <c r="H12" i="38"/>
  <c r="O8" i="38"/>
  <c r="B8" i="38"/>
  <c r="N7" i="38"/>
  <c r="J8" i="38"/>
  <c r="D8" i="38"/>
  <c r="L8" i="38"/>
  <c r="F8" i="38"/>
  <c r="N8" i="38"/>
  <c r="H8" i="38"/>
  <c r="E8" i="38"/>
  <c r="I8" i="38"/>
  <c r="M8" i="38"/>
  <c r="C8" i="38"/>
  <c r="G8" i="38"/>
  <c r="K8" i="38"/>
  <c r="N5" i="38"/>
  <c r="M3" i="38"/>
  <c r="I3" i="38"/>
  <c r="E3" i="38"/>
  <c r="L3" i="38"/>
  <c r="H3" i="38"/>
  <c r="D3" i="38"/>
  <c r="N3" i="38"/>
  <c r="J3" i="38"/>
  <c r="F3" i="38"/>
  <c r="B3" i="38"/>
  <c r="O3" i="38"/>
  <c r="K3" i="38"/>
  <c r="G3" i="38"/>
  <c r="C3" i="38"/>
  <c r="I2" i="38"/>
  <c r="C28" i="38"/>
  <c r="K28" i="38"/>
  <c r="M28" i="38"/>
  <c r="G28" i="38"/>
  <c r="O28" i="38"/>
  <c r="D28" i="38"/>
  <c r="H28" i="38"/>
  <c r="L28" i="38"/>
  <c r="F28" i="38"/>
  <c r="J28" i="38"/>
  <c r="L29" i="38"/>
  <c r="O27" i="38"/>
  <c r="K27" i="38"/>
  <c r="G27" i="38"/>
  <c r="C27" i="38"/>
  <c r="N27" i="38"/>
  <c r="J27" i="38"/>
  <c r="F27" i="38"/>
  <c r="L27" i="38"/>
  <c r="H27" i="38"/>
  <c r="D27" i="38"/>
  <c r="M27" i="38"/>
  <c r="I27" i="38"/>
  <c r="E27" i="38"/>
  <c r="C26" i="38"/>
  <c r="G26" i="38"/>
  <c r="K26" i="38"/>
  <c r="O26" i="38"/>
  <c r="D26" i="38"/>
  <c r="H26" i="38"/>
  <c r="L26" i="38"/>
  <c r="E26" i="38"/>
  <c r="I26" i="38"/>
  <c r="M26" i="38"/>
  <c r="E22" i="38"/>
  <c r="I22" i="38"/>
  <c r="M22" i="38"/>
  <c r="F22" i="38"/>
  <c r="J22" i="38"/>
  <c r="N22" i="38"/>
  <c r="C22" i="38"/>
  <c r="G22" i="38"/>
  <c r="K22" i="38"/>
  <c r="Z88" i="38"/>
  <c r="Z112" i="38"/>
  <c r="Z136" i="38"/>
  <c r="Z106" i="38"/>
  <c r="Z70" i="38"/>
  <c r="Z94" i="38"/>
  <c r="Z118" i="38"/>
  <c r="Z58" i="38"/>
  <c r="Z52" i="38"/>
  <c r="Z82" i="38"/>
  <c r="Z130" i="38"/>
  <c r="Z76" i="38"/>
  <c r="Z100" i="38"/>
  <c r="Z124" i="38"/>
  <c r="Z46" i="38"/>
  <c r="H2" i="38"/>
  <c r="D2" i="38"/>
  <c r="L2" i="38"/>
  <c r="E2" i="38"/>
  <c r="M2" i="38"/>
  <c r="K5" i="38"/>
  <c r="D5" i="38"/>
  <c r="H5" i="38"/>
  <c r="L5" i="38"/>
  <c r="E5" i="38"/>
  <c r="I5" i="38"/>
  <c r="M5" i="38"/>
  <c r="C5" i="38"/>
  <c r="G5" i="38"/>
  <c r="O5" i="38"/>
  <c r="B5" i="38"/>
  <c r="F5" i="38"/>
  <c r="J5" i="38"/>
  <c r="B2" i="38"/>
  <c r="F2" i="38"/>
  <c r="J2" i="38"/>
  <c r="N2" i="38"/>
  <c r="C2" i="38"/>
  <c r="Z2" i="38" s="1"/>
  <c r="G2" i="38"/>
  <c r="K2" i="38"/>
  <c r="O2" i="38"/>
  <c r="B7" i="38"/>
  <c r="Z44" i="38"/>
  <c r="Z42" i="38"/>
  <c r="Z1" i="38"/>
  <c r="Z43" i="38"/>
  <c r="Z45" i="38"/>
  <c r="A10"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N29" i="38" l="1"/>
  <c r="K29" i="38"/>
  <c r="D29" i="38"/>
  <c r="D7" i="38"/>
  <c r="O7" i="38"/>
  <c r="H7" i="38"/>
  <c r="E7" i="38"/>
  <c r="F7" i="38"/>
  <c r="C7" i="38"/>
  <c r="L7" i="38"/>
  <c r="I7" i="38"/>
  <c r="J7" i="38"/>
  <c r="K7" i="38"/>
  <c r="G7" i="38"/>
  <c r="M7" i="38"/>
  <c r="E29" i="38"/>
  <c r="H29" i="38"/>
  <c r="O29" i="38"/>
  <c r="I29" i="38"/>
  <c r="F29" i="38"/>
  <c r="C29" i="38"/>
  <c r="M29" i="38"/>
  <c r="J29" i="38"/>
  <c r="H22" i="38"/>
  <c r="Y3" i="38"/>
  <c r="Y4" i="38" s="1"/>
  <c r="Z4" i="38" s="1"/>
  <c r="C24" i="38"/>
  <c r="N24" i="38"/>
  <c r="J24" i="38"/>
  <c r="F24" i="38"/>
  <c r="M24" i="38"/>
  <c r="I24" i="38"/>
  <c r="E24" i="38"/>
  <c r="L24" i="38"/>
  <c r="H24" i="38"/>
  <c r="D24" i="38"/>
  <c r="O24" i="38"/>
  <c r="K24" i="38"/>
  <c r="G24" i="38"/>
  <c r="M9" i="38"/>
  <c r="I9" i="38"/>
  <c r="E9" i="38"/>
  <c r="L9" i="38"/>
  <c r="H9" i="38"/>
  <c r="D9" i="38"/>
  <c r="N9" i="38"/>
  <c r="B9" i="38"/>
  <c r="O9" i="38"/>
  <c r="K9" i="38"/>
  <c r="G9" i="38"/>
  <c r="C9" i="38"/>
  <c r="J9" i="38"/>
  <c r="F9" i="38"/>
  <c r="N6" i="38"/>
  <c r="J6" i="38"/>
  <c r="F6" i="38"/>
  <c r="B6" i="38"/>
  <c r="M6" i="38"/>
  <c r="E6" i="38"/>
  <c r="O6" i="38"/>
  <c r="K6" i="38"/>
  <c r="G6" i="38"/>
  <c r="C6" i="38"/>
  <c r="Z6" i="38" s="1"/>
  <c r="N11" i="38" s="1"/>
  <c r="I6" i="38"/>
  <c r="L6" i="38"/>
  <c r="H6" i="38"/>
  <c r="D6" i="38"/>
  <c r="M19" i="46"/>
  <c r="M16" i="46"/>
  <c r="M22" i="46"/>
  <c r="M13" i="46"/>
  <c r="M25" i="46"/>
  <c r="Q36" i="46"/>
  <c r="K11" i="38" l="1"/>
  <c r="L11" i="38"/>
  <c r="B11" i="38"/>
  <c r="O11" i="38"/>
  <c r="E11" i="38"/>
  <c r="F11" i="38"/>
  <c r="C11" i="38"/>
  <c r="D11" i="38"/>
  <c r="I11" i="38"/>
  <c r="J11" i="38"/>
  <c r="G11" i="38"/>
  <c r="H11" i="38"/>
  <c r="M11" i="38"/>
  <c r="Y7" i="38"/>
  <c r="Y8" i="38" s="1"/>
  <c r="Z8" i="38" s="1"/>
  <c r="Y9" i="38" s="1"/>
  <c r="Z9" i="38" s="1"/>
  <c r="F25" i="38"/>
  <c r="K25" i="38"/>
  <c r="J25" i="38"/>
  <c r="N25" i="38"/>
  <c r="O25" i="38"/>
  <c r="M25" i="38"/>
  <c r="H25" i="38"/>
  <c r="L25" i="38"/>
  <c r="E25" i="38"/>
  <c r="C25" i="38"/>
  <c r="D25" i="38"/>
  <c r="I25" i="38"/>
  <c r="G25" i="38"/>
  <c r="L23" i="38"/>
  <c r="N23" i="38"/>
  <c r="E23" i="38"/>
  <c r="M23" i="38"/>
  <c r="D23" i="38"/>
  <c r="I23" i="38"/>
  <c r="H23" i="38"/>
  <c r="C23" i="38"/>
  <c r="G23" i="38"/>
  <c r="O23" i="38"/>
  <c r="J23" i="38"/>
  <c r="F23" i="38"/>
  <c r="K23" i="38"/>
  <c r="Z3" i="38"/>
  <c r="Y5" i="38"/>
  <c r="Z5" i="38" s="1"/>
  <c r="AA4" i="38" s="1"/>
  <c r="O13" i="38"/>
  <c r="K13" i="38"/>
  <c r="G13" i="38"/>
  <c r="C13" i="38"/>
  <c r="N13" i="38"/>
  <c r="J13" i="38"/>
  <c r="F13" i="38"/>
  <c r="B13" i="38"/>
  <c r="L13" i="38"/>
  <c r="M13" i="38"/>
  <c r="I13" i="38"/>
  <c r="E13" i="38"/>
  <c r="H13" i="38"/>
  <c r="D13" i="38"/>
  <c r="L10" i="38"/>
  <c r="H10" i="38"/>
  <c r="D10" i="38"/>
  <c r="O10" i="38"/>
  <c r="K10" i="38"/>
  <c r="C10" i="38"/>
  <c r="Z10" i="38" s="1"/>
  <c r="M10" i="38"/>
  <c r="I10" i="38"/>
  <c r="E10" i="38"/>
  <c r="G10" i="38"/>
  <c r="N10" i="38"/>
  <c r="J10" i="38"/>
  <c r="F10" i="38"/>
  <c r="B10" i="38"/>
  <c r="GL3" i="46"/>
  <c r="EU3" i="46"/>
  <c r="Y11" i="38" l="1"/>
  <c r="Z11" i="38" s="1"/>
  <c r="AA2" i="38"/>
  <c r="Z7" i="38"/>
  <c r="Q46" i="46"/>
  <c r="Q47" i="46" s="1"/>
  <c r="Y43" i="38"/>
  <c r="Y42" i="38"/>
  <c r="Y12" i="38" l="1"/>
  <c r="Z12" i="38" s="1"/>
  <c r="Y13" i="38" s="1"/>
  <c r="Z13" i="38" s="1"/>
  <c r="N15" i="38"/>
  <c r="K15" i="38"/>
  <c r="H15" i="38"/>
  <c r="F15" i="38"/>
  <c r="O15" i="38"/>
  <c r="L15" i="38"/>
  <c r="B15" i="38"/>
  <c r="D15" i="38"/>
  <c r="Y15" i="38" s="1"/>
  <c r="E15" i="38"/>
  <c r="M15" i="38"/>
  <c r="J15" i="38"/>
  <c r="G15" i="38"/>
  <c r="C15" i="38"/>
  <c r="I15" i="38"/>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J17" i="38"/>
  <c r="H17" i="38"/>
  <c r="B17" i="38"/>
  <c r="E17" i="38"/>
  <c r="D17" i="38"/>
  <c r="K17" i="38"/>
  <c r="I17" i="38"/>
  <c r="O17" i="38"/>
  <c r="G17" i="38"/>
  <c r="L17" i="38"/>
  <c r="C17" i="38"/>
  <c r="M17" i="38"/>
  <c r="F17" i="38"/>
  <c r="N17" i="38"/>
  <c r="AA6" i="38"/>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Z15" i="38" l="1"/>
  <c r="AA14" i="38" s="1"/>
  <c r="Y16" i="38"/>
  <c r="Z16" i="38" s="1"/>
  <c r="Y17" i="38" s="1"/>
  <c r="Z17" i="38" s="1"/>
  <c r="AA16" i="38" s="1"/>
  <c r="AA10" i="38"/>
  <c r="AA8"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12"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<sst xmlns="http://schemas.openxmlformats.org/spreadsheetml/2006/main" count="1414" uniqueCount="632">
  <si>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</si>
  <si>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</si>
  <si>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</si>
  <si>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</si>
  <si>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</si>
  <si>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</si>
  <si>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</si>
  <si>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</si>
  <si>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</si>
  <si>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</si>
  <si>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</si>
  <si>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</si>
  <si>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</si>
  <si>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</si>
  <si>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</si>
  <si>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</si>
  <si>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</si>
  <si>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</si>
  <si>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</si>
  <si>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</si>
  <si>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</si>
  <si>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</si>
  <si>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</si>
  <si>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</si>
  <si>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</si>
  <si>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</si>
  <si>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</si>
  <si>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</si>
  <si>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</si>
  <si>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</si>
  <si>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</si>
  <si>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</si>
  <si>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</si>
  <si>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</si>
  <si>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</si>
  <si>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</si>
  <si>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</si>
  <si>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</si>
  <si>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</si>
  <si>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</si>
  <si>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</si>
  <si>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</si>
  <si>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</si>
  <si>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</si>
  <si>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</si>
  <si>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</si>
  <si>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</si>
  <si>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</si>
  <si>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</si>
  <si>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</si>
  <si>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</si>
  <si>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</si>
  <si>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</si>
  <si>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</si>
  <si>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</si>
  <si>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</si>
  <si>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</si>
  <si>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</si>
  <si>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</si>
  <si>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</si>
  <si>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</si>
  <si>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</si>
  <si>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</si>
  <si>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</si>
  <si>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</si>
  <si>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</si>
  <si>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</si>
  <si>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</si>
  <si>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</si>
  <si>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</si>
  <si>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</si>
  <si>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</si>
  <si>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</si>
  <si>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</si>
  <si>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</si>
  <si>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</si>
  <si>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</si>
  <si>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</si>
  <si>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</si>
  <si>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</si>
  <si>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</si>
  <si>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</si>
  <si>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</si>
  <si>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</si>
  <si>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</si>
  <si>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</si>
  <si>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</si>
  <si>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</si>
  <si>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</si>
  <si>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</si>
  <si>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</si>
  <si>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</si>
  <si>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</si>
  <si>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</si>
  <si>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</si>
  <si>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</si>
  <si>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</si>
  <si>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</si>
  <si>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</si>
  <si>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</si>
  <si>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</si>
  <si>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</si>
  <si>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</si>
  <si>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</si>
  <si>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</si>
  <si>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</si>
  <si>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</si>
  <si>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</si>
  <si>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</si>
  <si>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</si>
  <si>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</si>
  <si>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</si>
  <si>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</si>
  <si>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</si>
  <si>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</si>
  <si>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</si>
  <si>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</si>
  <si>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</si>
  <si>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</si>
  <si>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</si>
  <si>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</si>
  <si>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</si>
  <si>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</si>
  <si>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</si>
  <si>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</si>
  <si>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</si>
  <si>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</si>
  <si>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</si>
  <si>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</si>
  <si>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</si>
  <si>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</si>
  <si>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</si>
  <si>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</si>
  <si>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</si>
  <si>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</si>
  <si>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</si>
  <si>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</si>
  <si>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</si>
  <si>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</si>
  <si>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</si>
  <si>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</si>
  <si>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</si>
  <si>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</si>
  <si>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</si>
  <si>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</si>
  <si>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</si>
  <si>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</si>
  <si>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</si>
  <si>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</si>
  <si>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</si>
  <si>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</si>
  <si>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</si>
  <si>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</si>
  <si>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</si>
  <si>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</si>
  <si>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</si>
  <si>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</si>
  <si>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</si>
  <si>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</si>
  <si>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</si>
  <si>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</si>
  <si>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</si>
  <si>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</si>
  <si>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</si>
  <si>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</si>
  <si>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</si>
  <si>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</si>
  <si>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</si>
  <si>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</si>
  <si>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</si>
  <si>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</si>
  <si>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</si>
  <si>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</si>
  <si>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</si>
  <si>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</si>
  <si>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</si>
  <si>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</si>
  <si>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</si>
  <si>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</si>
  <si>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</si>
  <si>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</si>
  <si>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</si>
  <si>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</si>
  <si>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</si>
  <si>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</si>
  <si>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</si>
  <si>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</si>
  <si>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</si>
  <si>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</si>
  <si>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</si>
  <si>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</si>
  <si>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</si>
  <si>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</si>
  <si>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</si>
  <si>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</si>
  <si>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</si>
  <si>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</si>
  <si>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</si>
  <si>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</si>
  <si>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</si>
  <si>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</si>
  <si>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</si>
  <si>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</si>
  <si>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</si>
  <si>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</si>
  <si>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</si>
  <si>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</si>
  <si>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</si>
  <si>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</si>
  <si>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</si>
  <si>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</si>
  <si>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</si>
  <si>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</si>
  <si>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</si>
  <si>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</si>
  <si>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</si>
  <si>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</si>
  <si>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</si>
  <si>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</si>
  <si>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</si>
  <si>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</si>
  <si>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</si>
  <si>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</si>
  <si>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</si>
  <si>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</si>
  <si>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</si>
  <si>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</si>
  <si>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</si>
  <si>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</si>
  <si>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</si>
  <si>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</si>
  <si>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</si>
  <si>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</si>
  <si>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</si>
  <si>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</si>
  <si>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</si>
  <si>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</si>
  <si>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</si>
  <si>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</si>
  <si>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</si>
  <si>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</si>
  <si>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</si>
  <si>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</si>
  <si>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</si>
  <si>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</si>
  <si>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</si>
  <si>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</si>
  <si>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</si>
  <si>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</si>
  <si>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</si>
  <si>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</si>
  <si>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</si>
  <si>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</si>
  <si>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</si>
  <si>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</si>
  <si>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</si>
  <si>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</si>
  <si>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</si>
  <si>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</si>
  <si>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</si>
  <si>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</si>
  <si>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</si>
  <si>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</si>
  <si>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</si>
  <si>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</si>
  <si>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</si>
  <si>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</si>
  <si>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</si>
  <si>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</si>
  <si>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</si>
  <si>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</si>
  <si>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</si>
  <si>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</si>
  <si>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</si>
  <si>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</si>
  <si>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</si>
  <si>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</si>
  <si>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</si>
  <si>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</si>
  <si>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</si>
  <si>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</si>
  <si>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</si>
  <si>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</si>
  <si>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</si>
  <si>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</si>
  <si>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</si>
  <si>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</si>
  <si>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</si>
  <si>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</si>
  <si>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</si>
  <si>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</si>
  <si>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</si>
  <si>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</si>
  <si>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</si>
  <si>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</si>
  <si>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</si>
  <si>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</si>
  <si>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</si>
  <si>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</si>
  <si>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</si>
  <si>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</si>
  <si>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</si>
  <si>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</si>
  <si>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</si>
  <si>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</si>
  <si>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</si>
  <si>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</si>
  <si>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</si>
  <si>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</si>
  <si>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</si>
  <si>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</si>
  <si>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</si>
  <si>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</si>
  <si>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</si>
  <si>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</si>
  <si>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</si>
  <si>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</si>
  <si>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</si>
  <si>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</si>
  <si>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</si>
  <si>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</si>
  <si>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</si>
  <si>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</si>
  <si>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</si>
  <si>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</si>
  <si>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</si>
  <si>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</si>
  <si>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</si>
  <si>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</si>
  <si>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</si>
  <si>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</si>
  <si>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</si>
  <si>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</si>
  <si>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</si>
  <si>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</si>
  <si>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</si>
  <si>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</si>
  <si>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</si>
  <si>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</si>
  <si>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</si>
  <si>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</si>
  <si>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</si>
  <si>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</si>
  <si>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</si>
  <si>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</si>
  <si>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</si>
  <si>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</si>
  <si>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</si>
  <si>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</si>
  <si>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</si>
  <si>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</si>
  <si>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</si>
  <si>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</si>
  <si>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</si>
  <si>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</si>
  <si>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</si>
  <si>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</si>
  <si>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</si>
  <si>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</si>
  <si>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</si>
  <si>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</si>
  <si>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</si>
  <si>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</si>
  <si>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</si>
  <si>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</si>
  <si>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</si>
  <si>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</si>
  <si>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</si>
  <si>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</si>
  <si>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</si>
  <si>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</si>
  <si>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</si>
  <si>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</si>
  <si>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</si>
  <si>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</si>
  <si>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</si>
  <si>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</si>
  <si>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</si>
  <si>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</si>
  <si>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</si>
  <si>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</si>
  <si>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</si>
  <si>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</si>
  <si>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</si>
  <si>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</si>
  <si>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</si>
  <si>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</si>
  <si>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</si>
  <si>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</si>
  <si>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</si>
  <si>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</si>
  <si>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</si>
  <si>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</si>
  <si>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</si>
  <si>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</si>
  <si>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</si>
  <si>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</si>
  <si>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</si>
  <si>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</si>
  <si>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</si>
  <si>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</si>
  <si>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</si>
  <si>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</si>
  <si>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</si>
  <si>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</si>
  <si>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</si>
  <si>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</si>
  <si>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</si>
  <si>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</si>
  <si>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</si>
  <si>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</si>
  <si>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</si>
  <si>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</si>
  <si>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</si>
  <si>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</si>
  <si>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</si>
  <si>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</si>
  <si>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</si>
  <si>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</si>
  <si>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</si>
  <si>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</si>
  <si>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</si>
  <si>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</si>
  <si>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</si>
  <si>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</si>
  <si>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</si>
  <si>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</si>
  <si>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</si>
  <si>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</si>
  <si>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</si>
  <si>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</si>
  <si>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</si>
  <si>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</si>
  <si>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</si>
  <si>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</si>
  <si>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</si>
  <si>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</si>
  <si>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</si>
  <si>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</si>
  <si>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</si>
  <si>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</si>
  <si>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</si>
  <si>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</si>
  <si>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</si>
  <si>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</si>
  <si>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</si>
  <si>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</si>
  <si>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</si>
  <si>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</si>
  <si>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</si>
  <si>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</si>
  <si>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</si>
  <si>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</si>
  <si>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</si>
  <si>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</si>
  <si>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</si>
  <si>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</si>
  <si>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</si>
  <si>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</si>
  <si>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</si>
  <si>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</si>
  <si>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</si>
  <si>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</si>
  <si>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</si>
  <si>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</si>
  <si>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</si>
  <si>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</si>
  <si>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</si>
  <si>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</si>
  <si>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</si>
  <si>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</si>
  <si>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</si>
  <si>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</si>
  <si>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</si>
  <si>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</si>
  <si>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</si>
  <si>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</si>
  <si>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</si>
  <si>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</si>
  <si>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</si>
  <si>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</si>
  <si>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</si>
  <si>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</si>
  <si>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</si>
  <si>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</si>
  <si>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</si>
  <si>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</si>
  <si>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</si>
  <si>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</si>
  <si>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</si>
  <si>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</si>
  <si>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</si>
  <si>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</si>
  <si>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</si>
  <si>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</si>
  <si>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</si>
  <si>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</si>
  <si>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</si>
  <si>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</si>
  <si>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</si>
  <si>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</si>
  <si>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</si>
  <si>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</si>
  <si>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</si>
  <si>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</si>
  <si>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</si>
  <si>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</si>
  <si>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</si>
  <si>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</si>
  <si>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</si>
  <si>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</si>
  <si>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</si>
  <si>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</si>
  <si>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</si>
  <si>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</si>
  <si>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</si>
  <si>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</si>
  <si>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</si>
  <si>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</si>
  <si>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</si>
  <si>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</si>
  <si>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</si>
  <si>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</si>
  <si>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</si>
  <si>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</si>
  <si>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</si>
  <si>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</si>
  <si>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</si>
  <si>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</si>
  <si>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</si>
  <si>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</si>
  <si>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</si>
  <si>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</si>
  <si>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</si>
  <si>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</si>
  <si>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</si>
  <si>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</si>
  <si>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</si>
  <si>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</si>
  <si>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</si>
  <si>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</si>
  <si>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</si>
  <si>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</si>
  <si>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</si>
  <si>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</si>
  <si>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</si>
  <si>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</si>
  <si>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</si>
  <si>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</si>
  <si>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</si>
  <si>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</si>
  <si>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</si>
  <si>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</si>
  <si>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</si>
  <si>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</si>
  <si>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</si>
  <si>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</si>
  <si>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</si>
  <si>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</si>
  <si>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</si>
  <si>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</si>
  <si>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</si>
  <si>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</si>
  <si>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</si>
  <si>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</si>
  <si>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</si>
  <si>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</si>
  <si>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</si>
  <si>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</si>
  <si>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</si>
  <si>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GFGC18515D</t>
  </si>
  <si>
    <t>GFGC19315D</t>
  </si>
  <si>
    <t>GFGC20915D</t>
  </si>
  <si>
    <t>GFGV90152D</t>
  </si>
  <si>
    <t>GFGV94152D</t>
  </si>
  <si>
    <t>GFGV1033DI</t>
  </si>
  <si>
    <t>GFGV10915D</t>
  </si>
  <si>
    <t>GFGC2020DI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</si>
  <si>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</si>
  <si>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</si>
  <si>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</si>
  <si>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</si>
  <si>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</si>
  <si>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</si>
  <si>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</si>
  <si>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</si>
  <si>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</si>
  <si>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</si>
  <si>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</si>
  <si>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</si>
  <si>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</si>
  <si>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</si>
  <si>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</si>
  <si>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</si>
  <si>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</si>
  <si>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</si>
  <si>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</si>
  <si>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</si>
  <si>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</si>
  <si>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</si>
  <si>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</si>
  <si>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</si>
  <si>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</si>
  <si>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</si>
  <si>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</si>
  <si>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</si>
  <si>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</si>
  <si>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</si>
  <si>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</si>
  <si>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</si>
  <si>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</si>
  <si>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</si>
  <si>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</si>
  <si>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</si>
  <si>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</si>
  <si>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</si>
  <si>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</si>
  <si>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</si>
  <si>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</si>
  <si>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</si>
  <si>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</si>
  <si>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</si>
  <si>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</si>
  <si>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</si>
  <si>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</si>
  <si>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</si>
  <si>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</si>
  <si>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</si>
  <si>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</si>
  <si>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</si>
  <si>
    <t>GFGC1640DI</t>
  </si>
  <si>
    <t>GFGC17715D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</si>
</sst>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7">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u/>
      <sz val="8"/>
      <color theme="1" tint="0.249977111117893"/>
      <name val="Calibri"/>
      <family val="2"/>
      <scheme val="minor"/>
    </font>
    <font>
      <sz val="8"/>
      <color theme="4" tint="-0.249977111117893"/>
      <name val="Arial"/>
      <family val="2"/>
    </font>
    <font>
      <sz val="7"/>
      <color rgb="FF12782D"/>
      <name val="Arial"/>
      <family val="2"/>
    </font>
    <font>
      <sz val="7"/>
      <color theme="4" tint="-0.249977111117893"/>
      <name val="Arial"/>
      <family val="2"/>
    </font>
    <font>
      <sz val="7"/>
      <color theme="9" tint="-0.499984740745262"/>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1" tint="4.9989318521683403E-2"/>
      </left>
      <right style="thin">
        <color theme="3" tint="4.9989318521683403E-2"/>
      </right>
      <top/>
      <bottom style="thin">
        <color theme="1" tint="0.249977111117893"/>
      </bottom>
      <diagonal/>
    </border>
    <border>
      <left style="thin">
        <color theme="3" tint="4.9989318521683403E-2"/>
      </left>
      <right/>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249977111117893"/>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theme="0" tint="-0.499984740745262"/>
      </right>
      <top style="thin">
        <color indexed="64"/>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49">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49"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2" xfId="0" applyNumberFormat="1" applyFont="1" applyFill="1" applyBorder="1" applyAlignment="1">
      <alignment horizontal="center" vertical="center"/>
    </xf>
    <xf numFmtId="1" fontId="23" fillId="9" borderId="163" xfId="0" applyNumberFormat="1" applyFont="1" applyFill="1" applyBorder="1" applyAlignment="1">
      <alignment horizontal="center"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8" xfId="0" applyNumberFormat="1" applyFont="1" applyFill="1" applyBorder="1" applyAlignment="1">
      <alignment horizontal="center" vertical="center"/>
    </xf>
    <xf numFmtId="1" fontId="25" fillId="9" borderId="169"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4" fillId="9" borderId="172"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3"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6" xfId="0" applyNumberFormat="1" applyFont="1" applyFill="1" applyBorder="1" applyAlignment="1">
      <alignment horizontal="center" vertical="center"/>
    </xf>
    <xf numFmtId="166" fontId="39" fillId="10" borderId="167"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7"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6" xfId="0" applyFont="1" applyFill="1" applyBorder="1" applyAlignment="1">
      <alignment horizontal="right" vertical="center"/>
    </xf>
    <xf numFmtId="0" fontId="43" fillId="10" borderId="167"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7"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6" xfId="0" applyFont="1" applyFill="1" applyBorder="1" applyAlignment="1">
      <alignment horizontal="center" vertical="center"/>
    </xf>
    <xf numFmtId="0" fontId="23" fillId="9" borderId="180" xfId="0" applyFont="1" applyFill="1" applyBorder="1" applyAlignment="1">
      <alignment horizontal="center" vertical="center"/>
    </xf>
    <xf numFmtId="0" fontId="23" fillId="9" borderId="181"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7"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7" xfId="55" applyNumberFormat="1" applyFont="1" applyFill="1" applyBorder="1" applyAlignment="1">
      <alignment horizontal="right" vertical="center"/>
    </xf>
    <xf numFmtId="0" fontId="79" fillId="10" borderId="167" xfId="0" applyFont="1" applyFill="1" applyBorder="1" applyAlignment="1">
      <alignment horizontal="right" vertical="center"/>
    </xf>
    <xf numFmtId="0" fontId="31" fillId="9" borderId="167" xfId="0" applyFont="1" applyFill="1" applyBorder="1" applyAlignment="1">
      <alignment horizontal="center" vertical="center"/>
    </xf>
    <xf numFmtId="166" fontId="39" fillId="10" borderId="184" xfId="0" applyNumberFormat="1" applyFont="1" applyFill="1" applyBorder="1" applyAlignment="1">
      <alignment horizontal="center" vertical="center"/>
    </xf>
    <xf numFmtId="0" fontId="44" fillId="9" borderId="184" xfId="0" applyFont="1" applyFill="1" applyBorder="1" applyAlignment="1">
      <alignment vertical="center"/>
    </xf>
    <xf numFmtId="167" fontId="39" fillId="10" borderId="188" xfId="55" applyNumberFormat="1" applyFont="1" applyFill="1" applyBorder="1" applyAlignment="1">
      <alignment horizontal="right" vertical="center"/>
    </xf>
    <xf numFmtId="10" fontId="31" fillId="10" borderId="188" xfId="114" applyNumberFormat="1" applyFont="1" applyFill="1" applyBorder="1" applyAlignment="1">
      <alignment horizontal="right" vertical="center"/>
    </xf>
    <xf numFmtId="0" fontId="13" fillId="17" borderId="189" xfId="15" applyFont="1" applyFill="1" applyBorder="1" applyAlignment="1">
      <alignment horizontal="center"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10" fontId="95" fillId="10" borderId="188"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2"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1" fontId="99"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1" fillId="11" borderId="150" xfId="77" applyNumberFormat="1" applyFont="1" applyFill="1" applyBorder="1" applyAlignment="1">
      <alignment horizontal="center" vertical="center"/>
    </xf>
    <xf numFmtId="1" fontId="102" fillId="11" borderId="152"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2" xfId="0" applyNumberFormat="1" applyFont="1" applyFill="1" applyBorder="1" applyAlignment="1">
      <alignment horizontal="center" vertical="center"/>
    </xf>
    <xf numFmtId="3" fontId="82" fillId="7" borderId="193" xfId="0" applyNumberFormat="1" applyFont="1" applyFill="1" applyBorder="1" applyAlignment="1">
      <alignment horizontal="center" vertical="center"/>
    </xf>
    <xf numFmtId="3" fontId="82" fillId="7" borderId="194" xfId="0" applyNumberFormat="1" applyFont="1" applyFill="1" applyBorder="1" applyAlignment="1">
      <alignment horizontal="center" vertical="center"/>
    </xf>
    <xf numFmtId="3" fontId="81" fillId="7" borderId="195" xfId="0" applyNumberFormat="1" applyFont="1" applyFill="1" applyBorder="1" applyAlignment="1">
      <alignment horizontal="center" vertical="center"/>
    </xf>
    <xf numFmtId="3" fontId="81" fillId="7" borderId="196" xfId="0"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1" fontId="103" fillId="11" borderId="150" xfId="77" applyNumberFormat="1" applyFont="1" applyFill="1" applyBorder="1" applyAlignment="1">
      <alignment horizontal="center" vertical="center"/>
    </xf>
    <xf numFmtId="0" fontId="104" fillId="9" borderId="158" xfId="55" applyNumberFormat="1" applyFont="1" applyFill="1" applyBorder="1" applyAlignment="1">
      <alignment horizontal="center" vertical="center"/>
    </xf>
    <xf numFmtId="0" fontId="104" fillId="9" borderId="153" xfId="0" applyNumberFormat="1" applyFont="1" applyFill="1" applyBorder="1" applyAlignment="1">
      <alignment horizontal="center" vertical="center"/>
    </xf>
    <xf numFmtId="0" fontId="104"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3" xfId="0" applyNumberFormat="1" applyFont="1" applyFill="1" applyBorder="1" applyAlignment="1">
      <alignment horizontal="center" vertical="center"/>
    </xf>
    <xf numFmtId="2" fontId="44" fillId="9" borderId="154"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0" fillId="9" borderId="160" xfId="0" applyNumberFormat="1" applyFont="1" applyFill="1" applyBorder="1" applyAlignment="1">
      <alignment horizontal="center" vertical="center"/>
    </xf>
    <xf numFmtId="2" fontId="40" fillId="9" borderId="155" xfId="0" applyNumberFormat="1" applyFont="1" applyFill="1" applyBorder="1" applyAlignment="1">
      <alignment horizontal="center" vertical="center"/>
    </xf>
    <xf numFmtId="2" fontId="94" fillId="9" borderId="175" xfId="55" applyNumberFormat="1" applyFont="1" applyFill="1" applyBorder="1" applyAlignment="1">
      <alignment horizontal="center" vertical="center"/>
    </xf>
    <xf numFmtId="2" fontId="93" fillId="9" borderId="169"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1" xfId="0" applyNumberFormat="1" applyFont="1" applyFill="1" applyBorder="1" applyAlignment="1">
      <alignment horizontal="center" vertical="center"/>
    </xf>
    <xf numFmtId="2" fontId="91" fillId="0" borderId="179"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0"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58" xfId="55" applyNumberFormat="1" applyFont="1" applyFill="1" applyBorder="1" applyAlignment="1">
      <alignment horizontal="center" vertical="center"/>
    </xf>
    <xf numFmtId="0" fontId="85" fillId="9" borderId="161"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0" fontId="104" fillId="9" borderId="158" xfId="55" applyNumberFormat="1" applyFont="1" applyFill="1" applyBorder="1" applyAlignment="1">
      <alignment horizontal="left" vertical="center"/>
    </xf>
    <xf numFmtId="1" fontId="104" fillId="9" borderId="161"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58"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1"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1" xfId="55" applyNumberFormat="1" applyFont="1" applyFill="1" applyBorder="1" applyAlignment="1">
      <alignment horizontal="right" vertical="center"/>
    </xf>
    <xf numFmtId="0" fontId="107" fillId="9" borderId="158" xfId="55" applyNumberFormat="1" applyFont="1" applyFill="1" applyBorder="1" applyAlignment="1">
      <alignment horizontal="right" vertical="center"/>
    </xf>
    <xf numFmtId="0" fontId="31" fillId="9" borderId="191"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58" xfId="55" applyNumberFormat="1" applyFont="1" applyFill="1" applyBorder="1" applyAlignment="1">
      <alignment horizontal="center" vertical="center"/>
    </xf>
    <xf numFmtId="0" fontId="109" fillId="9" borderId="161"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4"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5" xfId="55" applyNumberFormat="1" applyFont="1" applyFill="1" applyBorder="1" applyAlignment="1">
      <alignment horizontal="center" vertical="center"/>
    </xf>
    <xf numFmtId="0" fontId="42" fillId="12" borderId="206"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1" fontId="104" fillId="9" borderId="109" xfId="55" applyNumberFormat="1" applyFont="1" applyFill="1" applyBorder="1" applyAlignment="1">
      <alignment horizontal="center" vertical="center"/>
    </xf>
    <xf numFmtId="0" fontId="38" fillId="9" borderId="187" xfId="0" applyFont="1" applyFill="1" applyBorder="1" applyAlignment="1">
      <alignment vertical="center"/>
    </xf>
    <xf numFmtId="0" fontId="38" fillId="9" borderId="110" xfId="0" applyFont="1" applyFill="1" applyBorder="1" applyAlignment="1">
      <alignment vertical="center"/>
    </xf>
    <xf numFmtId="0" fontId="104" fillId="9" borderId="158" xfId="55" applyNumberFormat="1" applyFont="1" applyFill="1" applyBorder="1" applyAlignment="1">
      <alignment horizontal="right" vertical="center"/>
    </xf>
    <xf numFmtId="0" fontId="109" fillId="9" borderId="209" xfId="55" applyNumberFormat="1" applyFont="1" applyFill="1" applyBorder="1" applyAlignment="1">
      <alignment vertical="top"/>
    </xf>
    <xf numFmtId="2" fontId="44" fillId="9" borderId="156" xfId="0"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0" fontId="85" fillId="9" borderId="208" xfId="55" applyNumberFormat="1" applyFont="1" applyFill="1" applyBorder="1" applyAlignment="1">
      <alignment horizontal="center" vertical="center"/>
    </xf>
    <xf numFmtId="0" fontId="109" fillId="9" borderId="208" xfId="55" applyNumberFormat="1" applyFont="1" applyFill="1" applyBorder="1" applyAlignment="1">
      <alignment horizontal="center" vertical="center"/>
    </xf>
    <xf numFmtId="1" fontId="104" fillId="9" borderId="208" xfId="55" applyNumberFormat="1" applyFont="1" applyFill="1" applyBorder="1" applyAlignment="1">
      <alignment horizontal="center" vertical="center"/>
    </xf>
    <xf numFmtId="0" fontId="80" fillId="10" borderId="131" xfId="55" applyNumberFormat="1" applyFont="1" applyFill="1" applyBorder="1" applyAlignment="1">
      <alignment horizontal="right" vertical="center"/>
    </xf>
    <xf numFmtId="0" fontId="78" fillId="10" borderId="131" xfId="0" applyFont="1" applyFill="1" applyBorder="1" applyAlignment="1">
      <alignment horizontal="right" vertical="center"/>
    </xf>
    <xf numFmtId="0" fontId="93" fillId="9" borderId="211" xfId="55" applyNumberFormat="1" applyFont="1" applyFill="1" applyBorder="1" applyAlignment="1">
      <alignment horizontal="right" vertical="center"/>
    </xf>
    <xf numFmtId="0" fontId="107" fillId="9" borderId="211" xfId="55" applyNumberFormat="1" applyFont="1" applyFill="1" applyBorder="1" applyAlignment="1">
      <alignment horizontal="right" vertical="center"/>
    </xf>
    <xf numFmtId="0" fontId="31" fillId="9" borderId="211" xfId="0" applyFont="1" applyFill="1" applyBorder="1" applyAlignment="1">
      <alignment horizontal="center" vertical="center"/>
    </xf>
    <xf numFmtId="10" fontId="108"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0" fontId="23" fillId="9" borderId="212" xfId="0" applyFont="1" applyFill="1" applyBorder="1" applyAlignment="1">
      <alignment horizontal="center" vertical="center"/>
    </xf>
    <xf numFmtId="1" fontId="23"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2" fontId="104" fillId="9" borderId="210" xfId="0" applyNumberFormat="1" applyFont="1" applyFill="1" applyBorder="1" applyAlignment="1">
      <alignment horizontal="center" vertical="center"/>
    </xf>
    <xf numFmtId="2" fontId="93" fillId="9" borderId="135" xfId="55" applyNumberFormat="1" applyFont="1" applyFill="1" applyBorder="1" applyAlignment="1">
      <alignment horizontal="center" vertical="center"/>
    </xf>
    <xf numFmtId="0" fontId="109" fillId="9" borderId="133" xfId="55" applyNumberFormat="1" applyFont="1" applyFill="1" applyBorder="1" applyAlignment="1">
      <alignment vertical="top"/>
    </xf>
    <xf numFmtId="0" fontId="104" fillId="9" borderId="215" xfId="0" applyNumberFormat="1" applyFont="1" applyFill="1" applyBorder="1" applyAlignment="1">
      <alignment vertical="center"/>
    </xf>
    <xf numFmtId="0" fontId="112" fillId="10" borderId="113" xfId="0" applyFont="1" applyFill="1" applyBorder="1" applyAlignment="1">
      <alignment horizontal="right" vertical="center"/>
    </xf>
    <xf numFmtId="0" fontId="92" fillId="9" borderId="158" xfId="55" applyNumberFormat="1" applyFont="1" applyFill="1" applyBorder="1" applyAlignment="1">
      <alignment horizontal="left" vertical="center"/>
    </xf>
    <xf numFmtId="0" fontId="92" fillId="9" borderId="161" xfId="55" applyNumberFormat="1" applyFont="1" applyFill="1" applyBorder="1" applyAlignment="1">
      <alignment horizontal="right" vertical="center"/>
    </xf>
    <xf numFmtId="0" fontId="33" fillId="9" borderId="158" xfId="55" applyNumberFormat="1" applyFont="1" applyFill="1" applyBorder="1" applyAlignment="1">
      <alignment horizontal="left" vertical="center"/>
    </xf>
    <xf numFmtId="0" fontId="40" fillId="9" borderId="158" xfId="55" applyNumberFormat="1" applyFont="1" applyFill="1" applyBorder="1" applyAlignment="1">
      <alignment horizontal="right" vertical="center"/>
    </xf>
    <xf numFmtId="0" fontId="89" fillId="10" borderId="109" xfId="0" applyFont="1" applyFill="1" applyBorder="1" applyAlignment="1">
      <alignment horizontal="right" vertical="center"/>
    </xf>
    <xf numFmtId="0" fontId="89" fillId="10" borderId="120" xfId="0" applyFont="1" applyFill="1" applyBorder="1" applyAlignment="1">
      <alignment horizontal="right" vertical="center"/>
    </xf>
    <xf numFmtId="0" fontId="40" fillId="9" borderId="108" xfId="55" applyNumberFormat="1" applyFont="1" applyFill="1" applyBorder="1" applyAlignment="1">
      <alignment horizontal="right" vertical="center"/>
    </xf>
    <xf numFmtId="0" fontId="89" fillId="10" borderId="103" xfId="0" applyFont="1" applyFill="1" applyBorder="1" applyAlignment="1">
      <alignment horizontal="right" vertical="center"/>
    </xf>
    <xf numFmtId="0" fontId="113" fillId="9" borderId="158" xfId="55" applyNumberFormat="1" applyFont="1" applyFill="1" applyBorder="1" applyAlignment="1">
      <alignment horizontal="left" vertical="center"/>
    </xf>
    <xf numFmtId="0" fontId="113" fillId="9" borderId="161" xfId="55" applyNumberFormat="1" applyFont="1" applyFill="1" applyBorder="1" applyAlignment="1">
      <alignment horizontal="right" vertical="center"/>
    </xf>
    <xf numFmtId="0" fontId="113" fillId="9" borderId="157" xfId="0" applyNumberFormat="1" applyFont="1" applyFill="1" applyBorder="1" applyAlignment="1">
      <alignment horizontal="right" vertical="center"/>
    </xf>
    <xf numFmtId="0" fontId="89" fillId="10" borderId="142" xfId="0" applyFont="1" applyFill="1" applyBorder="1" applyAlignment="1">
      <alignment horizontal="right" vertical="center"/>
    </xf>
    <xf numFmtId="0" fontId="40" fillId="9" borderId="147" xfId="55" applyNumberFormat="1" applyFont="1" applyFill="1" applyBorder="1" applyAlignment="1">
      <alignment horizontal="right" vertical="center"/>
    </xf>
    <xf numFmtId="0" fontId="107" fillId="9" borderId="147" xfId="55" applyNumberFormat="1" applyFont="1" applyFill="1" applyBorder="1" applyAlignment="1">
      <alignment horizontal="right" vertical="center"/>
    </xf>
    <xf numFmtId="0" fontId="23" fillId="9" borderId="167" xfId="0" applyFont="1" applyFill="1" applyBorder="1" applyAlignment="1">
      <alignment horizontal="center" vertical="center"/>
    </xf>
    <xf numFmtId="1" fontId="23" fillId="9" borderId="219" xfId="0" applyNumberFormat="1" applyFont="1" applyFill="1" applyBorder="1" applyAlignment="1">
      <alignment horizontal="center" vertical="center"/>
    </xf>
    <xf numFmtId="1" fontId="25" fillId="9" borderId="220" xfId="0" applyNumberFormat="1" applyFont="1" applyFill="1" applyBorder="1" applyAlignment="1">
      <alignment horizontal="center" vertical="center"/>
    </xf>
    <xf numFmtId="0" fontId="33" fillId="9" borderId="157" xfId="0" applyNumberFormat="1" applyFont="1" applyFill="1" applyBorder="1" applyAlignment="1">
      <alignment horizontal="right" vertical="center"/>
    </xf>
    <xf numFmtId="0" fontId="93" fillId="9" borderId="147" xfId="55" applyNumberFormat="1" applyFont="1" applyFill="1" applyBorder="1" applyAlignment="1">
      <alignment horizontal="right" vertical="center"/>
    </xf>
    <xf numFmtId="2" fontId="104" fillId="9" borderId="158" xfId="55" applyNumberFormat="1" applyFont="1" applyFill="1" applyBorder="1" applyAlignment="1">
      <alignment horizontal="right" vertical="center"/>
    </xf>
    <xf numFmtId="2" fontId="104" fillId="9" borderId="218" xfId="0" applyNumberFormat="1" applyFont="1" applyFill="1" applyBorder="1" applyAlignment="1">
      <alignment horizontal="left" vertical="center"/>
    </xf>
    <xf numFmtId="0" fontId="23" fillId="9" borderId="137" xfId="0"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5" fillId="9" borderId="222" xfId="0" applyNumberFormat="1" applyFont="1" applyFill="1" applyBorder="1" applyAlignment="1">
      <alignment horizontal="center" vertical="center"/>
    </xf>
    <xf numFmtId="2" fontId="104" fillId="9" borderId="161" xfId="55" applyNumberFormat="1" applyFont="1" applyFill="1" applyBorder="1" applyAlignment="1">
      <alignment horizontal="right" vertical="center"/>
    </xf>
    <xf numFmtId="2" fontId="104" fillId="9" borderId="210" xfId="0" applyNumberFormat="1" applyFont="1" applyFill="1" applyBorder="1" applyAlignment="1">
      <alignment horizontal="left" vertical="center"/>
    </xf>
    <xf numFmtId="0" fontId="89" fillId="12" borderId="207" xfId="55" applyNumberFormat="1" applyFont="1" applyFill="1" applyBorder="1" applyAlignment="1">
      <alignment horizontal="center" vertical="center"/>
    </xf>
    <xf numFmtId="0" fontId="89" fillId="12" borderId="205" xfId="55" applyNumberFormat="1" applyFont="1" applyFill="1" applyBorder="1" applyAlignment="1">
      <alignment horizontal="center" vertical="center"/>
    </xf>
    <xf numFmtId="164" fontId="104" fillId="9" borderId="161" xfId="55" applyNumberFormat="1" applyFont="1" applyFill="1" applyBorder="1" applyAlignment="1">
      <alignment horizontal="right" vertical="center"/>
    </xf>
    <xf numFmtId="1" fontId="113" fillId="9" borderId="158" xfId="55" applyNumberFormat="1" applyFont="1" applyFill="1" applyBorder="1" applyAlignment="1">
      <alignment horizontal="left" vertical="center"/>
    </xf>
    <xf numFmtId="1" fontId="113" fillId="9" borderId="153" xfId="0" applyNumberFormat="1" applyFont="1" applyFill="1" applyBorder="1" applyAlignment="1">
      <alignment horizontal="right" vertical="center"/>
    </xf>
    <xf numFmtId="1" fontId="113" fillId="9" borderId="159" xfId="0" applyNumberFormat="1" applyFont="1" applyFill="1" applyBorder="1" applyAlignment="1">
      <alignment horizontal="left" vertical="center"/>
    </xf>
    <xf numFmtId="1" fontId="113" fillId="9" borderId="157" xfId="0" applyNumberFormat="1" applyFont="1" applyFill="1" applyBorder="1" applyAlignment="1">
      <alignment horizontal="right" vertical="center"/>
    </xf>
    <xf numFmtId="2" fontId="33" fillId="9" borderId="159" xfId="0" applyNumberFormat="1" applyFont="1" applyFill="1" applyBorder="1" applyAlignment="1">
      <alignment horizontal="left" vertical="center"/>
    </xf>
    <xf numFmtId="2" fontId="92" fillId="9" borderId="158" xfId="55" applyNumberFormat="1" applyFont="1" applyFill="1" applyBorder="1" applyAlignment="1">
      <alignment horizontal="left" vertical="center"/>
    </xf>
    <xf numFmtId="2" fontId="92" fillId="9" borderId="153" xfId="0" applyNumberFormat="1" applyFont="1" applyFill="1" applyBorder="1" applyAlignment="1">
      <alignment horizontal="right" vertical="center"/>
    </xf>
    <xf numFmtId="2" fontId="33" fillId="9" borderId="208" xfId="0" applyNumberFormat="1" applyFont="1" applyFill="1" applyBorder="1" applyAlignment="1">
      <alignment horizontal="right" vertical="center"/>
    </xf>
    <xf numFmtId="2" fontId="115" fillId="9" borderId="109" xfId="55" applyNumberFormat="1" applyFont="1" applyFill="1" applyBorder="1" applyAlignment="1">
      <alignment horizontal="left" vertical="center"/>
    </xf>
    <xf numFmtId="164" fontId="116" fillId="9" borderId="109" xfId="55" applyNumberFormat="1" applyFont="1" applyFill="1" applyBorder="1" applyAlignment="1">
      <alignment horizontal="left" vertical="center"/>
    </xf>
    <xf numFmtId="164" fontId="114" fillId="9" borderId="109" xfId="55" applyNumberFormat="1" applyFont="1" applyFill="1" applyBorder="1" applyAlignment="1">
      <alignment horizontal="left" vertical="center"/>
    </xf>
    <xf numFmtId="2" fontId="115" fillId="9" borderId="108" xfId="55" applyNumberFormat="1" applyFont="1" applyFill="1" applyBorder="1" applyAlignment="1">
      <alignment horizontal="right" vertical="center"/>
    </xf>
    <xf numFmtId="164" fontId="116" fillId="9" borderId="108" xfId="55" applyNumberFormat="1" applyFont="1" applyFill="1" applyBorder="1" applyAlignment="1">
      <alignment horizontal="right" vertical="center"/>
    </xf>
    <xf numFmtId="2" fontId="115" fillId="9" borderId="147" xfId="55" applyNumberFormat="1" applyFont="1" applyFill="1" applyBorder="1" applyAlignment="1">
      <alignment horizontal="right" vertical="center"/>
    </xf>
    <xf numFmtId="164" fontId="114" fillId="9" borderId="147" xfId="55" applyNumberFormat="1" applyFont="1" applyFill="1" applyBorder="1" applyAlignment="1">
      <alignment horizontal="right" vertical="center"/>
    </xf>
    <xf numFmtId="2" fontId="114" fillId="9" borderId="109" xfId="55" applyNumberFormat="1" applyFont="1" applyFill="1" applyBorder="1" applyAlignment="1">
      <alignment horizontal="left" vertical="center"/>
    </xf>
    <xf numFmtId="165" fontId="116" fillId="9" borderId="109" xfId="55" applyNumberFormat="1" applyFont="1" applyFill="1" applyBorder="1" applyAlignment="1">
      <alignment horizontal="left" vertical="center"/>
    </xf>
    <xf numFmtId="2" fontId="116" fillId="9" borderId="112" xfId="55" applyNumberFormat="1" applyFont="1" applyFill="1" applyBorder="1" applyAlignment="1">
      <alignment vertical="center"/>
    </xf>
    <xf numFmtId="165" fontId="114" fillId="9" borderId="109" xfId="55" applyNumberFormat="1" applyFont="1" applyFill="1" applyBorder="1" applyAlignment="1">
      <alignment vertical="center"/>
    </xf>
    <xf numFmtId="2" fontId="114" fillId="9" borderId="108" xfId="55" applyNumberFormat="1" applyFont="1" applyFill="1" applyBorder="1" applyAlignment="1">
      <alignment horizontal="right" vertical="center"/>
    </xf>
    <xf numFmtId="165" fontId="116" fillId="9" borderId="108" xfId="55" applyNumberFormat="1" applyFont="1" applyFill="1" applyBorder="1" applyAlignment="1">
      <alignment horizontal="right" vertical="center"/>
    </xf>
    <xf numFmtId="2" fontId="116" fillId="9" borderId="147" xfId="55" applyNumberFormat="1" applyFont="1" applyFill="1" applyBorder="1" applyAlignment="1">
      <alignment horizontal="right" vertical="center"/>
    </xf>
    <xf numFmtId="165" fontId="114" fillId="9" borderId="147" xfId="55" applyNumberFormat="1" applyFont="1" applyFill="1" applyBorder="1" applyAlignment="1">
      <alignment horizontal="right" vertical="center"/>
    </xf>
    <xf numFmtId="0" fontId="104" fillId="9" borderId="221" xfId="0" applyNumberFormat="1" applyFont="1" applyFill="1" applyBorder="1" applyAlignment="1">
      <alignment vertical="center"/>
    </xf>
    <xf numFmtId="164" fontId="104" fillId="9" borderId="218" xfId="0" applyNumberFormat="1" applyFont="1" applyFill="1" applyBorder="1" applyAlignment="1">
      <alignment horizontal="left" vertical="center"/>
    </xf>
    <xf numFmtId="0" fontId="104" fillId="9" borderId="133" xfId="55" applyNumberFormat="1" applyFont="1" applyFill="1" applyBorder="1" applyAlignment="1">
      <alignment vertical="center"/>
    </xf>
    <xf numFmtId="0" fontId="109" fillId="9" borderId="223" xfId="55" applyNumberFormat="1" applyFont="1" applyFill="1" applyBorder="1" applyAlignment="1">
      <alignment vertical="top"/>
    </xf>
    <xf numFmtId="0" fontId="104" fillId="9" borderId="215" xfId="55" applyNumberFormat="1" applyFont="1" applyFill="1" applyBorder="1" applyAlignment="1">
      <alignment vertical="center"/>
    </xf>
    <xf numFmtId="0" fontId="109" fillId="9" borderId="224" xfId="55" applyNumberFormat="1" applyFont="1" applyFill="1" applyBorder="1" applyAlignment="1">
      <alignment vertical="top"/>
    </xf>
    <xf numFmtId="0" fontId="40" fillId="9" borderId="158" xfId="55" applyNumberFormat="1" applyFont="1" applyFill="1" applyBorder="1" applyAlignment="1">
      <alignment horizontal="left" vertical="center"/>
    </xf>
    <xf numFmtId="0" fontId="40" fillId="9" borderId="161" xfId="55" applyNumberFormat="1" applyFont="1" applyFill="1" applyBorder="1" applyAlignment="1">
      <alignment horizontal="right" vertical="center"/>
    </xf>
    <xf numFmtId="0" fontId="40" fillId="9" borderId="208" xfId="0" applyNumberFormat="1" applyFont="1" applyFill="1" applyBorder="1" applyAlignment="1">
      <alignment horizontal="right" vertical="center"/>
    </xf>
    <xf numFmtId="2" fontId="33" fillId="9" borderId="203" xfId="55" applyNumberFormat="1" applyFont="1" applyFill="1" applyBorder="1" applyAlignment="1">
      <alignment horizontal="center" vertical="center"/>
    </xf>
    <xf numFmtId="2" fontId="33" fillId="9" borderId="202" xfId="55" applyNumberFormat="1" applyFont="1" applyFill="1" applyBorder="1" applyAlignment="1">
      <alignment horizontal="center" vertical="center"/>
    </xf>
    <xf numFmtId="2" fontId="92" fillId="9" borderId="203" xfId="55" applyNumberFormat="1" applyFont="1" applyFill="1" applyBorder="1" applyAlignment="1">
      <alignment horizontal="center" vertical="center"/>
    </xf>
    <xf numFmtId="2" fontId="92" fillId="9" borderId="204" xfId="55" applyNumberFormat="1" applyFont="1" applyFill="1" applyBorder="1" applyAlignment="1">
      <alignment horizontal="center" vertical="center"/>
    </xf>
    <xf numFmtId="2" fontId="105" fillId="9" borderId="201" xfId="55" applyNumberFormat="1" applyFont="1" applyFill="1" applyBorder="1" applyAlignment="1">
      <alignment horizontal="center" vertical="center"/>
    </xf>
    <xf numFmtId="2" fontId="105" fillId="9" borderId="202" xfId="55" applyNumberFormat="1" applyFont="1" applyFill="1" applyBorder="1" applyAlignment="1">
      <alignment horizontal="center" vertical="center"/>
    </xf>
    <xf numFmtId="0" fontId="38" fillId="9" borderId="185" xfId="0" applyFont="1" applyFill="1" applyBorder="1" applyAlignment="1">
      <alignment horizontal="center" vertical="center"/>
    </xf>
    <xf numFmtId="0" fontId="38" fillId="9" borderId="131" xfId="0" applyFont="1" applyFill="1" applyBorder="1" applyAlignment="1">
      <alignment horizontal="center" vertical="center"/>
    </xf>
    <xf numFmtId="2" fontId="93" fillId="9" borderId="198" xfId="0" applyNumberFormat="1" applyFont="1" applyFill="1" applyBorder="1" applyAlignment="1">
      <alignment horizontal="center" vertical="center"/>
    </xf>
    <xf numFmtId="2" fontId="93" fillId="9" borderId="199" xfId="0" applyNumberFormat="1" applyFont="1" applyFill="1" applyBorder="1" applyAlignment="1">
      <alignment horizontal="center" vertical="center"/>
    </xf>
    <xf numFmtId="2" fontId="93" fillId="9" borderId="197" xfId="0" applyNumberFormat="1" applyFont="1" applyFill="1" applyBorder="1" applyAlignment="1">
      <alignment horizontal="center" vertical="center"/>
    </xf>
    <xf numFmtId="2" fontId="93" fillId="9" borderId="217" xfId="0" applyNumberFormat="1" applyFont="1" applyFill="1" applyBorder="1" applyAlignment="1">
      <alignment horizontal="center" vertical="center"/>
    </xf>
    <xf numFmtId="0" fontId="13" fillId="9" borderId="186" xfId="0" applyFont="1" applyFill="1" applyBorder="1" applyAlignment="1">
      <alignment horizontal="center" vertical="center"/>
    </xf>
    <xf numFmtId="0" fontId="13" fillId="9" borderId="142"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982">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0" zoomScaleNormal="80" workbookViewId="0">
      <pane ySplit="1" topLeftCell="A2" activePane="bottomLeft" state="frozen"/>
      <selection pane="bottomLeft" activeCell="N11" sqref="N11"/>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14" customWidth="1"/>
    <col min="25" max="25" width="8.7109375" style="533" bestFit="1" customWidth="1"/>
    <col min="26" max="26" width="11.28515625" style="547"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5" t="s">
        <v>305</v>
      </c>
      <c r="M1" s="287" t="s">
        <v>131</v>
      </c>
      <c r="N1" s="288" t="s">
        <v>132</v>
      </c>
      <c r="O1" s="289" t="s">
        <v>133</v>
      </c>
      <c r="P1" s="290"/>
      <c r="Q1" s="518">
        <v>1</v>
      </c>
      <c r="R1" s="519">
        <v>2</v>
      </c>
      <c r="S1" s="516">
        <v>3</v>
      </c>
      <c r="T1" s="517">
        <v>4</v>
      </c>
      <c r="U1" s="502">
        <v>0</v>
      </c>
      <c r="V1" s="425">
        <v>0</v>
      </c>
      <c r="W1" s="275">
        <v>10</v>
      </c>
      <c r="X1" s="276">
        <f>W1</f>
        <v>10</v>
      </c>
      <c r="Y1" s="593">
        <v>20800</v>
      </c>
      <c r="Z1" s="525">
        <f>Y1*($AE$1*$AD$1)</f>
        <v>194.8931506849315</v>
      </c>
      <c r="AA1" s="38">
        <f>AD1</f>
        <v>4</v>
      </c>
      <c r="AB1" s="374">
        <v>525.94000000000005</v>
      </c>
      <c r="AC1" s="277" t="s">
        <v>312</v>
      </c>
      <c r="AD1" s="54">
        <f>IF(AJ3&lt;&gt;0,2,IF(AJ4&lt;&gt;0,4,IF(AJ5&lt;&gt;0,5,IF(AJ6&lt;&gt;0,6,IF(AJ7&lt;&gt;0,7,IF(AJ8&lt;&gt;0,8,30))))))</f>
        <v>4</v>
      </c>
      <c r="AE1" s="53">
        <f>IF(AJ3&lt;&gt;0,AJ3/365,IF(AJ4&lt;&gt;0,AJ5/365,IF(AJ5&lt;&gt;0,AJ6/365,IF(AJ6&lt;&gt;0,AJ7/365,IF(AJ7&lt;&gt;0,AJ8/365,IF(AJ8&lt;&gt;0,AJ9/365,110/365))))))</f>
        <v>2.3424657534246575E-3</v>
      </c>
      <c r="AF1" s="452" t="s">
        <v>315</v>
      </c>
      <c r="AG1" s="452" t="s">
        <v>316</v>
      </c>
      <c r="AH1" s="452" t="s">
        <v>317</v>
      </c>
      <c r="AI1" s="452" t="s">
        <v>318</v>
      </c>
      <c r="AJ1" s="453" t="s">
        <v>313</v>
      </c>
      <c r="AK1" s="451" t="s">
        <v>314</v>
      </c>
    </row>
    <row r="2" spans="1:38" ht="12.75" customHeight="1">
      <c r="A2" s="565" t="str">
        <f>$A$22</f>
        <v>SE4D - spot</v>
      </c>
      <c r="B2" s="579">
        <f>VLOOKUP($A2,$A$46:$N$157,2,0)</f>
        <v>5000</v>
      </c>
      <c r="C2" s="571">
        <f t="shared" ref="C2:C29" si="0">VLOOKUP($A2,$A$42:$N$157,3,0)</f>
        <v>9.0999999999999998E-2</v>
      </c>
      <c r="D2" s="375">
        <f t="shared" ref="D2:D29" si="1">VLOOKUP($A2,$A$42:$N$157,4,0)</f>
        <v>9.2999999999999999E-2</v>
      </c>
      <c r="E2" s="570">
        <f t="shared" ref="E2:E29" si="2">VLOOKUP($A2,$A$42:$N$157,5,0)</f>
        <v>2998750</v>
      </c>
      <c r="F2" s="449">
        <f t="shared" ref="F2:F29" si="3">VLOOKUP($A2,$A$42:$N$157,6,0)</f>
        <v>9.2999999999999999E-2</v>
      </c>
      <c r="G2" s="581">
        <f t="shared" ref="G2:G29" si="4">VLOOKUP($A2,$A$42:$N$157,7,0)</f>
        <v>-2.1000000000000001E-2</v>
      </c>
      <c r="H2" s="333">
        <f t="shared" ref="H2:H29" si="5">VLOOKUP($A2,$A$42:$N$157,8,0)</f>
        <v>9.2999999999999999E-2</v>
      </c>
      <c r="I2" s="325">
        <f t="shared" ref="I2:I29" si="6">VLOOKUP($A2,$A$42:$N$157,9,0)</f>
        <v>9.2999999999999999E-2</v>
      </c>
      <c r="J2" s="469">
        <f t="shared" ref="J2:J29" si="7">VLOOKUP($A2,$A$42:$N$157,10,0)</f>
        <v>9.2999999999999999E-2</v>
      </c>
      <c r="K2" s="329">
        <f t="shared" ref="K2:K29" si="8">VLOOKUP($A2,$A$42:$N$157,11,0)</f>
        <v>9.5000000000000001E-2</v>
      </c>
      <c r="L2" s="377">
        <f t="shared" ref="L2:L29" si="9">VLOOKUP($A2,$A$42:$N$157,12,0)</f>
        <v>93</v>
      </c>
      <c r="M2" s="329">
        <f t="shared" ref="M2:M29" si="10">VLOOKUP($A2,$A$42:$N$157,13,0)</f>
        <v>100000</v>
      </c>
      <c r="N2" s="377">
        <f t="shared" ref="N2:N29" si="11">VLOOKUP($A2,$A$42:$N$157,14,0)</f>
        <v>1</v>
      </c>
      <c r="O2" s="459">
        <f t="shared" ref="O2:O29" si="12">VLOOKUP($A2,$A$42:$O$157,15,0)</f>
        <v>45296.564108796294</v>
      </c>
      <c r="P2" s="474">
        <v>1</v>
      </c>
      <c r="Q2" s="478">
        <v>0</v>
      </c>
      <c r="R2" s="435">
        <v>0</v>
      </c>
      <c r="S2" s="443">
        <v>0</v>
      </c>
      <c r="T2" s="358">
        <v>0</v>
      </c>
      <c r="U2" s="372">
        <v>0</v>
      </c>
      <c r="V2" s="520">
        <v>0</v>
      </c>
      <c r="W2" s="587">
        <v>0</v>
      </c>
      <c r="X2" s="596">
        <v>0</v>
      </c>
      <c r="Y2" s="522">
        <v>1000</v>
      </c>
      <c r="Z2" s="562">
        <f>IFERROR($C2*(1-$V$1)/100*$Y2,"")</f>
        <v>0.91</v>
      </c>
      <c r="AA2" s="713">
        <f>IFERROR($Z2-$Z3,"")</f>
        <v>0.15239999999999998</v>
      </c>
      <c r="AD2" s="493" t="s">
        <v>319</v>
      </c>
      <c r="AE2" s="499">
        <v>45297</v>
      </c>
      <c r="AF2" s="491"/>
      <c r="AG2" s="492"/>
      <c r="AH2" s="492"/>
      <c r="AI2" s="491"/>
      <c r="AJ2" s="496"/>
      <c r="AK2" s="491"/>
    </row>
    <row r="3" spans="1:38" ht="12.75" customHeight="1">
      <c r="A3" s="668" t="str">
        <f>$Z$26</f>
        <v>AL30D - spot</v>
      </c>
      <c r="B3" s="572">
        <f>VLOOKUP($A3,$A$46:$N$157,2,0)</f>
        <v>4783</v>
      </c>
      <c r="C3" s="569">
        <f t="shared" si="0"/>
        <v>37.869</v>
      </c>
      <c r="D3" s="573">
        <f t="shared" si="1"/>
        <v>37.880000000000003</v>
      </c>
      <c r="E3" s="577">
        <f t="shared" si="2"/>
        <v>771</v>
      </c>
      <c r="F3" s="341">
        <f t="shared" si="3"/>
        <v>37.869</v>
      </c>
      <c r="G3" s="582">
        <f t="shared" si="4"/>
        <v>-3.4000000000000002E-3</v>
      </c>
      <c r="H3" s="332">
        <f t="shared" si="5"/>
        <v>37.75</v>
      </c>
      <c r="I3" s="323">
        <f t="shared" si="6"/>
        <v>37.999000000000002</v>
      </c>
      <c r="J3" s="466">
        <f t="shared" si="7"/>
        <v>37</v>
      </c>
      <c r="K3" s="327">
        <f t="shared" si="8"/>
        <v>38</v>
      </c>
      <c r="L3" s="330">
        <f t="shared" si="9"/>
        <v>45318097</v>
      </c>
      <c r="M3" s="327">
        <f t="shared" si="10"/>
        <v>120297746</v>
      </c>
      <c r="N3" s="330">
        <f t="shared" si="11"/>
        <v>44323</v>
      </c>
      <c r="O3" s="460">
        <f t="shared" si="12"/>
        <v>45296.687581018516</v>
      </c>
      <c r="P3" s="473">
        <v>2</v>
      </c>
      <c r="Q3" s="481">
        <v>0</v>
      </c>
      <c r="R3" s="436">
        <v>0</v>
      </c>
      <c r="S3" s="440">
        <v>0</v>
      </c>
      <c r="T3" s="357">
        <v>0</v>
      </c>
      <c r="U3" s="371">
        <v>0</v>
      </c>
      <c r="V3" s="521">
        <v>0</v>
      </c>
      <c r="W3" s="588">
        <v>0</v>
      </c>
      <c r="X3" s="597">
        <v>0</v>
      </c>
      <c r="Y3" s="523">
        <f>IFERROR(INT($Z2/($D3*(1+$V$1)/100)),0)</f>
        <v>2</v>
      </c>
      <c r="Z3" s="563">
        <f>$D3/100*INT($Y3)</f>
        <v>0.75760000000000005</v>
      </c>
      <c r="AA3" s="714"/>
      <c r="AD3" s="49" t="s">
        <v>320</v>
      </c>
      <c r="AE3" s="500">
        <v>45298</v>
      </c>
      <c r="AF3" s="48"/>
      <c r="AG3" s="52"/>
      <c r="AH3" s="52"/>
      <c r="AI3" s="48"/>
      <c r="AJ3" s="497"/>
      <c r="AK3" s="48"/>
    </row>
    <row r="4" spans="1:38" ht="12.75" customHeight="1">
      <c r="A4" s="663" t="str">
        <f>$A$26</f>
        <v>AL30 - spot</v>
      </c>
      <c r="B4" s="579">
        <f>VLOOKUP($A4,$A$46:$N$157,2,0)</f>
        <v>950</v>
      </c>
      <c r="C4" s="571">
        <f t="shared" si="0"/>
        <v>41100</v>
      </c>
      <c r="D4" s="568">
        <f t="shared" si="1"/>
        <v>41195</v>
      </c>
      <c r="E4" s="574">
        <f t="shared" si="2"/>
        <v>136139</v>
      </c>
      <c r="F4" s="449">
        <f t="shared" si="3"/>
        <v>41195</v>
      </c>
      <c r="G4" s="581">
        <f t="shared" si="4"/>
        <v>3.8399999999999997E-2</v>
      </c>
      <c r="H4" s="333">
        <f t="shared" si="5"/>
        <v>40500</v>
      </c>
      <c r="I4" s="325">
        <f t="shared" si="6"/>
        <v>41200</v>
      </c>
      <c r="J4" s="469">
        <f t="shared" si="7"/>
        <v>39205</v>
      </c>
      <c r="K4" s="329">
        <f t="shared" si="8"/>
        <v>39670</v>
      </c>
      <c r="L4" s="377">
        <f t="shared" si="9"/>
        <v>61978019912</v>
      </c>
      <c r="M4" s="329">
        <f t="shared" si="10"/>
        <v>154724623</v>
      </c>
      <c r="N4" s="377">
        <f t="shared" si="11"/>
        <v>54620</v>
      </c>
      <c r="O4" s="459">
        <f t="shared" si="12"/>
        <v>45296.6875462963</v>
      </c>
      <c r="P4" s="474">
        <v>3</v>
      </c>
      <c r="Q4" s="478">
        <v>0</v>
      </c>
      <c r="R4" s="435">
        <v>0</v>
      </c>
      <c r="S4" s="443">
        <v>0</v>
      </c>
      <c r="T4" s="358">
        <v>0</v>
      </c>
      <c r="U4" s="372">
        <v>0</v>
      </c>
      <c r="V4" s="520">
        <v>0</v>
      </c>
      <c r="W4" s="589">
        <v>0</v>
      </c>
      <c r="X4" s="598">
        <v>0</v>
      </c>
      <c r="Y4" s="524">
        <f t="shared" ref="Y4:Y12" si="13">Y3</f>
        <v>2</v>
      </c>
      <c r="Z4" s="564">
        <f>$C4*(1-$V$1)/100*INT($Y4)</f>
        <v>822</v>
      </c>
      <c r="AA4" s="715">
        <f>IFERROR($Z4-$Z5,"")</f>
        <v>0.53399999999999181</v>
      </c>
      <c r="AD4" s="493" t="s">
        <v>321</v>
      </c>
      <c r="AE4" s="500">
        <v>45299</v>
      </c>
      <c r="AF4" s="491">
        <v>166924197.27000001</v>
      </c>
      <c r="AG4" s="492">
        <v>0.87109999999999999</v>
      </c>
      <c r="AH4" s="492">
        <v>0.875</v>
      </c>
      <c r="AI4" s="491">
        <v>156577069.83000001</v>
      </c>
      <c r="AJ4" s="496">
        <v>0.87109999999999999</v>
      </c>
      <c r="AK4" s="491"/>
      <c r="AL4" s="47"/>
    </row>
    <row r="5" spans="1:38" ht="12.75" customHeight="1">
      <c r="A5" s="664" t="str">
        <f>$Z$22</f>
        <v>S18E4 - spot</v>
      </c>
      <c r="B5" s="628">
        <f>VLOOKUP($A5,$A$46:$N$157,2,0)</f>
        <v>92636119</v>
      </c>
      <c r="C5" s="629">
        <f t="shared" si="0"/>
        <v>97</v>
      </c>
      <c r="D5" s="630">
        <f t="shared" si="1"/>
        <v>97.1</v>
      </c>
      <c r="E5" s="631">
        <f t="shared" si="2"/>
        <v>9994632</v>
      </c>
      <c r="F5" s="632">
        <f t="shared" si="3"/>
        <v>97.1</v>
      </c>
      <c r="G5" s="633">
        <f t="shared" si="4"/>
        <v>5.1999999999999998E-3</v>
      </c>
      <c r="H5" s="378">
        <f t="shared" si="5"/>
        <v>96.8</v>
      </c>
      <c r="I5" s="379">
        <f t="shared" si="6"/>
        <v>97.11</v>
      </c>
      <c r="J5" s="471">
        <f t="shared" si="7"/>
        <v>96.6</v>
      </c>
      <c r="K5" s="380">
        <f t="shared" si="8"/>
        <v>96.588999999999999</v>
      </c>
      <c r="L5" s="384">
        <f t="shared" si="9"/>
        <v>4318738040</v>
      </c>
      <c r="M5" s="380">
        <f t="shared" si="10"/>
        <v>4457083744</v>
      </c>
      <c r="N5" s="406">
        <f t="shared" si="11"/>
        <v>1510</v>
      </c>
      <c r="O5" s="463">
        <f t="shared" si="12"/>
        <v>45296.687581018516</v>
      </c>
      <c r="P5" s="473">
        <v>4</v>
      </c>
      <c r="Q5" s="665">
        <v>0</v>
      </c>
      <c r="R5" s="666">
        <v>0</v>
      </c>
      <c r="S5" s="446">
        <v>0</v>
      </c>
      <c r="T5" s="667">
        <v>0</v>
      </c>
      <c r="U5" s="616">
        <v>0</v>
      </c>
      <c r="V5" s="521">
        <v>0</v>
      </c>
      <c r="W5" s="700">
        <v>0</v>
      </c>
      <c r="X5" s="701">
        <v>0</v>
      </c>
      <c r="Y5" s="639">
        <f>IFERROR($Z4/($D5*(1+$V$1)/100),0)</f>
        <v>846.54994850669414</v>
      </c>
      <c r="Z5" s="640">
        <f>$D5/100*INT($Y5)</f>
        <v>821.46600000000001</v>
      </c>
      <c r="AA5" s="716"/>
      <c r="AD5" s="49" t="s">
        <v>322</v>
      </c>
      <c r="AE5" s="500">
        <v>45300</v>
      </c>
      <c r="AF5" s="48">
        <v>136490506.15000001</v>
      </c>
      <c r="AG5" s="52">
        <v>0.85499999999999998</v>
      </c>
      <c r="AH5" s="52">
        <v>0.86900000000000011</v>
      </c>
      <c r="AI5" s="48">
        <v>166000</v>
      </c>
      <c r="AJ5" s="497">
        <v>0.85499999999999998</v>
      </c>
      <c r="AK5" s="48">
        <v>7800880451</v>
      </c>
      <c r="AL5" s="47"/>
    </row>
    <row r="6" spans="1:38" ht="12.75" customHeight="1">
      <c r="A6" s="565" t="str">
        <f>$A$24</f>
        <v>XE4C - spot</v>
      </c>
      <c r="B6" s="579">
        <f t="shared" ref="B6:B29" si="14">VLOOKUP($A6,$A$42:$N$157,2,0)</f>
        <v>8300820</v>
      </c>
      <c r="C6" s="571">
        <f t="shared" si="0"/>
        <v>0.14000000000000001</v>
      </c>
      <c r="D6" s="375">
        <f t="shared" si="1"/>
        <v>0.14299999999999999</v>
      </c>
      <c r="E6" s="570">
        <f t="shared" si="2"/>
        <v>334731</v>
      </c>
      <c r="F6" s="449">
        <f t="shared" si="3"/>
        <v>0.14000000000000001</v>
      </c>
      <c r="G6" s="581">
        <f t="shared" si="4"/>
        <v>-4.7599999999999996E-2</v>
      </c>
      <c r="H6" s="331">
        <f t="shared" si="5"/>
        <v>0.14899999999999999</v>
      </c>
      <c r="I6" s="322">
        <f t="shared" si="6"/>
        <v>0.14899999999999999</v>
      </c>
      <c r="J6" s="467">
        <f t="shared" si="7"/>
        <v>0.13900000000000001</v>
      </c>
      <c r="K6" s="326">
        <f t="shared" si="8"/>
        <v>0.14699999999999999</v>
      </c>
      <c r="L6" s="398">
        <f t="shared" si="9"/>
        <v>11962652</v>
      </c>
      <c r="M6" s="326">
        <f t="shared" si="10"/>
        <v>8318560757</v>
      </c>
      <c r="N6" s="398">
        <f t="shared" si="11"/>
        <v>1390</v>
      </c>
      <c r="O6" s="455">
        <f t="shared" si="12"/>
        <v>45296.687719907408</v>
      </c>
      <c r="P6" s="474">
        <v>5</v>
      </c>
      <c r="Q6" s="476">
        <v>0</v>
      </c>
      <c r="R6" s="430">
        <v>0</v>
      </c>
      <c r="S6" s="441">
        <v>0</v>
      </c>
      <c r="T6" s="351">
        <v>0</v>
      </c>
      <c r="U6" s="615">
        <v>0</v>
      </c>
      <c r="V6" s="520">
        <v>0</v>
      </c>
      <c r="W6" s="587">
        <v>0</v>
      </c>
      <c r="X6" s="599">
        <v>0</v>
      </c>
      <c r="Y6" s="522">
        <v>1000</v>
      </c>
      <c r="Z6" s="562">
        <f>IFERROR($C6*(1-$V$1)/100*$Y6,"")</f>
        <v>1.4000000000000001</v>
      </c>
      <c r="AA6" s="713">
        <f>IFERROR($Z6-$Z7,"")</f>
        <v>0.29899999999999993</v>
      </c>
      <c r="AB6" s="319"/>
      <c r="AD6" s="493" t="s">
        <v>323</v>
      </c>
      <c r="AE6" s="500">
        <v>45301</v>
      </c>
      <c r="AF6" s="491">
        <v>98877939</v>
      </c>
      <c r="AG6" s="492">
        <v>0.85499999999999998</v>
      </c>
      <c r="AH6" s="492">
        <v>0.875</v>
      </c>
      <c r="AI6" s="491">
        <v>17284.099999999999</v>
      </c>
      <c r="AJ6" s="496">
        <v>0.85499999999999998</v>
      </c>
      <c r="AK6" s="491">
        <v>2360961839</v>
      </c>
    </row>
    <row r="7" spans="1:38" ht="12.75" customHeight="1">
      <c r="A7" s="668" t="str">
        <f>$Z$28</f>
        <v>AL30C - spot</v>
      </c>
      <c r="B7" s="572">
        <f t="shared" si="14"/>
        <v>250000</v>
      </c>
      <c r="C7" s="569">
        <f t="shared" si="0"/>
        <v>35.75</v>
      </c>
      <c r="D7" s="573">
        <f t="shared" si="1"/>
        <v>36.700000000000003</v>
      </c>
      <c r="E7" s="577">
        <f t="shared" si="2"/>
        <v>19485</v>
      </c>
      <c r="F7" s="341">
        <f t="shared" si="3"/>
        <v>36.700000000000003</v>
      </c>
      <c r="G7" s="582">
        <f t="shared" si="4"/>
        <v>-4.0000000000000001E-3</v>
      </c>
      <c r="H7" s="332">
        <f t="shared" si="5"/>
        <v>38.35</v>
      </c>
      <c r="I7" s="323">
        <f t="shared" si="6"/>
        <v>38.35</v>
      </c>
      <c r="J7" s="466">
        <f t="shared" si="7"/>
        <v>36</v>
      </c>
      <c r="K7" s="327">
        <f t="shared" si="8"/>
        <v>36.85</v>
      </c>
      <c r="L7" s="330">
        <f t="shared" si="9"/>
        <v>1994648</v>
      </c>
      <c r="M7" s="349">
        <f t="shared" si="10"/>
        <v>5456948</v>
      </c>
      <c r="N7" s="330">
        <f t="shared" si="11"/>
        <v>765</v>
      </c>
      <c r="O7" s="454">
        <f t="shared" si="12"/>
        <v>45296.687523148146</v>
      </c>
      <c r="P7" s="473">
        <v>6</v>
      </c>
      <c r="Q7" s="475">
        <v>0</v>
      </c>
      <c r="R7" s="431">
        <v>0</v>
      </c>
      <c r="S7" s="440">
        <v>0</v>
      </c>
      <c r="T7" s="350">
        <v>0</v>
      </c>
      <c r="U7" s="371">
        <v>0</v>
      </c>
      <c r="V7" s="521">
        <v>0</v>
      </c>
      <c r="W7" s="588">
        <v>0</v>
      </c>
      <c r="X7" s="600">
        <v>0</v>
      </c>
      <c r="Y7" s="523">
        <f>IFERROR(INT($Z6/($D7*(1+$V$1)/100)),0)</f>
        <v>3</v>
      </c>
      <c r="Z7" s="563">
        <f>$D7/100*INT($Y7)</f>
        <v>1.1010000000000002</v>
      </c>
      <c r="AA7" s="714"/>
      <c r="AD7" s="49" t="s">
        <v>324</v>
      </c>
      <c r="AE7" s="500">
        <v>45302</v>
      </c>
      <c r="AF7" s="48">
        <v>9974121.9299999997</v>
      </c>
      <c r="AG7" s="52">
        <v>0.85549999999999993</v>
      </c>
      <c r="AH7" s="52">
        <v>0.88</v>
      </c>
      <c r="AI7" s="48">
        <v>46252.84</v>
      </c>
      <c r="AJ7" s="497">
        <v>0.85549999999999993</v>
      </c>
      <c r="AK7" s="48">
        <v>771006161</v>
      </c>
    </row>
    <row r="8" spans="1:38">
      <c r="A8" s="663" t="str">
        <f>$A$28</f>
        <v>AL30 - spot</v>
      </c>
      <c r="B8" s="579">
        <f t="shared" si="14"/>
        <v>950</v>
      </c>
      <c r="C8" s="571">
        <f t="shared" si="0"/>
        <v>41100</v>
      </c>
      <c r="D8" s="568">
        <f t="shared" si="1"/>
        <v>41195</v>
      </c>
      <c r="E8" s="574">
        <f t="shared" si="2"/>
        <v>136139</v>
      </c>
      <c r="F8" s="449">
        <f t="shared" si="3"/>
        <v>41195</v>
      </c>
      <c r="G8" s="581">
        <f t="shared" si="4"/>
        <v>3.8399999999999997E-2</v>
      </c>
      <c r="H8" s="331">
        <f t="shared" si="5"/>
        <v>40500</v>
      </c>
      <c r="I8" s="322">
        <f t="shared" si="6"/>
        <v>41200</v>
      </c>
      <c r="J8" s="467">
        <f t="shared" si="7"/>
        <v>39205</v>
      </c>
      <c r="K8" s="326">
        <f t="shared" si="8"/>
        <v>39670</v>
      </c>
      <c r="L8" s="398">
        <f t="shared" si="9"/>
        <v>61978019912</v>
      </c>
      <c r="M8" s="326">
        <f t="shared" si="10"/>
        <v>154724623</v>
      </c>
      <c r="N8" s="398">
        <f t="shared" si="11"/>
        <v>54620</v>
      </c>
      <c r="O8" s="455">
        <f t="shared" si="12"/>
        <v>45296.6875462963</v>
      </c>
      <c r="P8" s="474">
        <v>7</v>
      </c>
      <c r="Q8" s="476">
        <v>0</v>
      </c>
      <c r="R8" s="430">
        <v>0</v>
      </c>
      <c r="S8" s="441">
        <v>0</v>
      </c>
      <c r="T8" s="351">
        <v>0</v>
      </c>
      <c r="U8" s="372">
        <v>0</v>
      </c>
      <c r="V8" s="520">
        <v>0</v>
      </c>
      <c r="W8" s="589">
        <v>0</v>
      </c>
      <c r="X8" s="601">
        <v>0</v>
      </c>
      <c r="Y8" s="524">
        <f t="shared" si="13"/>
        <v>3</v>
      </c>
      <c r="Z8" s="564">
        <f>$C8*(1-$V$1)/100*INT($Y8)</f>
        <v>1233</v>
      </c>
      <c r="AA8" s="715">
        <f>IFERROR($Z8-$Z9,"")</f>
        <v>1.3800000000001091</v>
      </c>
      <c r="AD8" s="493" t="s">
        <v>325</v>
      </c>
      <c r="AE8" s="500">
        <v>45303</v>
      </c>
      <c r="AF8" s="491">
        <v>4795719.3899999997</v>
      </c>
      <c r="AG8" s="492">
        <v>0.86010000000000009</v>
      </c>
      <c r="AH8" s="492">
        <v>0.86049999999999993</v>
      </c>
      <c r="AI8" s="491">
        <v>3654092</v>
      </c>
      <c r="AJ8" s="496">
        <v>0.86010000000000009</v>
      </c>
      <c r="AK8" s="491">
        <v>23520414759</v>
      </c>
    </row>
    <row r="9" spans="1:38" ht="12.75" customHeight="1">
      <c r="A9" s="664" t="str">
        <f>$Z$24</f>
        <v>X18E4 - spot</v>
      </c>
      <c r="B9" s="628">
        <f t="shared" si="14"/>
        <v>15454705</v>
      </c>
      <c r="C9" s="629">
        <f t="shared" si="0"/>
        <v>157.72999999999999</v>
      </c>
      <c r="D9" s="630">
        <f t="shared" si="1"/>
        <v>157.9</v>
      </c>
      <c r="E9" s="631">
        <f t="shared" si="2"/>
        <v>404243</v>
      </c>
      <c r="F9" s="632">
        <f t="shared" si="3"/>
        <v>157.72999999999999</v>
      </c>
      <c r="G9" s="633">
        <f t="shared" si="4"/>
        <v>3.3E-3</v>
      </c>
      <c r="H9" s="378">
        <f t="shared" si="5"/>
        <v>155.011</v>
      </c>
      <c r="I9" s="379">
        <f t="shared" si="6"/>
        <v>157.9</v>
      </c>
      <c r="J9" s="471">
        <f t="shared" si="7"/>
        <v>155.011</v>
      </c>
      <c r="K9" s="380">
        <f t="shared" si="8"/>
        <v>157.19999999999999</v>
      </c>
      <c r="L9" s="384">
        <f t="shared" si="9"/>
        <v>19467437747</v>
      </c>
      <c r="M9" s="380">
        <f t="shared" si="10"/>
        <v>12354092111</v>
      </c>
      <c r="N9" s="384">
        <f t="shared" si="11"/>
        <v>4325</v>
      </c>
      <c r="O9" s="634">
        <f t="shared" si="12"/>
        <v>45296.687534722223</v>
      </c>
      <c r="P9" s="473">
        <v>8</v>
      </c>
      <c r="Q9" s="636">
        <v>0</v>
      </c>
      <c r="R9" s="637">
        <v>0</v>
      </c>
      <c r="S9" s="446">
        <v>0</v>
      </c>
      <c r="T9" s="638">
        <v>0</v>
      </c>
      <c r="U9" s="371">
        <v>0</v>
      </c>
      <c r="V9" s="521">
        <v>0</v>
      </c>
      <c r="W9" s="698">
        <v>0</v>
      </c>
      <c r="X9" s="699">
        <v>0</v>
      </c>
      <c r="Y9" s="639">
        <f>IFERROR($Z8/($D9*(1+$V$1)/100),0)</f>
        <v>780.87397086763781</v>
      </c>
      <c r="Z9" s="640">
        <f>$D9/100*INT($Y9)</f>
        <v>1231.6199999999999</v>
      </c>
      <c r="AA9" s="716"/>
      <c r="AD9" s="49"/>
      <c r="AE9" s="500"/>
      <c r="AF9" s="494"/>
      <c r="AG9" s="495"/>
      <c r="AH9" s="495"/>
      <c r="AI9" s="494"/>
      <c r="AJ9" s="498"/>
      <c r="AK9" s="494"/>
    </row>
    <row r="10" spans="1:38" ht="12.75" customHeight="1">
      <c r="A10" s="565" t="str">
        <f>$A$24</f>
        <v>XE4C - spot</v>
      </c>
      <c r="B10" s="579">
        <f t="shared" si="14"/>
        <v>8300820</v>
      </c>
      <c r="C10" s="571">
        <f t="shared" si="0"/>
        <v>0.14000000000000001</v>
      </c>
      <c r="D10" s="375">
        <f t="shared" si="1"/>
        <v>0.14299999999999999</v>
      </c>
      <c r="E10" s="570">
        <f t="shared" si="2"/>
        <v>334731</v>
      </c>
      <c r="F10" s="449">
        <f t="shared" si="3"/>
        <v>0.14000000000000001</v>
      </c>
      <c r="G10" s="581">
        <f t="shared" si="4"/>
        <v>-4.7599999999999996E-2</v>
      </c>
      <c r="H10" s="331">
        <f t="shared" si="5"/>
        <v>0.14899999999999999</v>
      </c>
      <c r="I10" s="322">
        <f t="shared" si="6"/>
        <v>0.14899999999999999</v>
      </c>
      <c r="J10" s="467">
        <f t="shared" si="7"/>
        <v>0.13900000000000001</v>
      </c>
      <c r="K10" s="326">
        <f t="shared" si="8"/>
        <v>0.14699999999999999</v>
      </c>
      <c r="L10" s="398">
        <f t="shared" si="9"/>
        <v>11962652</v>
      </c>
      <c r="M10" s="326">
        <f t="shared" si="10"/>
        <v>8318560757</v>
      </c>
      <c r="N10" s="398">
        <f t="shared" si="11"/>
        <v>1390</v>
      </c>
      <c r="O10" s="455">
        <f t="shared" si="12"/>
        <v>45296.687719907408</v>
      </c>
      <c r="P10" s="474">
        <v>9</v>
      </c>
      <c r="Q10" s="476">
        <v>0</v>
      </c>
      <c r="R10" s="430">
        <v>0</v>
      </c>
      <c r="S10" s="441">
        <v>0</v>
      </c>
      <c r="T10" s="351">
        <v>0</v>
      </c>
      <c r="U10" s="372">
        <v>0</v>
      </c>
      <c r="V10" s="520">
        <v>0</v>
      </c>
      <c r="W10" s="591">
        <v>0</v>
      </c>
      <c r="X10" s="599">
        <v>0</v>
      </c>
      <c r="Y10" s="522">
        <v>1000</v>
      </c>
      <c r="Z10" s="562">
        <f>IFERROR($C10*(1-$V$1)/100*$Y10,"")</f>
        <v>1.4000000000000001</v>
      </c>
      <c r="AA10" s="713">
        <f>IFERROR($Z10-$Z11,"")</f>
        <v>1.4000000000000001</v>
      </c>
      <c r="AB10" s="319"/>
      <c r="AF10" s="278"/>
      <c r="AH10" s="278"/>
      <c r="AJ10" s="47"/>
      <c r="AK10" s="47"/>
    </row>
    <row r="11" spans="1:38" ht="12.75" customHeight="1">
      <c r="A11" s="668" t="str">
        <f>$AA$22</f>
        <v>SE4C - spot</v>
      </c>
      <c r="B11" s="572">
        <f t="shared" si="14"/>
        <v>0</v>
      </c>
      <c r="C11" s="569">
        <f t="shared" si="0"/>
        <v>0</v>
      </c>
      <c r="D11" s="573">
        <f t="shared" si="1"/>
        <v>0</v>
      </c>
      <c r="E11" s="577">
        <f t="shared" si="2"/>
        <v>0</v>
      </c>
      <c r="F11" s="341">
        <f t="shared" si="3"/>
        <v>0</v>
      </c>
      <c r="G11" s="582">
        <f t="shared" si="4"/>
        <v>0</v>
      </c>
      <c r="H11" s="332">
        <f t="shared" si="5"/>
        <v>0</v>
      </c>
      <c r="I11" s="323">
        <f t="shared" si="6"/>
        <v>0</v>
      </c>
      <c r="J11" s="466">
        <f t="shared" si="7"/>
        <v>0</v>
      </c>
      <c r="K11" s="327">
        <f t="shared" si="8"/>
        <v>0.10100000000000001</v>
      </c>
      <c r="L11" s="330">
        <f t="shared" si="9"/>
        <v>0</v>
      </c>
      <c r="M11" s="327">
        <f t="shared" si="10"/>
        <v>0</v>
      </c>
      <c r="N11" s="330">
        <f t="shared" si="11"/>
        <v>0</v>
      </c>
      <c r="O11" s="454">
        <f t="shared" si="12"/>
        <v>0</v>
      </c>
      <c r="P11" s="473">
        <v>10</v>
      </c>
      <c r="Q11" s="475">
        <v>0</v>
      </c>
      <c r="R11" s="431">
        <v>0</v>
      </c>
      <c r="S11" s="440">
        <v>0</v>
      </c>
      <c r="T11" s="350">
        <v>0</v>
      </c>
      <c r="U11" s="371">
        <v>0</v>
      </c>
      <c r="V11" s="521">
        <v>0</v>
      </c>
      <c r="W11" s="592">
        <v>0</v>
      </c>
      <c r="X11" s="600">
        <v>0</v>
      </c>
      <c r="Y11" s="523">
        <f>IFERROR(INT($Z10/($D11*(1+$V$1)/100)),0)</f>
        <v>0</v>
      </c>
      <c r="Z11" s="563">
        <f>$D11/100*INT($Y11)</f>
        <v>0</v>
      </c>
      <c r="AA11" s="714"/>
    </row>
    <row r="12" spans="1:38" ht="12.75" customHeight="1">
      <c r="A12" s="621" t="str">
        <f>$A$22</f>
        <v>SE4D - spot</v>
      </c>
      <c r="B12" s="579">
        <f t="shared" si="14"/>
        <v>5000</v>
      </c>
      <c r="C12" s="571">
        <f t="shared" si="0"/>
        <v>9.0999999999999998E-2</v>
      </c>
      <c r="D12" s="568">
        <f t="shared" si="1"/>
        <v>9.2999999999999999E-2</v>
      </c>
      <c r="E12" s="574">
        <f t="shared" si="2"/>
        <v>2998750</v>
      </c>
      <c r="F12" s="449">
        <f t="shared" si="3"/>
        <v>9.2999999999999999E-2</v>
      </c>
      <c r="G12" s="581">
        <f t="shared" si="4"/>
        <v>-2.1000000000000001E-2</v>
      </c>
      <c r="H12" s="331">
        <f t="shared" si="5"/>
        <v>9.2999999999999999E-2</v>
      </c>
      <c r="I12" s="322">
        <f t="shared" si="6"/>
        <v>9.2999999999999999E-2</v>
      </c>
      <c r="J12" s="467">
        <f t="shared" si="7"/>
        <v>9.2999999999999999E-2</v>
      </c>
      <c r="K12" s="326">
        <f t="shared" si="8"/>
        <v>9.5000000000000001E-2</v>
      </c>
      <c r="L12" s="398">
        <f t="shared" si="9"/>
        <v>93</v>
      </c>
      <c r="M12" s="326">
        <f t="shared" si="10"/>
        <v>100000</v>
      </c>
      <c r="N12" s="398">
        <f t="shared" si="11"/>
        <v>1</v>
      </c>
      <c r="O12" s="455">
        <f t="shared" si="12"/>
        <v>45296.564108796294</v>
      </c>
      <c r="P12" s="474">
        <v>11</v>
      </c>
      <c r="Q12" s="476">
        <v>0</v>
      </c>
      <c r="R12" s="430">
        <v>0</v>
      </c>
      <c r="S12" s="441">
        <v>0</v>
      </c>
      <c r="T12" s="351">
        <v>0</v>
      </c>
      <c r="U12" s="372">
        <v>0</v>
      </c>
      <c r="V12" s="520">
        <v>0</v>
      </c>
      <c r="W12" s="617">
        <v>0</v>
      </c>
      <c r="X12" s="601">
        <v>0</v>
      </c>
      <c r="Y12" s="524">
        <f t="shared" si="13"/>
        <v>0</v>
      </c>
      <c r="Z12" s="564">
        <f>$C12*(1-$V$1)/100*INT($Y12)</f>
        <v>0</v>
      </c>
      <c r="AA12" s="715">
        <f>IFERROR($Z12-$Z13,"")</f>
        <v>0</v>
      </c>
    </row>
    <row r="13" spans="1:38" ht="12.75" customHeight="1">
      <c r="A13" s="669" t="str">
        <f>$AA$24</f>
        <v>XE4D - spot</v>
      </c>
      <c r="B13" s="628">
        <f t="shared" si="14"/>
        <v>1</v>
      </c>
      <c r="C13" s="629">
        <f t="shared" si="0"/>
        <v>0.01</v>
      </c>
      <c r="D13" s="630">
        <f t="shared" si="1"/>
        <v>0.14599999999999999</v>
      </c>
      <c r="E13" s="631">
        <f t="shared" si="2"/>
        <v>170119014</v>
      </c>
      <c r="F13" s="632">
        <f t="shared" si="3"/>
        <v>0.14299999999999999</v>
      </c>
      <c r="G13" s="633">
        <f t="shared" si="4"/>
        <v>-5.9200000000000003E-2</v>
      </c>
      <c r="H13" s="378">
        <f t="shared" si="5"/>
        <v>0.14799999999999999</v>
      </c>
      <c r="I13" s="379">
        <f t="shared" si="6"/>
        <v>0.15</v>
      </c>
      <c r="J13" s="471">
        <f t="shared" si="7"/>
        <v>0.14299999999999999</v>
      </c>
      <c r="K13" s="380">
        <f t="shared" si="8"/>
        <v>0.152</v>
      </c>
      <c r="L13" s="384">
        <f t="shared" si="9"/>
        <v>12835370</v>
      </c>
      <c r="M13" s="380">
        <f t="shared" si="10"/>
        <v>8662308663</v>
      </c>
      <c r="N13" s="384">
        <f t="shared" si="11"/>
        <v>1844</v>
      </c>
      <c r="O13" s="634">
        <f t="shared" si="12"/>
        <v>45296.685370370367</v>
      </c>
      <c r="P13" s="473">
        <v>12</v>
      </c>
      <c r="Q13" s="636">
        <v>0</v>
      </c>
      <c r="R13" s="637">
        <v>0</v>
      </c>
      <c r="S13" s="446">
        <v>0</v>
      </c>
      <c r="T13" s="638">
        <v>0</v>
      </c>
      <c r="U13" s="371">
        <v>0</v>
      </c>
      <c r="V13" s="521">
        <v>0</v>
      </c>
      <c r="W13" s="642">
        <v>0</v>
      </c>
      <c r="X13" s="641">
        <v>0</v>
      </c>
      <c r="Y13" s="639">
        <f>IFERROR($Z12/($D13*(1+$V$1)/100),0)</f>
        <v>0</v>
      </c>
      <c r="Z13" s="640">
        <f>$D13/100*INT($Y13)</f>
        <v>0</v>
      </c>
      <c r="AA13" s="716"/>
    </row>
    <row r="14" spans="1:38" ht="12.75" customHeight="1">
      <c r="A14" s="565" t="str">
        <f>$A$25</f>
        <v>CLSIC - 48hs</v>
      </c>
      <c r="B14" s="579">
        <f t="shared" si="14"/>
        <v>2724</v>
      </c>
      <c r="C14" s="571">
        <f t="shared" si="0"/>
        <v>30.2</v>
      </c>
      <c r="D14" s="375">
        <f t="shared" si="1"/>
        <v>30.78</v>
      </c>
      <c r="E14" s="570">
        <f t="shared" si="2"/>
        <v>2724</v>
      </c>
      <c r="F14" s="449">
        <f t="shared" si="3"/>
        <v>31</v>
      </c>
      <c r="G14" s="581">
        <f t="shared" si="4"/>
        <v>3.3300000000000003E-2</v>
      </c>
      <c r="H14" s="333">
        <f t="shared" si="5"/>
        <v>30.5</v>
      </c>
      <c r="I14" s="325">
        <f t="shared" si="6"/>
        <v>31</v>
      </c>
      <c r="J14" s="469">
        <f t="shared" si="7"/>
        <v>30.5</v>
      </c>
      <c r="K14" s="329">
        <f t="shared" si="8"/>
        <v>30</v>
      </c>
      <c r="L14" s="377">
        <f t="shared" si="9"/>
        <v>875</v>
      </c>
      <c r="M14" s="329">
        <f t="shared" si="10"/>
        <v>2824</v>
      </c>
      <c r="N14" s="377">
        <f t="shared" si="11"/>
        <v>2</v>
      </c>
      <c r="O14" s="457">
        <f t="shared" si="12"/>
        <v>45296.52784722222</v>
      </c>
      <c r="P14" s="474">
        <v>13</v>
      </c>
      <c r="Q14" s="478">
        <v>0</v>
      </c>
      <c r="R14" s="433">
        <v>0</v>
      </c>
      <c r="S14" s="443">
        <v>0</v>
      </c>
      <c r="T14" s="381">
        <v>0</v>
      </c>
      <c r="U14" s="372">
        <v>0</v>
      </c>
      <c r="V14" s="520">
        <v>0</v>
      </c>
      <c r="W14" s="591">
        <v>0</v>
      </c>
      <c r="X14" s="599">
        <v>0</v>
      </c>
      <c r="Y14" s="522">
        <v>1000</v>
      </c>
      <c r="Z14" s="562">
        <f>IFERROR($C14*(1-$V$1)/100*$Y14,"")</f>
        <v>302</v>
      </c>
      <c r="AA14" s="713">
        <f>IFERROR($Z14-$Z15,"")</f>
        <v>302</v>
      </c>
    </row>
    <row r="15" spans="1:38" ht="12.75" customHeight="1">
      <c r="A15" s="672" t="str">
        <f>$AA$23</f>
        <v>AL41C - 48hs</v>
      </c>
      <c r="B15" s="572">
        <f t="shared" si="14"/>
        <v>0</v>
      </c>
      <c r="C15" s="569">
        <f t="shared" si="0"/>
        <v>0</v>
      </c>
      <c r="D15" s="573">
        <f t="shared" si="1"/>
        <v>0</v>
      </c>
      <c r="E15" s="577">
        <f t="shared" si="2"/>
        <v>0</v>
      </c>
      <c r="F15" s="341">
        <f t="shared" si="3"/>
        <v>0</v>
      </c>
      <c r="G15" s="582">
        <f t="shared" si="4"/>
        <v>0</v>
      </c>
      <c r="H15" s="352">
        <f t="shared" si="5"/>
        <v>0</v>
      </c>
      <c r="I15" s="353">
        <f t="shared" si="6"/>
        <v>0</v>
      </c>
      <c r="J15" s="470">
        <f t="shared" si="7"/>
        <v>0</v>
      </c>
      <c r="K15" s="354">
        <f t="shared" si="8"/>
        <v>26</v>
      </c>
      <c r="L15" s="401">
        <f t="shared" si="9"/>
        <v>0</v>
      </c>
      <c r="M15" s="354">
        <f t="shared" si="10"/>
        <v>0</v>
      </c>
      <c r="N15" s="401">
        <f t="shared" si="11"/>
        <v>0</v>
      </c>
      <c r="O15" s="458">
        <f t="shared" si="12"/>
        <v>0</v>
      </c>
      <c r="P15" s="473">
        <v>14</v>
      </c>
      <c r="Q15" s="479">
        <v>0</v>
      </c>
      <c r="R15" s="434">
        <v>0</v>
      </c>
      <c r="S15" s="444">
        <v>0</v>
      </c>
      <c r="T15" s="355">
        <v>0</v>
      </c>
      <c r="U15" s="371">
        <v>0</v>
      </c>
      <c r="V15" s="521">
        <v>0</v>
      </c>
      <c r="W15" s="592">
        <v>0</v>
      </c>
      <c r="X15" s="600">
        <v>0</v>
      </c>
      <c r="Y15" s="523">
        <f>IFERROR(INT($Z14/($D15*(1+$V$1)/100)),0)</f>
        <v>0</v>
      </c>
      <c r="Z15" s="563">
        <f>$D15/100*INT($Y15)</f>
        <v>0</v>
      </c>
      <c r="AA15" s="714"/>
    </row>
    <row r="16" spans="1:38" ht="12.75" customHeight="1">
      <c r="A16" s="621" t="str">
        <f>A23</f>
        <v>AL41D - 48hs</v>
      </c>
      <c r="B16" s="579">
        <f t="shared" si="14"/>
        <v>872</v>
      </c>
      <c r="C16" s="571">
        <f t="shared" si="0"/>
        <v>34.700000000000003</v>
      </c>
      <c r="D16" s="568">
        <f t="shared" si="1"/>
        <v>34.9</v>
      </c>
      <c r="E16" s="574">
        <f t="shared" si="2"/>
        <v>2000</v>
      </c>
      <c r="F16" s="449">
        <f t="shared" si="3"/>
        <v>34.700000000000003</v>
      </c>
      <c r="G16" s="581">
        <f t="shared" si="4"/>
        <v>5.6999999999999993E-3</v>
      </c>
      <c r="H16" s="331">
        <f t="shared" si="5"/>
        <v>34.5</v>
      </c>
      <c r="I16" s="322">
        <f t="shared" si="6"/>
        <v>34.99</v>
      </c>
      <c r="J16" s="322">
        <f t="shared" si="7"/>
        <v>33</v>
      </c>
      <c r="K16" s="326">
        <f t="shared" si="8"/>
        <v>34.502000000000002</v>
      </c>
      <c r="L16" s="398">
        <f t="shared" si="9"/>
        <v>53411</v>
      </c>
      <c r="M16" s="326">
        <f t="shared" si="10"/>
        <v>160960</v>
      </c>
      <c r="N16" s="398">
        <f t="shared" si="11"/>
        <v>64</v>
      </c>
      <c r="O16" s="455">
        <f t="shared" si="12"/>
        <v>45296.708356481482</v>
      </c>
      <c r="P16" s="474">
        <v>15</v>
      </c>
      <c r="Q16" s="480">
        <v>0</v>
      </c>
      <c r="R16" s="430">
        <v>0</v>
      </c>
      <c r="S16" s="441">
        <v>0</v>
      </c>
      <c r="T16" s="351">
        <v>0</v>
      </c>
      <c r="U16" s="372">
        <v>0</v>
      </c>
      <c r="V16" s="520">
        <v>0</v>
      </c>
      <c r="W16" s="617">
        <v>0</v>
      </c>
      <c r="X16" s="601">
        <v>0</v>
      </c>
      <c r="Y16" s="524">
        <f t="shared" ref="Y16" si="15">Y15</f>
        <v>0</v>
      </c>
      <c r="Z16" s="564">
        <f>$C16*(1-$V$1)/100*INT($Y16)</f>
        <v>0</v>
      </c>
      <c r="AA16" s="715">
        <f>IFERROR($Z16-$Z17,"")</f>
        <v>0</v>
      </c>
    </row>
    <row r="17" spans="1:29" ht="12.75" customHeight="1">
      <c r="A17" s="697" t="str">
        <f>$AA$25</f>
        <v>CLSID - 48hs</v>
      </c>
      <c r="B17" s="628">
        <f t="shared" si="14"/>
        <v>1000</v>
      </c>
      <c r="C17" s="629">
        <f t="shared" si="0"/>
        <v>30.8</v>
      </c>
      <c r="D17" s="630">
        <f t="shared" si="1"/>
        <v>31.4</v>
      </c>
      <c r="E17" s="631">
        <f t="shared" si="2"/>
        <v>2086</v>
      </c>
      <c r="F17" s="632">
        <f t="shared" si="3"/>
        <v>31.4</v>
      </c>
      <c r="G17" s="633">
        <f t="shared" si="4"/>
        <v>-1.2500000000000001E-2</v>
      </c>
      <c r="H17" s="378">
        <f t="shared" si="5"/>
        <v>31.8</v>
      </c>
      <c r="I17" s="379">
        <f t="shared" si="6"/>
        <v>32.25</v>
      </c>
      <c r="J17" s="471">
        <f t="shared" si="7"/>
        <v>30</v>
      </c>
      <c r="K17" s="380">
        <f t="shared" si="8"/>
        <v>31.8</v>
      </c>
      <c r="L17" s="384">
        <f t="shared" si="9"/>
        <v>33034</v>
      </c>
      <c r="M17" s="380">
        <f t="shared" si="10"/>
        <v>107236</v>
      </c>
      <c r="N17" s="384">
        <f t="shared" si="11"/>
        <v>111</v>
      </c>
      <c r="O17" s="634">
        <f t="shared" si="12"/>
        <v>45296.705682870372</v>
      </c>
      <c r="P17" s="635">
        <v>16</v>
      </c>
      <c r="Q17" s="636">
        <v>0</v>
      </c>
      <c r="R17" s="637">
        <v>0</v>
      </c>
      <c r="S17" s="446">
        <v>0</v>
      </c>
      <c r="T17" s="638">
        <v>0</v>
      </c>
      <c r="U17" s="371">
        <v>0</v>
      </c>
      <c r="V17" s="521">
        <v>0</v>
      </c>
      <c r="W17" s="642">
        <v>0</v>
      </c>
      <c r="X17" s="641">
        <v>0</v>
      </c>
      <c r="Y17" s="639">
        <f>IFERROR($Z16/($D17*(1+$V$1)/100),0)</f>
        <v>0</v>
      </c>
      <c r="Z17" s="640">
        <f>$D17/100*INT($Y17)</f>
        <v>0</v>
      </c>
      <c r="AA17" s="716"/>
    </row>
    <row r="18" spans="1:29" ht="12.75" customHeight="1">
      <c r="A18" s="702" t="s">
        <v>13</v>
      </c>
      <c r="B18" s="579">
        <f t="shared" si="14"/>
        <v>950</v>
      </c>
      <c r="C18" s="571">
        <f t="shared" si="0"/>
        <v>41100</v>
      </c>
      <c r="D18" s="375">
        <f t="shared" si="1"/>
        <v>41195</v>
      </c>
      <c r="E18" s="570">
        <f t="shared" si="2"/>
        <v>136139</v>
      </c>
      <c r="F18" s="449">
        <f t="shared" si="3"/>
        <v>41195</v>
      </c>
      <c r="G18" s="581">
        <f t="shared" si="4"/>
        <v>3.8399999999999997E-2</v>
      </c>
      <c r="H18" s="333">
        <f t="shared" si="5"/>
        <v>40500</v>
      </c>
      <c r="I18" s="325">
        <f t="shared" si="6"/>
        <v>41200</v>
      </c>
      <c r="J18" s="469">
        <f t="shared" si="7"/>
        <v>39205</v>
      </c>
      <c r="K18" s="329">
        <f t="shared" si="8"/>
        <v>39670</v>
      </c>
      <c r="L18" s="377">
        <f t="shared" si="9"/>
        <v>61978019912</v>
      </c>
      <c r="M18" s="329">
        <f t="shared" si="10"/>
        <v>154724623</v>
      </c>
      <c r="N18" s="377">
        <f t="shared" si="11"/>
        <v>54620</v>
      </c>
      <c r="O18" s="457">
        <f t="shared" si="12"/>
        <v>45296.6875462963</v>
      </c>
      <c r="P18" s="474">
        <v>17</v>
      </c>
      <c r="Q18" s="478">
        <v>0</v>
      </c>
      <c r="R18" s="433">
        <v>0</v>
      </c>
      <c r="S18" s="443">
        <v>0</v>
      </c>
      <c r="T18" s="358">
        <v>0</v>
      </c>
      <c r="U18" s="372">
        <v>0</v>
      </c>
      <c r="V18" s="520">
        <v>0</v>
      </c>
      <c r="W18" s="591">
        <v>0</v>
      </c>
      <c r="X18" s="596">
        <v>0</v>
      </c>
      <c r="Y18" s="560">
        <v>65</v>
      </c>
      <c r="Z18" s="594" t="str">
        <f>A19</f>
        <v>GD30 - spot</v>
      </c>
      <c r="AA18" s="618">
        <f>IFERROR(INT(VLOOKUP($A18,$A$42:$N$157,6,0)*$Y18/100)/(VLOOKUP($Z18,$A$42:$N$157,6,0)/100),"")</f>
        <v>60.442437923250566</v>
      </c>
      <c r="AC18" s="319"/>
    </row>
    <row r="19" spans="1:29" ht="12.75" customHeight="1">
      <c r="A19" s="703" t="s">
        <v>16</v>
      </c>
      <c r="B19" s="572">
        <f t="shared" si="14"/>
        <v>451</v>
      </c>
      <c r="C19" s="569">
        <f t="shared" si="0"/>
        <v>44250</v>
      </c>
      <c r="D19" s="573">
        <f t="shared" si="1"/>
        <v>44400</v>
      </c>
      <c r="E19" s="577">
        <f t="shared" si="2"/>
        <v>1500</v>
      </c>
      <c r="F19" s="341">
        <f t="shared" si="3"/>
        <v>44300</v>
      </c>
      <c r="G19" s="582">
        <f t="shared" si="4"/>
        <v>4.2500000000000003E-2</v>
      </c>
      <c r="H19" s="352">
        <f t="shared" si="5"/>
        <v>43300</v>
      </c>
      <c r="I19" s="353">
        <f t="shared" si="6"/>
        <v>44775</v>
      </c>
      <c r="J19" s="470">
        <f t="shared" si="7"/>
        <v>42315</v>
      </c>
      <c r="K19" s="354">
        <f t="shared" si="8"/>
        <v>42490</v>
      </c>
      <c r="L19" s="401">
        <f t="shared" si="9"/>
        <v>5204303133</v>
      </c>
      <c r="M19" s="354">
        <f t="shared" si="10"/>
        <v>12034531</v>
      </c>
      <c r="N19" s="401">
        <f t="shared" si="11"/>
        <v>6017</v>
      </c>
      <c r="O19" s="458">
        <f t="shared" si="12"/>
        <v>45296.687743055554</v>
      </c>
      <c r="P19" s="473">
        <v>18</v>
      </c>
      <c r="Q19" s="479">
        <v>0</v>
      </c>
      <c r="R19" s="434">
        <v>0</v>
      </c>
      <c r="S19" s="440">
        <v>0</v>
      </c>
      <c r="T19" s="357">
        <v>0</v>
      </c>
      <c r="U19" s="371">
        <v>0</v>
      </c>
      <c r="V19" s="521">
        <v>0</v>
      </c>
      <c r="W19" s="592">
        <v>0</v>
      </c>
      <c r="X19" s="597">
        <v>0</v>
      </c>
      <c r="Y19" s="561">
        <v>64</v>
      </c>
      <c r="Z19" s="595" t="str">
        <f>A18</f>
        <v>AL30 - spot</v>
      </c>
      <c r="AA19" s="566">
        <f>IFERROR(INT(VLOOKUP($A19,$A$42:$N$157,6,0)*$Y19/100)/(VLOOKUP($Z19,$A$42:$N$157,6,0)/100),"")</f>
        <v>68.823886393979848</v>
      </c>
    </row>
    <row r="20" spans="1:29" ht="12.75" customHeight="1">
      <c r="A20" s="702" t="s">
        <v>2</v>
      </c>
      <c r="B20" s="579">
        <f t="shared" si="14"/>
        <v>700</v>
      </c>
      <c r="C20" s="571">
        <f t="shared" si="0"/>
        <v>41330</v>
      </c>
      <c r="D20" s="568">
        <f t="shared" si="1"/>
        <v>41340</v>
      </c>
      <c r="E20" s="574">
        <f t="shared" si="2"/>
        <v>357897</v>
      </c>
      <c r="F20" s="449">
        <f t="shared" si="3"/>
        <v>41340</v>
      </c>
      <c r="G20" s="581">
        <f t="shared" si="4"/>
        <v>5.4600000000000003E-2</v>
      </c>
      <c r="H20" s="331">
        <f t="shared" si="5"/>
        <v>39890</v>
      </c>
      <c r="I20" s="322">
        <f t="shared" si="6"/>
        <v>41550</v>
      </c>
      <c r="J20" s="322">
        <f t="shared" si="7"/>
        <v>39205</v>
      </c>
      <c r="K20" s="326">
        <f t="shared" si="8"/>
        <v>39198.29</v>
      </c>
      <c r="L20" s="398">
        <f t="shared" si="9"/>
        <v>44653896145</v>
      </c>
      <c r="M20" s="326">
        <f t="shared" si="10"/>
        <v>111033458</v>
      </c>
      <c r="N20" s="398">
        <f t="shared" si="11"/>
        <v>18255</v>
      </c>
      <c r="O20" s="455">
        <f t="shared" si="12"/>
        <v>45296.708425925928</v>
      </c>
      <c r="P20" s="474">
        <v>19</v>
      </c>
      <c r="Q20" s="480">
        <v>0</v>
      </c>
      <c r="R20" s="430">
        <v>0</v>
      </c>
      <c r="S20" s="445">
        <v>0</v>
      </c>
      <c r="T20" s="356">
        <v>0</v>
      </c>
      <c r="U20" s="372">
        <v>0</v>
      </c>
      <c r="V20" s="520">
        <v>0</v>
      </c>
      <c r="W20" s="617">
        <v>0</v>
      </c>
      <c r="X20" s="598">
        <v>0</v>
      </c>
      <c r="Y20" s="560">
        <v>63</v>
      </c>
      <c r="Z20" s="594" t="str">
        <f>A21</f>
        <v>GD30 - 48hs</v>
      </c>
      <c r="AA20" s="567">
        <f>IFERROR(INT(VLOOKUP($A20,$A$42:$N$157,6,0)*$Y20/100)/(VLOOKUP($Z20,$A$42:$N$157,6,0)/100),"")</f>
        <v>58.056174765938472</v>
      </c>
    </row>
    <row r="21" spans="1:29" ht="12.75" customHeight="1">
      <c r="A21" s="704" t="s">
        <v>5</v>
      </c>
      <c r="B21" s="575">
        <f t="shared" si="14"/>
        <v>4293</v>
      </c>
      <c r="C21" s="415">
        <f t="shared" si="0"/>
        <v>44860</v>
      </c>
      <c r="D21" s="576">
        <f t="shared" si="1"/>
        <v>45085</v>
      </c>
      <c r="E21" s="578">
        <f t="shared" si="2"/>
        <v>21652</v>
      </c>
      <c r="F21" s="580">
        <f t="shared" si="3"/>
        <v>44860</v>
      </c>
      <c r="G21" s="583">
        <f t="shared" si="4"/>
        <v>6.0499999999999998E-2</v>
      </c>
      <c r="H21" s="408">
        <f t="shared" si="5"/>
        <v>42900</v>
      </c>
      <c r="I21" s="409">
        <f t="shared" si="6"/>
        <v>45500</v>
      </c>
      <c r="J21" s="468">
        <f t="shared" si="7"/>
        <v>42400</v>
      </c>
      <c r="K21" s="411">
        <f t="shared" si="8"/>
        <v>42297.663</v>
      </c>
      <c r="L21" s="410">
        <f t="shared" si="9"/>
        <v>13344034928</v>
      </c>
      <c r="M21" s="411">
        <f t="shared" si="10"/>
        <v>30796110</v>
      </c>
      <c r="N21" s="410">
        <f t="shared" si="11"/>
        <v>4515</v>
      </c>
      <c r="O21" s="456">
        <f t="shared" si="12"/>
        <v>45296.708425925928</v>
      </c>
      <c r="P21" s="473">
        <v>20</v>
      </c>
      <c r="Q21" s="477">
        <v>0</v>
      </c>
      <c r="R21" s="432">
        <v>0</v>
      </c>
      <c r="S21" s="442">
        <v>0</v>
      </c>
      <c r="T21" s="417">
        <v>0</v>
      </c>
      <c r="U21" s="371">
        <v>0</v>
      </c>
      <c r="V21" s="521">
        <v>0</v>
      </c>
      <c r="W21" s="696">
        <v>0</v>
      </c>
      <c r="X21" s="622">
        <v>0</v>
      </c>
      <c r="Y21" s="625">
        <v>62</v>
      </c>
      <c r="Z21" s="626" t="str">
        <f>A20</f>
        <v>AL30 - 48hs</v>
      </c>
      <c r="AA21" s="627">
        <f>IFERROR(INT(VLOOKUP($A21,$A$42:$N$157,6,0)*$Y21/100)/(VLOOKUP($Z21,$A$42:$N$157,6,0)/100),"")</f>
        <v>67.278664731494928</v>
      </c>
    </row>
    <row r="22" spans="1:29" ht="12.75" customHeight="1">
      <c r="A22" s="644" t="s">
        <v>628</v>
      </c>
      <c r="B22" s="579">
        <f t="shared" si="14"/>
        <v>5000</v>
      </c>
      <c r="C22" s="571">
        <f t="shared" si="0"/>
        <v>9.0999999999999998E-2</v>
      </c>
      <c r="D22" s="375">
        <f t="shared" si="1"/>
        <v>9.2999999999999999E-2</v>
      </c>
      <c r="E22" s="570">
        <f t="shared" si="2"/>
        <v>2998750</v>
      </c>
      <c r="F22" s="449">
        <f t="shared" si="3"/>
        <v>9.2999999999999999E-2</v>
      </c>
      <c r="G22" s="581">
        <f t="shared" si="4"/>
        <v>-2.1000000000000001E-2</v>
      </c>
      <c r="H22" s="333">
        <f t="shared" si="5"/>
        <v>9.2999999999999999E-2</v>
      </c>
      <c r="I22" s="325">
        <f t="shared" si="6"/>
        <v>9.2999999999999999E-2</v>
      </c>
      <c r="J22" s="469">
        <f t="shared" si="7"/>
        <v>9.2999999999999999E-2</v>
      </c>
      <c r="K22" s="329">
        <f t="shared" si="8"/>
        <v>9.5000000000000001E-2</v>
      </c>
      <c r="L22" s="377">
        <f t="shared" si="9"/>
        <v>93</v>
      </c>
      <c r="M22" s="329">
        <f t="shared" si="10"/>
        <v>100000</v>
      </c>
      <c r="N22" s="377">
        <f t="shared" si="11"/>
        <v>1</v>
      </c>
      <c r="O22" s="457">
        <f t="shared" si="12"/>
        <v>45296.564108796294</v>
      </c>
      <c r="P22" s="474">
        <v>21</v>
      </c>
      <c r="Q22" s="478">
        <v>0</v>
      </c>
      <c r="R22" s="515">
        <v>0</v>
      </c>
      <c r="S22" s="443">
        <v>0</v>
      </c>
      <c r="T22" s="381">
        <v>0</v>
      </c>
      <c r="U22" s="421">
        <v>0</v>
      </c>
      <c r="V22" s="506">
        <v>0</v>
      </c>
      <c r="W22" s="587">
        <v>0</v>
      </c>
      <c r="X22" s="596">
        <v>0</v>
      </c>
      <c r="Y22" s="678">
        <v>1067.032967032967</v>
      </c>
      <c r="Z22" s="681" t="s">
        <v>624</v>
      </c>
      <c r="AA22" s="682" t="s">
        <v>626</v>
      </c>
    </row>
    <row r="23" spans="1:29" ht="12.75" customHeight="1">
      <c r="A23" s="645" t="s">
        <v>243</v>
      </c>
      <c r="B23" s="572">
        <f t="shared" si="14"/>
        <v>872</v>
      </c>
      <c r="C23" s="569">
        <f t="shared" si="0"/>
        <v>34.700000000000003</v>
      </c>
      <c r="D23" s="573">
        <f t="shared" si="1"/>
        <v>34.9</v>
      </c>
      <c r="E23" s="577">
        <f t="shared" si="2"/>
        <v>2000</v>
      </c>
      <c r="F23" s="341">
        <f t="shared" si="3"/>
        <v>34.700000000000003</v>
      </c>
      <c r="G23" s="582">
        <f t="shared" si="4"/>
        <v>5.6999999999999993E-3</v>
      </c>
      <c r="H23" s="352">
        <f t="shared" si="5"/>
        <v>34.5</v>
      </c>
      <c r="I23" s="353">
        <f t="shared" si="6"/>
        <v>34.99</v>
      </c>
      <c r="J23" s="470">
        <f t="shared" si="7"/>
        <v>33</v>
      </c>
      <c r="K23" s="354">
        <f t="shared" si="8"/>
        <v>34.502000000000002</v>
      </c>
      <c r="L23" s="401">
        <f t="shared" si="9"/>
        <v>53411</v>
      </c>
      <c r="M23" s="354">
        <f t="shared" si="10"/>
        <v>160960</v>
      </c>
      <c r="N23" s="401">
        <f t="shared" si="11"/>
        <v>64</v>
      </c>
      <c r="O23" s="458">
        <f t="shared" si="12"/>
        <v>45296.708356481482</v>
      </c>
      <c r="P23" s="473">
        <v>22</v>
      </c>
      <c r="Q23" s="479">
        <v>0</v>
      </c>
      <c r="R23" s="434">
        <v>0</v>
      </c>
      <c r="S23" s="444">
        <v>0</v>
      </c>
      <c r="T23" s="355">
        <v>0</v>
      </c>
      <c r="U23" s="670">
        <v>0</v>
      </c>
      <c r="V23" s="507">
        <v>0</v>
      </c>
      <c r="W23" s="588">
        <v>0</v>
      </c>
      <c r="X23" s="597">
        <v>0</v>
      </c>
      <c r="Y23" s="679">
        <v>1065.9942363112391</v>
      </c>
      <c r="Z23" s="684" t="s">
        <v>185</v>
      </c>
      <c r="AA23" s="685" t="s">
        <v>242</v>
      </c>
    </row>
    <row r="24" spans="1:29" ht="12.75" customHeight="1">
      <c r="A24" s="646" t="s">
        <v>551</v>
      </c>
      <c r="B24" s="579">
        <f t="shared" si="14"/>
        <v>8300820</v>
      </c>
      <c r="C24" s="571">
        <f t="shared" si="0"/>
        <v>0.14000000000000001</v>
      </c>
      <c r="D24" s="568">
        <f t="shared" si="1"/>
        <v>0.14299999999999999</v>
      </c>
      <c r="E24" s="574">
        <f t="shared" si="2"/>
        <v>334731</v>
      </c>
      <c r="F24" s="449">
        <f t="shared" si="3"/>
        <v>0.14000000000000001</v>
      </c>
      <c r="G24" s="581">
        <f t="shared" si="4"/>
        <v>-4.7599999999999996E-2</v>
      </c>
      <c r="H24" s="331">
        <f t="shared" si="5"/>
        <v>0.14899999999999999</v>
      </c>
      <c r="I24" s="322">
        <f t="shared" si="6"/>
        <v>0.14899999999999999</v>
      </c>
      <c r="J24" s="467">
        <f t="shared" si="7"/>
        <v>0.13900000000000001</v>
      </c>
      <c r="K24" s="326">
        <f t="shared" si="8"/>
        <v>0.14699999999999999</v>
      </c>
      <c r="L24" s="398">
        <f t="shared" si="9"/>
        <v>11962652</v>
      </c>
      <c r="M24" s="326">
        <f t="shared" si="10"/>
        <v>8318560757</v>
      </c>
      <c r="N24" s="398">
        <f t="shared" si="11"/>
        <v>1390</v>
      </c>
      <c r="O24" s="455">
        <f t="shared" si="12"/>
        <v>45296.687719907408</v>
      </c>
      <c r="P24" s="474">
        <v>23</v>
      </c>
      <c r="Q24" s="480">
        <v>0</v>
      </c>
      <c r="R24" s="430">
        <v>0</v>
      </c>
      <c r="S24" s="441">
        <v>0</v>
      </c>
      <c r="T24" s="351">
        <v>0</v>
      </c>
      <c r="U24" s="671">
        <v>0</v>
      </c>
      <c r="V24" s="506">
        <v>0</v>
      </c>
      <c r="W24" s="589">
        <v>0</v>
      </c>
      <c r="X24" s="598">
        <v>0</v>
      </c>
      <c r="Y24" s="677">
        <v>1127.8571428571429</v>
      </c>
      <c r="Z24" s="681" t="s">
        <v>549</v>
      </c>
      <c r="AA24" s="683" t="s">
        <v>553</v>
      </c>
    </row>
    <row r="25" spans="1:29" ht="12.75" customHeight="1">
      <c r="A25" s="661" t="s">
        <v>620</v>
      </c>
      <c r="B25" s="575">
        <f t="shared" si="14"/>
        <v>2724</v>
      </c>
      <c r="C25" s="415">
        <f t="shared" si="0"/>
        <v>30.2</v>
      </c>
      <c r="D25" s="662">
        <f t="shared" si="1"/>
        <v>30.78</v>
      </c>
      <c r="E25" s="657">
        <f t="shared" si="2"/>
        <v>2724</v>
      </c>
      <c r="F25" s="580">
        <f t="shared" si="3"/>
        <v>31</v>
      </c>
      <c r="G25" s="583">
        <f t="shared" si="4"/>
        <v>3.3300000000000003E-2</v>
      </c>
      <c r="H25" s="408">
        <f t="shared" si="5"/>
        <v>30.5</v>
      </c>
      <c r="I25" s="409">
        <f t="shared" si="6"/>
        <v>31</v>
      </c>
      <c r="J25" s="468">
        <f t="shared" si="7"/>
        <v>30.5</v>
      </c>
      <c r="K25" s="411">
        <f t="shared" si="8"/>
        <v>30</v>
      </c>
      <c r="L25" s="410">
        <f t="shared" si="9"/>
        <v>875</v>
      </c>
      <c r="M25" s="411">
        <f t="shared" si="10"/>
        <v>2824</v>
      </c>
      <c r="N25" s="410">
        <f t="shared" si="11"/>
        <v>2</v>
      </c>
      <c r="O25" s="456">
        <f t="shared" si="12"/>
        <v>45296.52784722222</v>
      </c>
      <c r="P25" s="473">
        <v>24</v>
      </c>
      <c r="Q25" s="477">
        <v>0</v>
      </c>
      <c r="R25" s="432">
        <v>0</v>
      </c>
      <c r="S25" s="442">
        <v>0</v>
      </c>
      <c r="T25" s="412">
        <v>0</v>
      </c>
      <c r="U25" s="422">
        <v>0</v>
      </c>
      <c r="V25" s="507">
        <v>0</v>
      </c>
      <c r="W25" s="590">
        <v>0</v>
      </c>
      <c r="X25" s="622">
        <v>0</v>
      </c>
      <c r="Y25" s="680">
        <v>1117.5496688741723</v>
      </c>
      <c r="Z25" s="686" t="s">
        <v>618</v>
      </c>
      <c r="AA25" s="687" t="s">
        <v>622</v>
      </c>
    </row>
    <row r="26" spans="1:29" ht="12.75" customHeight="1">
      <c r="A26" s="652" t="s">
        <v>13</v>
      </c>
      <c r="B26" s="579">
        <f t="shared" si="14"/>
        <v>950</v>
      </c>
      <c r="C26" s="647">
        <f t="shared" si="0"/>
        <v>41100</v>
      </c>
      <c r="D26" s="648">
        <f t="shared" si="1"/>
        <v>41195</v>
      </c>
      <c r="E26" s="570">
        <f t="shared" si="2"/>
        <v>136139</v>
      </c>
      <c r="F26" s="449">
        <f t="shared" si="3"/>
        <v>41195</v>
      </c>
      <c r="G26" s="581">
        <f t="shared" si="4"/>
        <v>3.8399999999999997E-2</v>
      </c>
      <c r="H26" s="333">
        <f t="shared" si="5"/>
        <v>40500</v>
      </c>
      <c r="I26" s="325">
        <f t="shared" si="6"/>
        <v>41200</v>
      </c>
      <c r="J26" s="469">
        <f t="shared" si="7"/>
        <v>39205</v>
      </c>
      <c r="K26" s="329">
        <f t="shared" si="8"/>
        <v>39670</v>
      </c>
      <c r="L26" s="377">
        <f t="shared" si="9"/>
        <v>61978019912</v>
      </c>
      <c r="M26" s="329">
        <f t="shared" si="10"/>
        <v>154724623</v>
      </c>
      <c r="N26" s="377">
        <f t="shared" si="11"/>
        <v>54620</v>
      </c>
      <c r="O26" s="459">
        <f t="shared" si="12"/>
        <v>45296.6875462963</v>
      </c>
      <c r="P26" s="474">
        <v>25</v>
      </c>
      <c r="Q26" s="478">
        <v>0</v>
      </c>
      <c r="R26" s="435">
        <v>0</v>
      </c>
      <c r="S26" s="443">
        <v>0</v>
      </c>
      <c r="T26" s="358">
        <v>0</v>
      </c>
      <c r="U26" s="421">
        <v>0</v>
      </c>
      <c r="V26" s="424">
        <v>0</v>
      </c>
      <c r="W26" s="318">
        <v>0</v>
      </c>
      <c r="X26" s="602">
        <v>0</v>
      </c>
      <c r="Y26" s="673">
        <v>570647.67687434005</v>
      </c>
      <c r="Z26" s="688" t="s">
        <v>14</v>
      </c>
      <c r="AA26" s="689" t="s">
        <v>15</v>
      </c>
    </row>
    <row r="27" spans="1:29" ht="12.75" customHeight="1">
      <c r="A27" s="653" t="s">
        <v>2</v>
      </c>
      <c r="B27" s="572">
        <f t="shared" si="14"/>
        <v>700</v>
      </c>
      <c r="C27" s="649">
        <f t="shared" si="0"/>
        <v>41330</v>
      </c>
      <c r="D27" s="650">
        <f t="shared" si="1"/>
        <v>41340</v>
      </c>
      <c r="E27" s="577">
        <f t="shared" si="2"/>
        <v>357897</v>
      </c>
      <c r="F27" s="341">
        <f t="shared" si="3"/>
        <v>41340</v>
      </c>
      <c r="G27" s="582">
        <f t="shared" si="4"/>
        <v>5.4600000000000003E-2</v>
      </c>
      <c r="H27" s="332">
        <f t="shared" si="5"/>
        <v>39890</v>
      </c>
      <c r="I27" s="323">
        <f t="shared" si="6"/>
        <v>41550</v>
      </c>
      <c r="J27" s="466">
        <f t="shared" si="7"/>
        <v>39205</v>
      </c>
      <c r="K27" s="327">
        <f t="shared" si="8"/>
        <v>39198.29</v>
      </c>
      <c r="L27" s="330">
        <f t="shared" si="9"/>
        <v>44653896145</v>
      </c>
      <c r="M27" s="327">
        <f t="shared" si="10"/>
        <v>111033458</v>
      </c>
      <c r="N27" s="330">
        <f t="shared" si="11"/>
        <v>18255</v>
      </c>
      <c r="O27" s="460">
        <f t="shared" si="12"/>
        <v>45296.708425925928</v>
      </c>
      <c r="P27" s="473">
        <v>26</v>
      </c>
      <c r="Q27" s="481">
        <v>0</v>
      </c>
      <c r="R27" s="436">
        <v>0</v>
      </c>
      <c r="S27" s="440">
        <v>0</v>
      </c>
      <c r="T27" s="357">
        <v>0</v>
      </c>
      <c r="U27" s="422">
        <v>0</v>
      </c>
      <c r="V27" s="423">
        <v>0</v>
      </c>
      <c r="W27" s="279">
        <v>0</v>
      </c>
      <c r="X27" s="603">
        <v>0</v>
      </c>
      <c r="Y27" s="674">
        <v>581983.94109772437</v>
      </c>
      <c r="Z27" s="692" t="s">
        <v>4</v>
      </c>
      <c r="AA27" s="693" t="s">
        <v>3</v>
      </c>
    </row>
    <row r="28" spans="1:29" ht="12.75" customHeight="1">
      <c r="A28" s="652" t="s">
        <v>13</v>
      </c>
      <c r="B28" s="579">
        <f t="shared" si="14"/>
        <v>950</v>
      </c>
      <c r="C28" s="647">
        <f t="shared" si="0"/>
        <v>41100</v>
      </c>
      <c r="D28" s="651">
        <f t="shared" si="1"/>
        <v>41195</v>
      </c>
      <c r="E28" s="574">
        <f t="shared" si="2"/>
        <v>136139</v>
      </c>
      <c r="F28" s="449">
        <f t="shared" si="3"/>
        <v>41195</v>
      </c>
      <c r="G28" s="581">
        <f t="shared" si="4"/>
        <v>3.8399999999999997E-2</v>
      </c>
      <c r="H28" s="333">
        <f t="shared" si="5"/>
        <v>40500</v>
      </c>
      <c r="I28" s="325">
        <f t="shared" si="6"/>
        <v>41200</v>
      </c>
      <c r="J28" s="469">
        <f t="shared" si="7"/>
        <v>39205</v>
      </c>
      <c r="K28" s="329">
        <f t="shared" si="8"/>
        <v>39670</v>
      </c>
      <c r="L28" s="377">
        <f t="shared" si="9"/>
        <v>61978019912</v>
      </c>
      <c r="M28" s="329">
        <f t="shared" si="10"/>
        <v>154724623</v>
      </c>
      <c r="N28" s="377">
        <f t="shared" si="11"/>
        <v>54620</v>
      </c>
      <c r="O28" s="459">
        <f t="shared" si="12"/>
        <v>45296.6875462963</v>
      </c>
      <c r="P28" s="474">
        <v>27</v>
      </c>
      <c r="Q28" s="478">
        <v>0</v>
      </c>
      <c r="R28" s="435">
        <v>0</v>
      </c>
      <c r="S28" s="443">
        <v>0</v>
      </c>
      <c r="T28" s="358">
        <v>0</v>
      </c>
      <c r="U28" s="421">
        <v>0</v>
      </c>
      <c r="V28" s="424">
        <v>0</v>
      </c>
      <c r="W28" s="363">
        <v>0</v>
      </c>
      <c r="X28" s="604">
        <v>0</v>
      </c>
      <c r="Y28" s="675">
        <v>588995.47683923703</v>
      </c>
      <c r="Z28" s="690" t="s">
        <v>15</v>
      </c>
      <c r="AA28" s="691" t="s">
        <v>14</v>
      </c>
    </row>
    <row r="29" spans="1:29" ht="12.75" customHeight="1">
      <c r="A29" s="654" t="s">
        <v>5</v>
      </c>
      <c r="B29" s="575">
        <f t="shared" si="14"/>
        <v>4293</v>
      </c>
      <c r="C29" s="655">
        <f t="shared" si="0"/>
        <v>44860</v>
      </c>
      <c r="D29" s="656">
        <f t="shared" si="1"/>
        <v>45085</v>
      </c>
      <c r="E29" s="657">
        <f t="shared" si="2"/>
        <v>21652</v>
      </c>
      <c r="F29" s="580">
        <f t="shared" si="3"/>
        <v>44860</v>
      </c>
      <c r="G29" s="583">
        <f t="shared" si="4"/>
        <v>6.0499999999999998E-2</v>
      </c>
      <c r="H29" s="408">
        <f t="shared" si="5"/>
        <v>42900</v>
      </c>
      <c r="I29" s="409">
        <f t="shared" si="6"/>
        <v>45500</v>
      </c>
      <c r="J29" s="468">
        <f t="shared" si="7"/>
        <v>42400</v>
      </c>
      <c r="K29" s="411">
        <f t="shared" si="8"/>
        <v>42297.663</v>
      </c>
      <c r="L29" s="410">
        <f t="shared" si="9"/>
        <v>13344034928</v>
      </c>
      <c r="M29" s="411">
        <f t="shared" si="10"/>
        <v>30796110</v>
      </c>
      <c r="N29" s="410">
        <f t="shared" si="11"/>
        <v>4515</v>
      </c>
      <c r="O29" s="461">
        <f t="shared" si="12"/>
        <v>45296.708425925928</v>
      </c>
      <c r="P29" s="473">
        <v>28</v>
      </c>
      <c r="Q29" s="658">
        <v>0</v>
      </c>
      <c r="R29" s="659">
        <v>0</v>
      </c>
      <c r="S29" s="442">
        <v>0</v>
      </c>
      <c r="T29" s="660">
        <v>0</v>
      </c>
      <c r="U29" s="422">
        <v>0</v>
      </c>
      <c r="V29" s="423">
        <v>0</v>
      </c>
      <c r="W29" s="448">
        <v>0</v>
      </c>
      <c r="X29" s="605">
        <v>0</v>
      </c>
      <c r="Y29" s="676">
        <v>601112.57070063695</v>
      </c>
      <c r="Z29" s="694" t="s">
        <v>5</v>
      </c>
      <c r="AA29" s="695" t="s">
        <v>5</v>
      </c>
    </row>
    <row r="30" spans="1:29" ht="12.75" hidden="1" customHeight="1">
      <c r="A30" s="392" t="s">
        <v>630</v>
      </c>
      <c r="B30" s="335"/>
      <c r="C30" s="375"/>
      <c r="D30" s="375"/>
      <c r="E30" s="335"/>
      <c r="F30" s="376"/>
      <c r="G30" s="554"/>
      <c r="H30" s="333"/>
      <c r="I30" s="325"/>
      <c r="J30" s="469"/>
      <c r="K30" s="329"/>
      <c r="L30" s="377"/>
      <c r="M30" s="377"/>
      <c r="N30" s="377"/>
      <c r="O30" s="459"/>
      <c r="P30" s="474">
        <v>29</v>
      </c>
      <c r="Q30" s="405">
        <v>0</v>
      </c>
      <c r="R30" s="435">
        <v>0</v>
      </c>
      <c r="S30" s="443">
        <v>0</v>
      </c>
      <c r="T30" s="358">
        <v>0</v>
      </c>
      <c r="U30" s="421">
        <v>0</v>
      </c>
      <c r="V30" s="424">
        <v>0</v>
      </c>
      <c r="W30" s="318">
        <v>0</v>
      </c>
      <c r="X30" s="602">
        <v>0</v>
      </c>
      <c r="Y30" s="623">
        <v>0</v>
      </c>
      <c r="Z30" s="624">
        <v>0</v>
      </c>
      <c r="AA30" s="373"/>
    </row>
    <row r="31" spans="1:29" ht="12.75" hidden="1" customHeight="1">
      <c r="A31" s="393" t="s">
        <v>631</v>
      </c>
      <c r="B31" s="320"/>
      <c r="C31" s="336"/>
      <c r="D31" s="336"/>
      <c r="E31" s="320"/>
      <c r="F31" s="334"/>
      <c r="G31" s="556"/>
      <c r="H31" s="332"/>
      <c r="I31" s="323"/>
      <c r="J31" s="466"/>
      <c r="K31" s="327"/>
      <c r="L31" s="330"/>
      <c r="M31" s="330"/>
      <c r="N31" s="330"/>
      <c r="O31" s="460"/>
      <c r="P31" s="473">
        <v>30</v>
      </c>
      <c r="Q31" s="402">
        <v>0</v>
      </c>
      <c r="R31" s="436">
        <v>0</v>
      </c>
      <c r="S31" s="440">
        <v>0</v>
      </c>
      <c r="T31" s="357">
        <v>0</v>
      </c>
      <c r="U31" s="422">
        <v>0</v>
      </c>
      <c r="V31" s="423">
        <v>0</v>
      </c>
      <c r="W31" s="279">
        <v>0</v>
      </c>
      <c r="X31" s="603">
        <v>0</v>
      </c>
      <c r="Y31" s="526">
        <v>0</v>
      </c>
      <c r="Z31" s="537">
        <v>0</v>
      </c>
      <c r="AA31" s="373"/>
    </row>
    <row r="32" spans="1:29" ht="12.75" hidden="1" customHeight="1">
      <c r="A32" s="394" t="s">
        <v>570</v>
      </c>
      <c r="B32" s="359"/>
      <c r="C32" s="360"/>
      <c r="D32" s="360"/>
      <c r="E32" s="359"/>
      <c r="F32" s="361"/>
      <c r="G32" s="557"/>
      <c r="H32" s="345"/>
      <c r="I32" s="324"/>
      <c r="J32" s="472"/>
      <c r="K32" s="328"/>
      <c r="L32" s="362"/>
      <c r="M32" s="362"/>
      <c r="N32" s="362"/>
      <c r="O32" s="462"/>
      <c r="P32" s="474">
        <v>31</v>
      </c>
      <c r="Q32" s="403">
        <v>0</v>
      </c>
      <c r="R32" s="437">
        <v>0</v>
      </c>
      <c r="S32" s="445">
        <v>0</v>
      </c>
      <c r="T32" s="356">
        <v>0</v>
      </c>
      <c r="U32" s="421">
        <v>0</v>
      </c>
      <c r="V32" s="424">
        <v>0</v>
      </c>
      <c r="W32" s="363">
        <v>0</v>
      </c>
      <c r="X32" s="604">
        <v>0</v>
      </c>
      <c r="Y32" s="527">
        <v>0</v>
      </c>
      <c r="Z32" s="538">
        <v>0</v>
      </c>
      <c r="AA32" s="373"/>
    </row>
    <row r="33" spans="1:29" ht="12.75" hidden="1" customHeight="1">
      <c r="A33" s="393" t="s">
        <v>571</v>
      </c>
      <c r="B33" s="320"/>
      <c r="C33" s="336"/>
      <c r="D33" s="336"/>
      <c r="E33" s="320"/>
      <c r="F33" s="334"/>
      <c r="G33" s="556"/>
      <c r="H33" s="332"/>
      <c r="I33" s="323"/>
      <c r="J33" s="466"/>
      <c r="K33" s="327"/>
      <c r="L33" s="330"/>
      <c r="M33" s="330"/>
      <c r="N33" s="330"/>
      <c r="O33" s="460"/>
      <c r="P33" s="473">
        <v>32</v>
      </c>
      <c r="Q33" s="402">
        <v>0</v>
      </c>
      <c r="R33" s="436">
        <v>0</v>
      </c>
      <c r="S33" s="440">
        <v>0</v>
      </c>
      <c r="T33" s="357">
        <v>0</v>
      </c>
      <c r="U33" s="422">
        <v>0</v>
      </c>
      <c r="V33" s="423">
        <v>0</v>
      </c>
      <c r="W33" s="279">
        <v>0</v>
      </c>
      <c r="X33" s="603">
        <v>0</v>
      </c>
      <c r="Y33" s="526">
        <v>0</v>
      </c>
      <c r="Z33" s="537">
        <v>0</v>
      </c>
      <c r="AA33" s="373"/>
    </row>
    <row r="34" spans="1:29" ht="12.75" hidden="1" customHeight="1">
      <c r="A34" s="394" t="s">
        <v>577</v>
      </c>
      <c r="B34" s="359"/>
      <c r="C34" s="360"/>
      <c r="D34" s="360"/>
      <c r="E34" s="359"/>
      <c r="F34" s="361"/>
      <c r="G34" s="557"/>
      <c r="H34" s="345"/>
      <c r="I34" s="324"/>
      <c r="J34" s="472"/>
      <c r="K34" s="328"/>
      <c r="L34" s="362"/>
      <c r="M34" s="362"/>
      <c r="N34" s="362"/>
      <c r="O34" s="462"/>
      <c r="P34" s="474">
        <v>33</v>
      </c>
      <c r="Q34" s="403">
        <v>0</v>
      </c>
      <c r="R34" s="437">
        <v>0</v>
      </c>
      <c r="S34" s="445">
        <v>0</v>
      </c>
      <c r="T34" s="356">
        <v>0</v>
      </c>
      <c r="U34" s="421">
        <v>0</v>
      </c>
      <c r="V34" s="424">
        <v>0</v>
      </c>
      <c r="W34" s="363">
        <v>0</v>
      </c>
      <c r="X34" s="604">
        <v>0</v>
      </c>
      <c r="Y34" s="527">
        <v>0</v>
      </c>
      <c r="Z34" s="538">
        <v>0</v>
      </c>
      <c r="AA34" s="373"/>
    </row>
    <row r="35" spans="1:29" ht="12.75" hidden="1" customHeight="1">
      <c r="A35" s="393" t="s">
        <v>572</v>
      </c>
      <c r="B35" s="320"/>
      <c r="C35" s="336"/>
      <c r="D35" s="336"/>
      <c r="E35" s="320"/>
      <c r="F35" s="334"/>
      <c r="G35" s="556"/>
      <c r="H35" s="332"/>
      <c r="I35" s="323"/>
      <c r="J35" s="466"/>
      <c r="K35" s="327"/>
      <c r="L35" s="330"/>
      <c r="M35" s="330"/>
      <c r="N35" s="330"/>
      <c r="O35" s="460"/>
      <c r="P35" s="473">
        <v>34</v>
      </c>
      <c r="Q35" s="402">
        <v>0</v>
      </c>
      <c r="R35" s="436">
        <v>0</v>
      </c>
      <c r="S35" s="440">
        <v>0</v>
      </c>
      <c r="T35" s="357">
        <v>0</v>
      </c>
      <c r="U35" s="422">
        <v>0</v>
      </c>
      <c r="V35" s="423">
        <v>0</v>
      </c>
      <c r="W35" s="279">
        <v>0</v>
      </c>
      <c r="X35" s="603">
        <v>0</v>
      </c>
      <c r="Y35" s="526">
        <v>0</v>
      </c>
      <c r="Z35" s="537">
        <v>0</v>
      </c>
      <c r="AA35" s="373"/>
    </row>
    <row r="36" spans="1:29" ht="12.75" hidden="1" customHeight="1">
      <c r="A36" s="394" t="s">
        <v>573</v>
      </c>
      <c r="B36" s="359"/>
      <c r="C36" s="360"/>
      <c r="D36" s="360"/>
      <c r="E36" s="359"/>
      <c r="F36" s="361"/>
      <c r="G36" s="557"/>
      <c r="H36" s="345"/>
      <c r="I36" s="324"/>
      <c r="J36" s="472"/>
      <c r="K36" s="328"/>
      <c r="L36" s="362"/>
      <c r="M36" s="362"/>
      <c r="N36" s="362"/>
      <c r="O36" s="462"/>
      <c r="P36" s="474">
        <v>35</v>
      </c>
      <c r="Q36" s="403">
        <v>0</v>
      </c>
      <c r="R36" s="437">
        <v>0</v>
      </c>
      <c r="S36" s="445">
        <v>0</v>
      </c>
      <c r="T36" s="356">
        <v>0</v>
      </c>
      <c r="U36" s="421">
        <v>0</v>
      </c>
      <c r="V36" s="424">
        <v>0</v>
      </c>
      <c r="W36" s="363">
        <v>0</v>
      </c>
      <c r="X36" s="604">
        <v>0</v>
      </c>
      <c r="Y36" s="527">
        <v>0</v>
      </c>
      <c r="Z36" s="538">
        <v>0</v>
      </c>
      <c r="AA36" s="373"/>
    </row>
    <row r="37" spans="1:29" ht="12.75" hidden="1" customHeight="1">
      <c r="A37" s="393" t="s">
        <v>574</v>
      </c>
      <c r="B37" s="320"/>
      <c r="C37" s="336"/>
      <c r="D37" s="336"/>
      <c r="E37" s="320"/>
      <c r="F37" s="334"/>
      <c r="G37" s="556"/>
      <c r="H37" s="332"/>
      <c r="I37" s="323"/>
      <c r="J37" s="466"/>
      <c r="K37" s="327"/>
      <c r="L37" s="330"/>
      <c r="M37" s="330"/>
      <c r="N37" s="330"/>
      <c r="O37" s="460"/>
      <c r="P37" s="473">
        <v>36</v>
      </c>
      <c r="Q37" s="402">
        <v>0</v>
      </c>
      <c r="R37" s="436">
        <v>0</v>
      </c>
      <c r="S37" s="440">
        <v>0</v>
      </c>
      <c r="T37" s="357">
        <v>0</v>
      </c>
      <c r="U37" s="422">
        <v>0</v>
      </c>
      <c r="V37" s="423">
        <v>0</v>
      </c>
      <c r="W37" s="279">
        <v>0</v>
      </c>
      <c r="X37" s="603">
        <v>0</v>
      </c>
      <c r="Y37" s="526">
        <v>0</v>
      </c>
      <c r="Z37" s="537">
        <v>0</v>
      </c>
      <c r="AA37" s="373"/>
    </row>
    <row r="38" spans="1:29" ht="12.75" hidden="1" customHeight="1">
      <c r="A38" s="394" t="s">
        <v>578</v>
      </c>
      <c r="B38" s="359"/>
      <c r="C38" s="360"/>
      <c r="D38" s="360"/>
      <c r="E38" s="359"/>
      <c r="F38" s="361"/>
      <c r="G38" s="557"/>
      <c r="H38" s="345"/>
      <c r="I38" s="324"/>
      <c r="J38" s="472"/>
      <c r="K38" s="328"/>
      <c r="L38" s="362"/>
      <c r="M38" s="362"/>
      <c r="N38" s="362"/>
      <c r="O38" s="462"/>
      <c r="P38" s="474">
        <v>37</v>
      </c>
      <c r="Q38" s="403">
        <v>0</v>
      </c>
      <c r="R38" s="437">
        <v>0</v>
      </c>
      <c r="S38" s="445">
        <v>0</v>
      </c>
      <c r="T38" s="356">
        <v>0</v>
      </c>
      <c r="U38" s="421">
        <v>0</v>
      </c>
      <c r="V38" s="424">
        <v>0</v>
      </c>
      <c r="W38" s="363">
        <v>0</v>
      </c>
      <c r="X38" s="604">
        <v>0</v>
      </c>
      <c r="Y38" s="527">
        <v>0</v>
      </c>
      <c r="Z38" s="538">
        <v>0</v>
      </c>
      <c r="AA38" s="373"/>
    </row>
    <row r="39" spans="1:29" ht="12.75" hidden="1" customHeight="1">
      <c r="A39" s="393" t="s">
        <v>575</v>
      </c>
      <c r="B39" s="320"/>
      <c r="C39" s="336"/>
      <c r="D39" s="336"/>
      <c r="E39" s="320"/>
      <c r="F39" s="334"/>
      <c r="G39" s="556"/>
      <c r="H39" s="332"/>
      <c r="I39" s="323"/>
      <c r="J39" s="466"/>
      <c r="K39" s="327"/>
      <c r="L39" s="330"/>
      <c r="M39" s="330"/>
      <c r="N39" s="330"/>
      <c r="O39" s="460"/>
      <c r="P39" s="473">
        <v>38</v>
      </c>
      <c r="Q39" s="402">
        <v>0</v>
      </c>
      <c r="R39" s="436">
        <v>0</v>
      </c>
      <c r="S39" s="440">
        <v>0</v>
      </c>
      <c r="T39" s="357">
        <v>0</v>
      </c>
      <c r="U39" s="422">
        <v>0</v>
      </c>
      <c r="V39" s="423">
        <v>0</v>
      </c>
      <c r="W39" s="279">
        <v>0</v>
      </c>
      <c r="X39" s="603">
        <v>0</v>
      </c>
      <c r="Y39" s="526">
        <v>0</v>
      </c>
      <c r="Z39" s="537">
        <v>0</v>
      </c>
      <c r="AA39" s="373"/>
    </row>
    <row r="40" spans="1:29" ht="12.75" hidden="1" customHeight="1">
      <c r="A40" s="394" t="s">
        <v>576</v>
      </c>
      <c r="B40" s="359"/>
      <c r="C40" s="360"/>
      <c r="D40" s="360"/>
      <c r="E40" s="359"/>
      <c r="F40" s="361"/>
      <c r="G40" s="557"/>
      <c r="H40" s="345"/>
      <c r="I40" s="324"/>
      <c r="J40" s="472"/>
      <c r="K40" s="328"/>
      <c r="L40" s="362"/>
      <c r="M40" s="362"/>
      <c r="N40" s="362"/>
      <c r="O40" s="462"/>
      <c r="P40" s="474">
        <v>39</v>
      </c>
      <c r="Q40" s="403">
        <v>0</v>
      </c>
      <c r="R40" s="437">
        <v>0</v>
      </c>
      <c r="S40" s="445">
        <v>0</v>
      </c>
      <c r="T40" s="356">
        <v>0</v>
      </c>
      <c r="U40" s="421">
        <v>0</v>
      </c>
      <c r="V40" s="424">
        <v>0</v>
      </c>
      <c r="W40" s="363">
        <v>0</v>
      </c>
      <c r="X40" s="604">
        <v>0</v>
      </c>
      <c r="Y40" s="527">
        <v>0</v>
      </c>
      <c r="Z40" s="538">
        <v>0</v>
      </c>
      <c r="AA40" s="373"/>
    </row>
    <row r="41" spans="1:29" ht="12.75" hidden="1" customHeight="1">
      <c r="A41" s="414" t="s">
        <v>579</v>
      </c>
      <c r="B41" s="413"/>
      <c r="C41" s="415"/>
      <c r="D41" s="415"/>
      <c r="E41" s="413"/>
      <c r="F41" s="416"/>
      <c r="G41" s="555"/>
      <c r="H41" s="408"/>
      <c r="I41" s="409"/>
      <c r="J41" s="468"/>
      <c r="K41" s="411"/>
      <c r="L41" s="410"/>
      <c r="M41" s="410"/>
      <c r="N41" s="410"/>
      <c r="O41" s="461"/>
      <c r="P41" s="473">
        <v>40</v>
      </c>
      <c r="Q41" s="482">
        <v>0</v>
      </c>
      <c r="R41" s="438">
        <v>0</v>
      </c>
      <c r="S41" s="442">
        <v>0</v>
      </c>
      <c r="T41" s="417">
        <v>0</v>
      </c>
      <c r="U41" s="422">
        <v>0</v>
      </c>
      <c r="V41" s="423">
        <v>0</v>
      </c>
      <c r="W41" s="448">
        <v>0</v>
      </c>
      <c r="X41" s="605">
        <v>0</v>
      </c>
      <c r="Y41" s="528">
        <v>0</v>
      </c>
      <c r="Z41" s="539">
        <v>0</v>
      </c>
      <c r="AA41" s="373"/>
    </row>
    <row r="42" spans="1:29" ht="12.75" hidden="1" customHeight="1">
      <c r="A42" s="428" t="s">
        <v>335</v>
      </c>
      <c r="B42" s="367"/>
      <c r="C42" s="321"/>
      <c r="D42" s="382"/>
      <c r="E42" s="367"/>
      <c r="F42" s="383"/>
      <c r="G42" s="554"/>
      <c r="H42" s="333"/>
      <c r="I42" s="325"/>
      <c r="J42" s="469"/>
      <c r="K42" s="329"/>
      <c r="L42" s="377"/>
      <c r="M42" s="329"/>
      <c r="N42" s="377"/>
      <c r="O42" s="459"/>
      <c r="P42" s="474">
        <v>41</v>
      </c>
      <c r="Q42" s="405">
        <v>0</v>
      </c>
      <c r="R42" s="435">
        <v>0</v>
      </c>
      <c r="S42" s="443">
        <v>0</v>
      </c>
      <c r="T42" s="358">
        <v>0</v>
      </c>
      <c r="U42" s="421">
        <v>0</v>
      </c>
      <c r="V42" s="424">
        <v>0</v>
      </c>
      <c r="W42" s="447">
        <v>0</v>
      </c>
      <c r="X42" s="602">
        <v>0</v>
      </c>
      <c r="Y42" s="529">
        <f>(C43*(1-$V$1))-D42</f>
        <v>0</v>
      </c>
      <c r="Z42" s="540">
        <f>($F42/100*$X$1)-($F43/100*$W$1)+($F43/100*$W$1*($AE$1*$AD$1))</f>
        <v>0</v>
      </c>
      <c r="AA42" s="711" t="str">
        <f>MID($A42,1,5)</f>
        <v xml:space="preserve">GGAL </v>
      </c>
    </row>
    <row r="43" spans="1:29" ht="12.75" hidden="1" customHeight="1">
      <c r="A43" s="485" t="s">
        <v>336</v>
      </c>
      <c r="B43" s="418"/>
      <c r="C43" s="419"/>
      <c r="D43" s="419"/>
      <c r="E43" s="418"/>
      <c r="F43" s="387"/>
      <c r="G43" s="558"/>
      <c r="H43" s="378"/>
      <c r="I43" s="379"/>
      <c r="J43" s="471"/>
      <c r="K43" s="380"/>
      <c r="L43" s="384"/>
      <c r="M43" s="380"/>
      <c r="N43" s="384"/>
      <c r="O43" s="463"/>
      <c r="P43" s="473">
        <v>42</v>
      </c>
      <c r="Q43" s="404">
        <v>0</v>
      </c>
      <c r="R43" s="439">
        <v>0</v>
      </c>
      <c r="S43" s="446">
        <v>0</v>
      </c>
      <c r="T43" s="385">
        <v>0</v>
      </c>
      <c r="U43" s="422">
        <v>0</v>
      </c>
      <c r="V43" s="423">
        <v>0</v>
      </c>
      <c r="W43" s="420">
        <v>0</v>
      </c>
      <c r="X43" s="606">
        <v>0</v>
      </c>
      <c r="Y43" s="530">
        <f>IFERROR(((C43-D42)/100)/D42*100,0)</f>
        <v>0</v>
      </c>
      <c r="Z43" s="541">
        <f>$F43/100*$W$1*($AE$1*$AD$1)</f>
        <v>0</v>
      </c>
      <c r="AA43" s="712"/>
    </row>
    <row r="44" spans="1:29" ht="12.75" hidden="1" customHeight="1">
      <c r="A44" s="428" t="s">
        <v>615</v>
      </c>
      <c r="B44" s="367"/>
      <c r="C44" s="321"/>
      <c r="D44" s="382"/>
      <c r="E44" s="367"/>
      <c r="F44" s="449"/>
      <c r="G44" s="554"/>
      <c r="H44" s="333"/>
      <c r="I44" s="325"/>
      <c r="J44" s="469"/>
      <c r="K44" s="329"/>
      <c r="L44" s="377"/>
      <c r="M44" s="329"/>
      <c r="N44" s="377"/>
      <c r="O44" s="459"/>
      <c r="P44" s="474">
        <v>43</v>
      </c>
      <c r="Q44" s="405">
        <v>0</v>
      </c>
      <c r="R44" s="435">
        <v>0</v>
      </c>
      <c r="S44" s="443">
        <v>0</v>
      </c>
      <c r="T44" s="358">
        <v>0</v>
      </c>
      <c r="U44" s="421">
        <v>0</v>
      </c>
      <c r="V44" s="424">
        <v>0</v>
      </c>
      <c r="W44" s="450">
        <v>0</v>
      </c>
      <c r="X44" s="607">
        <v>0</v>
      </c>
      <c r="Y44" s="531">
        <f>($F45*(1-$V$1))-$F44</f>
        <v>0</v>
      </c>
      <c r="Z44" s="542">
        <f>($F44/100*$X$1)-($F45/100*$W$1)+($F45/100*$W$1*($AE$1*$AD$1))</f>
        <v>0</v>
      </c>
      <c r="AA44" s="717" t="str">
        <f>MID($A44,1,5)</f>
        <v xml:space="preserve">PAMP </v>
      </c>
    </row>
    <row r="45" spans="1:29" ht="12.75" hidden="1" customHeight="1">
      <c r="A45" s="427" t="s">
        <v>616</v>
      </c>
      <c r="B45" s="486"/>
      <c r="C45" s="487"/>
      <c r="D45" s="487"/>
      <c r="E45" s="486"/>
      <c r="F45" s="488"/>
      <c r="G45" s="555"/>
      <c r="H45" s="408"/>
      <c r="I45" s="409"/>
      <c r="J45" s="468"/>
      <c r="K45" s="411"/>
      <c r="L45" s="410"/>
      <c r="M45" s="411"/>
      <c r="N45" s="410"/>
      <c r="O45" s="489"/>
      <c r="P45" s="473">
        <v>44</v>
      </c>
      <c r="Q45" s="482">
        <v>0</v>
      </c>
      <c r="R45" s="438">
        <v>0</v>
      </c>
      <c r="S45" s="442">
        <v>0</v>
      </c>
      <c r="T45" s="417">
        <v>0</v>
      </c>
      <c r="U45" s="422">
        <v>0</v>
      </c>
      <c r="V45" s="423">
        <v>0</v>
      </c>
      <c r="W45" s="490">
        <v>0</v>
      </c>
      <c r="X45" s="608">
        <v>0</v>
      </c>
      <c r="Y45" s="532">
        <f>IFERROR((($F45-$F44)/100)/$F44*100,0)</f>
        <v>0</v>
      </c>
      <c r="Z45" s="543">
        <f>$F45/100*$W$1*($AE$1*$AD$1)</f>
        <v>0</v>
      </c>
      <c r="AA45" s="718"/>
    </row>
    <row r="46" spans="1:29" ht="12.75" customHeight="1">
      <c r="A46" s="428" t="s">
        <v>13</v>
      </c>
      <c r="B46" s="365">
        <v>950</v>
      </c>
      <c r="C46" s="321">
        <v>41100</v>
      </c>
      <c r="D46" s="386">
        <v>41195</v>
      </c>
      <c r="E46" s="365">
        <v>136139</v>
      </c>
      <c r="F46" s="503">
        <v>41195</v>
      </c>
      <c r="G46" s="581">
        <v>3.8399999999999997E-2</v>
      </c>
      <c r="H46" s="333">
        <v>40500</v>
      </c>
      <c r="I46" s="325">
        <v>41200</v>
      </c>
      <c r="J46" s="469">
        <v>39205</v>
      </c>
      <c r="K46" s="329">
        <v>39670</v>
      </c>
      <c r="L46" s="377">
        <v>61978019912</v>
      </c>
      <c r="M46" s="329">
        <v>154724623</v>
      </c>
      <c r="N46" s="377">
        <v>54620</v>
      </c>
      <c r="O46" s="459">
        <v>45296.6875462963</v>
      </c>
      <c r="P46" s="474">
        <v>45</v>
      </c>
      <c r="Q46" s="405">
        <v>0</v>
      </c>
      <c r="R46" s="435">
        <v>0</v>
      </c>
      <c r="S46" s="443">
        <v>0</v>
      </c>
      <c r="T46" s="358">
        <v>0</v>
      </c>
      <c r="U46" s="421">
        <v>0</v>
      </c>
      <c r="V46" s="508">
        <v>0</v>
      </c>
      <c r="W46" s="512" t="str">
        <f t="shared" ref="W46:W68" si="16">IF(X46&gt;0,(F46*V46/100)-(V46*X46),"")</f>
        <v/>
      </c>
      <c r="X46" s="609">
        <v>0</v>
      </c>
      <c r="Y46" s="709">
        <f>IF(D46&lt;&gt;0,($C47*(1-$V$1))-$D46,0)</f>
        <v>135</v>
      </c>
      <c r="Z46" s="544">
        <f>$F47*($AE$1*$AD$1)</f>
        <v>387.35013698630138</v>
      </c>
      <c r="AA46" s="619"/>
      <c r="AB46" s="38"/>
      <c r="AC46" s="364"/>
    </row>
    <row r="47" spans="1:29" ht="12.75" customHeight="1">
      <c r="A47" s="426" t="s">
        <v>2</v>
      </c>
      <c r="B47" s="338">
        <v>700</v>
      </c>
      <c r="C47" s="340">
        <v>41330</v>
      </c>
      <c r="D47" s="340">
        <v>41340</v>
      </c>
      <c r="E47" s="501">
        <v>357897</v>
      </c>
      <c r="F47" s="504">
        <v>41340</v>
      </c>
      <c r="G47" s="584">
        <v>5.4600000000000003E-2</v>
      </c>
      <c r="H47" s="332">
        <v>39890</v>
      </c>
      <c r="I47" s="323">
        <v>41550</v>
      </c>
      <c r="J47" s="466">
        <v>39205</v>
      </c>
      <c r="K47" s="327">
        <v>39198.29</v>
      </c>
      <c r="L47" s="330">
        <v>44653896145</v>
      </c>
      <c r="M47" s="327">
        <v>111033458</v>
      </c>
      <c r="N47" s="330">
        <v>18255</v>
      </c>
      <c r="O47" s="460">
        <v>45296.708425925928</v>
      </c>
      <c r="P47" s="473">
        <v>46</v>
      </c>
      <c r="Q47" s="402">
        <v>0</v>
      </c>
      <c r="R47" s="436">
        <v>0</v>
      </c>
      <c r="S47" s="440">
        <v>0</v>
      </c>
      <c r="T47" s="357">
        <v>0</v>
      </c>
      <c r="U47" s="422">
        <v>0</v>
      </c>
      <c r="V47" s="509">
        <v>0</v>
      </c>
      <c r="W47" s="513" t="str">
        <f t="shared" si="16"/>
        <v/>
      </c>
      <c r="X47" s="610">
        <v>0</v>
      </c>
      <c r="Y47" s="710"/>
      <c r="Z47" s="545">
        <v>0</v>
      </c>
      <c r="AA47" s="620"/>
      <c r="AB47" s="38"/>
      <c r="AC47" s="370"/>
    </row>
    <row r="48" spans="1:29" ht="12.75" customHeight="1">
      <c r="A48" s="348" t="s">
        <v>15</v>
      </c>
      <c r="B48" s="342">
        <v>250000</v>
      </c>
      <c r="C48" s="343">
        <v>35.75</v>
      </c>
      <c r="D48" s="343">
        <v>36.700000000000003</v>
      </c>
      <c r="E48" s="342">
        <v>19485</v>
      </c>
      <c r="F48" s="344">
        <v>36.700000000000003</v>
      </c>
      <c r="G48" s="585">
        <v>-4.0000000000000001E-3</v>
      </c>
      <c r="H48" s="345">
        <v>38.35</v>
      </c>
      <c r="I48" s="324">
        <v>38.35</v>
      </c>
      <c r="J48" s="472">
        <v>36</v>
      </c>
      <c r="K48" s="328">
        <v>36.85</v>
      </c>
      <c r="L48" s="362">
        <v>1994648</v>
      </c>
      <c r="M48" s="328">
        <v>5456948</v>
      </c>
      <c r="N48" s="362">
        <v>765</v>
      </c>
      <c r="O48" s="462">
        <v>45296.687523148146</v>
      </c>
      <c r="P48" s="474">
        <v>47</v>
      </c>
      <c r="Q48" s="403">
        <v>0</v>
      </c>
      <c r="R48" s="437">
        <v>0</v>
      </c>
      <c r="S48" s="445">
        <v>0</v>
      </c>
      <c r="T48" s="356">
        <v>0</v>
      </c>
      <c r="U48" s="421">
        <v>0</v>
      </c>
      <c r="V48" s="511">
        <v>0</v>
      </c>
      <c r="W48" s="512" t="str">
        <f t="shared" si="16"/>
        <v/>
      </c>
      <c r="X48" s="611">
        <v>0</v>
      </c>
      <c r="Y48" s="705">
        <f>IF(D48&lt;&gt;0,($C49*(1-$V$1))-$D48,0)</f>
        <v>-0.69900000000000517</v>
      </c>
      <c r="Z48" s="536">
        <f>IFERROR(D46/C48,"")</f>
        <v>1152.3076923076924</v>
      </c>
      <c r="AA48" s="548">
        <f>IFERROR($AB$1/(D48/100)*(C46/100),"")</f>
        <v>588995.47683923703</v>
      </c>
      <c r="AB48" s="38"/>
      <c r="AC48" s="370"/>
    </row>
    <row r="49" spans="1:29" ht="12.75" customHeight="1">
      <c r="A49" s="484" t="s">
        <v>3</v>
      </c>
      <c r="B49" s="337">
        <v>9225</v>
      </c>
      <c r="C49" s="339">
        <v>36.000999999999998</v>
      </c>
      <c r="D49" s="339">
        <v>37</v>
      </c>
      <c r="E49" s="337">
        <v>275</v>
      </c>
      <c r="F49" s="341">
        <v>36.000999999999998</v>
      </c>
      <c r="G49" s="584">
        <v>-1.43E-2</v>
      </c>
      <c r="H49" s="332">
        <v>37.5</v>
      </c>
      <c r="I49" s="323">
        <v>37.5</v>
      </c>
      <c r="J49" s="466">
        <v>36.000999999999998</v>
      </c>
      <c r="K49" s="327">
        <v>36.524999999999999</v>
      </c>
      <c r="L49" s="330">
        <v>42672</v>
      </c>
      <c r="M49" s="327">
        <v>117094</v>
      </c>
      <c r="N49" s="330">
        <v>38</v>
      </c>
      <c r="O49" s="460">
        <v>45296.70412037037</v>
      </c>
      <c r="P49" s="473">
        <v>48</v>
      </c>
      <c r="Q49" s="402">
        <v>0</v>
      </c>
      <c r="R49" s="436">
        <v>0</v>
      </c>
      <c r="S49" s="440">
        <v>0</v>
      </c>
      <c r="T49" s="357">
        <v>0</v>
      </c>
      <c r="U49" s="422">
        <v>0</v>
      </c>
      <c r="V49" s="510">
        <v>0</v>
      </c>
      <c r="W49" s="513" t="str">
        <f t="shared" si="16"/>
        <v/>
      </c>
      <c r="X49" s="610">
        <v>0</v>
      </c>
      <c r="Y49" s="706"/>
      <c r="Z49" s="535">
        <f>IFERROR(D47/C49,"")</f>
        <v>1148.3014360712202</v>
      </c>
      <c r="AA49" s="552">
        <f>IFERROR($AB$1/(D49/100)*(C47/100),"")</f>
        <v>587489.19459459465</v>
      </c>
      <c r="AB49" s="38"/>
      <c r="AC49" s="370"/>
    </row>
    <row r="50" spans="1:29" ht="12.75" customHeight="1">
      <c r="A50" s="348" t="s">
        <v>14</v>
      </c>
      <c r="B50" s="346">
        <v>4783</v>
      </c>
      <c r="C50" s="343">
        <v>37.869</v>
      </c>
      <c r="D50" s="343">
        <v>37.880000000000003</v>
      </c>
      <c r="E50" s="346">
        <v>771</v>
      </c>
      <c r="F50" s="344">
        <v>37.869</v>
      </c>
      <c r="G50" s="585">
        <v>-3.4000000000000002E-3</v>
      </c>
      <c r="H50" s="345">
        <v>37.75</v>
      </c>
      <c r="I50" s="324">
        <v>37.999000000000002</v>
      </c>
      <c r="J50" s="472">
        <v>37</v>
      </c>
      <c r="K50" s="328">
        <v>38</v>
      </c>
      <c r="L50" s="362">
        <v>45318097</v>
      </c>
      <c r="M50" s="328">
        <v>120297746</v>
      </c>
      <c r="N50" s="362">
        <v>44323</v>
      </c>
      <c r="O50" s="462">
        <v>45296.687581018516</v>
      </c>
      <c r="P50" s="474">
        <v>49</v>
      </c>
      <c r="Q50" s="403">
        <v>0</v>
      </c>
      <c r="R50" s="437">
        <v>0</v>
      </c>
      <c r="S50" s="445">
        <v>0</v>
      </c>
      <c r="T50" s="356">
        <v>0</v>
      </c>
      <c r="U50" s="421">
        <v>0</v>
      </c>
      <c r="V50" s="505">
        <v>0</v>
      </c>
      <c r="W50" s="512" t="str">
        <f t="shared" si="16"/>
        <v/>
      </c>
      <c r="X50" s="611">
        <v>0</v>
      </c>
      <c r="Y50" s="707">
        <f>IF(D50&lt;&gt;0,($C51*(1-$V$1))-$D50,0)</f>
        <v>-0.59000000000000341</v>
      </c>
      <c r="Z50" s="534">
        <f>IFERROR(D46/C50,"")</f>
        <v>1087.8290950381579</v>
      </c>
      <c r="AA50" s="548">
        <f>IFERROR($AB$1/(D50/100)*(C46/100),"")</f>
        <v>570647.67687434005</v>
      </c>
      <c r="AB50" s="38"/>
      <c r="AC50" s="370"/>
    </row>
    <row r="51" spans="1:29" ht="12.75" customHeight="1">
      <c r="A51" s="429" t="s">
        <v>4</v>
      </c>
      <c r="B51" s="389">
        <v>13472</v>
      </c>
      <c r="C51" s="390">
        <v>37.29</v>
      </c>
      <c r="D51" s="390">
        <v>37.35</v>
      </c>
      <c r="E51" s="389">
        <v>1624</v>
      </c>
      <c r="F51" s="387">
        <v>37.29</v>
      </c>
      <c r="G51" s="586">
        <v>-6.1999999999999998E-3</v>
      </c>
      <c r="H51" s="378">
        <v>36.61</v>
      </c>
      <c r="I51" s="379">
        <v>37.789000000000001</v>
      </c>
      <c r="J51" s="471">
        <v>36.590000000000003</v>
      </c>
      <c r="K51" s="380">
        <v>37.526000000000003</v>
      </c>
      <c r="L51" s="384">
        <v>10905179</v>
      </c>
      <c r="M51" s="380">
        <v>29199706</v>
      </c>
      <c r="N51" s="384">
        <v>9279</v>
      </c>
      <c r="O51" s="463">
        <v>45296.708622685182</v>
      </c>
      <c r="P51" s="473">
        <v>50</v>
      </c>
      <c r="Q51" s="404">
        <v>0</v>
      </c>
      <c r="R51" s="439">
        <v>0</v>
      </c>
      <c r="S51" s="446">
        <v>0</v>
      </c>
      <c r="T51" s="385">
        <v>0</v>
      </c>
      <c r="U51" s="422">
        <v>0</v>
      </c>
      <c r="V51" s="423">
        <v>0</v>
      </c>
      <c r="W51" s="514" t="str">
        <f t="shared" si="16"/>
        <v/>
      </c>
      <c r="X51" s="612">
        <v>0</v>
      </c>
      <c r="Y51" s="708"/>
      <c r="Z51" s="546">
        <f>IFERROR(D47/C51,"")</f>
        <v>1108.6082059533387</v>
      </c>
      <c r="AA51" s="553">
        <f>IFERROR($AB$1/(D51/100)*(C47/100),"")</f>
        <v>581983.94109772437</v>
      </c>
      <c r="AB51" s="38"/>
      <c r="AC51" s="370"/>
    </row>
    <row r="52" spans="1:29" ht="12.75" customHeight="1">
      <c r="A52" s="428" t="s">
        <v>16</v>
      </c>
      <c r="B52" s="365">
        <v>451</v>
      </c>
      <c r="C52" s="321">
        <v>44250</v>
      </c>
      <c r="D52" s="386">
        <v>44400</v>
      </c>
      <c r="E52" s="365">
        <v>1500</v>
      </c>
      <c r="F52" s="503">
        <v>44300</v>
      </c>
      <c r="G52" s="581">
        <v>4.2500000000000003E-2</v>
      </c>
      <c r="H52" s="333">
        <v>43300</v>
      </c>
      <c r="I52" s="325">
        <v>44775</v>
      </c>
      <c r="J52" s="469">
        <v>42315</v>
      </c>
      <c r="K52" s="329">
        <v>42490</v>
      </c>
      <c r="L52" s="377">
        <v>5204303133</v>
      </c>
      <c r="M52" s="329">
        <v>12034531</v>
      </c>
      <c r="N52" s="377">
        <v>6017</v>
      </c>
      <c r="O52" s="459">
        <v>45296.687743055554</v>
      </c>
      <c r="P52" s="474">
        <v>51</v>
      </c>
      <c r="Q52" s="405">
        <v>0</v>
      </c>
      <c r="R52" s="435">
        <v>0</v>
      </c>
      <c r="S52" s="443">
        <v>0</v>
      </c>
      <c r="T52" s="358">
        <v>0</v>
      </c>
      <c r="U52" s="421">
        <v>0</v>
      </c>
      <c r="V52" s="508">
        <v>0</v>
      </c>
      <c r="W52" s="512" t="str">
        <f t="shared" si="16"/>
        <v/>
      </c>
      <c r="X52" s="609">
        <v>0</v>
      </c>
      <c r="Y52" s="709">
        <f>IF(D52&lt;&gt;0,($C53*(1-$V$1))-$D52,0)</f>
        <v>460</v>
      </c>
      <c r="Z52" s="544">
        <f>$D52*($AE$1*$AD$1)</f>
        <v>416.02191780821914</v>
      </c>
      <c r="AA52" s="619"/>
      <c r="AB52" s="38"/>
      <c r="AC52" s="370"/>
    </row>
    <row r="53" spans="1:29" ht="12.75" customHeight="1">
      <c r="A53" s="426" t="s">
        <v>5</v>
      </c>
      <c r="B53" s="338">
        <v>4293</v>
      </c>
      <c r="C53" s="340">
        <v>44860</v>
      </c>
      <c r="D53" s="340">
        <v>45085</v>
      </c>
      <c r="E53" s="338">
        <v>21652</v>
      </c>
      <c r="F53" s="504">
        <v>44860</v>
      </c>
      <c r="G53" s="584">
        <v>6.0499999999999998E-2</v>
      </c>
      <c r="H53" s="332">
        <v>42900</v>
      </c>
      <c r="I53" s="323">
        <v>45500</v>
      </c>
      <c r="J53" s="466">
        <v>42400</v>
      </c>
      <c r="K53" s="327">
        <v>42297.663</v>
      </c>
      <c r="L53" s="330">
        <v>13344034928</v>
      </c>
      <c r="M53" s="327">
        <v>30796110</v>
      </c>
      <c r="N53" s="330">
        <v>4515</v>
      </c>
      <c r="O53" s="460">
        <v>45296.708425925928</v>
      </c>
      <c r="P53" s="473">
        <v>52</v>
      </c>
      <c r="Q53" s="402">
        <v>0</v>
      </c>
      <c r="R53" s="436">
        <v>0</v>
      </c>
      <c r="S53" s="440">
        <v>0</v>
      </c>
      <c r="T53" s="357">
        <v>0</v>
      </c>
      <c r="U53" s="422">
        <v>0</v>
      </c>
      <c r="V53" s="509">
        <v>0</v>
      </c>
      <c r="W53" s="513" t="str">
        <f t="shared" si="16"/>
        <v/>
      </c>
      <c r="X53" s="610">
        <v>0</v>
      </c>
      <c r="Y53" s="710"/>
      <c r="Z53" s="545">
        <v>0</v>
      </c>
      <c r="AA53" s="620"/>
      <c r="AB53" s="38"/>
      <c r="AC53" s="370"/>
    </row>
    <row r="54" spans="1:29" ht="12.75" customHeight="1">
      <c r="A54" s="348" t="s">
        <v>17</v>
      </c>
      <c r="B54" s="342">
        <v>250000</v>
      </c>
      <c r="C54" s="343">
        <v>39.1</v>
      </c>
      <c r="D54" s="343">
        <v>40.39</v>
      </c>
      <c r="E54" s="342">
        <v>1426</v>
      </c>
      <c r="F54" s="344">
        <v>40.39</v>
      </c>
      <c r="G54" s="585">
        <v>-1.1599999999999999E-2</v>
      </c>
      <c r="H54" s="345">
        <v>42</v>
      </c>
      <c r="I54" s="324">
        <v>42</v>
      </c>
      <c r="J54" s="472">
        <v>39</v>
      </c>
      <c r="K54" s="328">
        <v>40.865000000000002</v>
      </c>
      <c r="L54" s="362">
        <v>48595</v>
      </c>
      <c r="M54" s="328">
        <v>118950</v>
      </c>
      <c r="N54" s="362">
        <v>100</v>
      </c>
      <c r="O54" s="462">
        <v>45296.684282407405</v>
      </c>
      <c r="P54" s="474">
        <v>53</v>
      </c>
      <c r="Q54" s="403">
        <v>0</v>
      </c>
      <c r="R54" s="437">
        <v>0</v>
      </c>
      <c r="S54" s="445">
        <v>0</v>
      </c>
      <c r="T54" s="356">
        <v>0</v>
      </c>
      <c r="U54" s="421">
        <v>0</v>
      </c>
      <c r="V54" s="511">
        <v>0</v>
      </c>
      <c r="W54" s="512" t="str">
        <f t="shared" si="16"/>
        <v/>
      </c>
      <c r="X54" s="611">
        <v>0</v>
      </c>
      <c r="Y54" s="705">
        <f>IF(D54&lt;&gt;0,($C55*(1-$V$1))-$D54,0)</f>
        <v>-1.5399999999999991</v>
      </c>
      <c r="Z54" s="536">
        <f>IFERROR(D52/C54,"")</f>
        <v>1135.5498721227621</v>
      </c>
      <c r="AA54" s="548">
        <f>IFERROR($AB$1/(D54/100)*(C52/100),"")</f>
        <v>576203.14434265916</v>
      </c>
      <c r="AB54" s="38"/>
      <c r="AC54" s="370"/>
    </row>
    <row r="55" spans="1:29" ht="12.75" customHeight="1">
      <c r="A55" s="484" t="s">
        <v>6</v>
      </c>
      <c r="B55" s="337">
        <v>250000</v>
      </c>
      <c r="C55" s="339">
        <v>38.85</v>
      </c>
      <c r="D55" s="339">
        <v>39.25</v>
      </c>
      <c r="E55" s="337">
        <v>98372</v>
      </c>
      <c r="F55" s="341">
        <v>39.299999999999997</v>
      </c>
      <c r="G55" s="584">
        <v>-1.06E-2</v>
      </c>
      <c r="H55" s="332">
        <v>40.200000000000003</v>
      </c>
      <c r="I55" s="323">
        <v>40.200000000000003</v>
      </c>
      <c r="J55" s="466">
        <v>39.299999999999997</v>
      </c>
      <c r="K55" s="327">
        <v>39.725000000000001</v>
      </c>
      <c r="L55" s="330">
        <v>18021</v>
      </c>
      <c r="M55" s="327">
        <v>45286</v>
      </c>
      <c r="N55" s="330">
        <v>5</v>
      </c>
      <c r="O55" s="460">
        <v>45296.688113425924</v>
      </c>
      <c r="P55" s="473">
        <v>54</v>
      </c>
      <c r="Q55" s="402">
        <v>0</v>
      </c>
      <c r="R55" s="436">
        <v>0</v>
      </c>
      <c r="S55" s="440">
        <v>0</v>
      </c>
      <c r="T55" s="357">
        <v>0</v>
      </c>
      <c r="U55" s="422">
        <v>0</v>
      </c>
      <c r="V55" s="510">
        <v>0</v>
      </c>
      <c r="W55" s="513" t="str">
        <f t="shared" si="16"/>
        <v/>
      </c>
      <c r="X55" s="610">
        <v>0</v>
      </c>
      <c r="Y55" s="706"/>
      <c r="Z55" s="535">
        <f>IFERROR(D53/C55,"")</f>
        <v>1160.4890604890604</v>
      </c>
      <c r="AA55" s="552">
        <f>IFERROR($AB$1/(D55/100)*(C53/100),"")</f>
        <v>601112.57070063695</v>
      </c>
      <c r="AB55" s="38"/>
      <c r="AC55" s="370"/>
    </row>
    <row r="56" spans="1:29" ht="12.75" customHeight="1">
      <c r="A56" s="348" t="s">
        <v>18</v>
      </c>
      <c r="B56" s="346">
        <v>1200</v>
      </c>
      <c r="C56" s="343">
        <v>40.515999999999998</v>
      </c>
      <c r="D56" s="343">
        <v>41.1</v>
      </c>
      <c r="E56" s="346">
        <v>1469</v>
      </c>
      <c r="F56" s="344">
        <v>40.99</v>
      </c>
      <c r="G56" s="585">
        <v>5.7999999999999996E-3</v>
      </c>
      <c r="H56" s="345">
        <v>41.298000000000002</v>
      </c>
      <c r="I56" s="324">
        <v>41.499000000000002</v>
      </c>
      <c r="J56" s="472">
        <v>39.92</v>
      </c>
      <c r="K56" s="328">
        <v>40.75</v>
      </c>
      <c r="L56" s="362">
        <v>2326089</v>
      </c>
      <c r="M56" s="328">
        <v>5679486</v>
      </c>
      <c r="N56" s="362">
        <v>3342</v>
      </c>
      <c r="O56" s="462">
        <v>45296.685046296298</v>
      </c>
      <c r="P56" s="474">
        <v>55</v>
      </c>
      <c r="Q56" s="403">
        <v>0</v>
      </c>
      <c r="R56" s="437">
        <v>0</v>
      </c>
      <c r="S56" s="445">
        <v>0</v>
      </c>
      <c r="T56" s="356">
        <v>0</v>
      </c>
      <c r="U56" s="421">
        <v>0</v>
      </c>
      <c r="V56" s="505">
        <v>0</v>
      </c>
      <c r="W56" s="512" t="str">
        <f t="shared" si="16"/>
        <v/>
      </c>
      <c r="X56" s="611">
        <v>0</v>
      </c>
      <c r="Y56" s="707">
        <f>IF(D56&lt;&gt;0,($C57*(1-$V$1))-$D56,0)</f>
        <v>-0.69899999999999807</v>
      </c>
      <c r="Z56" s="534">
        <f>IFERROR(D52/C56,"")</f>
        <v>1095.863362622174</v>
      </c>
      <c r="AA56" s="548">
        <f>IFERROR($AB$1/(D56/100)*(C52/100),"")</f>
        <v>566249.27007299277</v>
      </c>
      <c r="AB56" s="38"/>
    </row>
    <row r="57" spans="1:29" ht="12.75" customHeight="1">
      <c r="A57" s="429" t="s">
        <v>7</v>
      </c>
      <c r="B57" s="391">
        <v>11842</v>
      </c>
      <c r="C57" s="390">
        <v>40.401000000000003</v>
      </c>
      <c r="D57" s="390">
        <v>40.6</v>
      </c>
      <c r="E57" s="389">
        <v>39672</v>
      </c>
      <c r="F57" s="387">
        <v>40.6</v>
      </c>
      <c r="G57" s="586">
        <v>8.0000000000000002E-3</v>
      </c>
      <c r="H57" s="378">
        <v>39.5</v>
      </c>
      <c r="I57" s="379">
        <v>40.74</v>
      </c>
      <c r="J57" s="471">
        <v>39.5</v>
      </c>
      <c r="K57" s="380">
        <v>40.274999999999999</v>
      </c>
      <c r="L57" s="406">
        <v>528335</v>
      </c>
      <c r="M57" s="380">
        <v>1310270</v>
      </c>
      <c r="N57" s="384">
        <v>708</v>
      </c>
      <c r="O57" s="463">
        <v>45296.708668981482</v>
      </c>
      <c r="P57" s="473">
        <v>56</v>
      </c>
      <c r="Q57" s="404">
        <v>0</v>
      </c>
      <c r="R57" s="439">
        <v>0</v>
      </c>
      <c r="S57" s="446">
        <v>0</v>
      </c>
      <c r="T57" s="385">
        <v>0</v>
      </c>
      <c r="U57" s="422">
        <v>0</v>
      </c>
      <c r="V57" s="423">
        <v>0</v>
      </c>
      <c r="W57" s="514" t="str">
        <f t="shared" si="16"/>
        <v/>
      </c>
      <c r="X57" s="612">
        <v>0</v>
      </c>
      <c r="Y57" s="708"/>
      <c r="Z57" s="546">
        <f>IFERROR(D53/C57,"")</f>
        <v>1115.9377243137544</v>
      </c>
      <c r="AA57" s="553">
        <f>IFERROR($AB$1/(D57/100)*(C53/100),"")</f>
        <v>581124.83743842365</v>
      </c>
      <c r="AB57" s="38"/>
    </row>
    <row r="58" spans="1:29" ht="12.75" customHeight="1">
      <c r="A58" s="428" t="s">
        <v>549</v>
      </c>
      <c r="B58" s="365">
        <v>15454705</v>
      </c>
      <c r="C58" s="321">
        <v>157.72999999999999</v>
      </c>
      <c r="D58" s="386">
        <v>157.9</v>
      </c>
      <c r="E58" s="365">
        <v>404243</v>
      </c>
      <c r="F58" s="449">
        <v>157.72999999999999</v>
      </c>
      <c r="G58" s="581">
        <v>3.3E-3</v>
      </c>
      <c r="H58" s="333">
        <v>155.011</v>
      </c>
      <c r="I58" s="325">
        <v>157.9</v>
      </c>
      <c r="J58" s="469">
        <v>155.011</v>
      </c>
      <c r="K58" s="329">
        <v>157.19999999999999</v>
      </c>
      <c r="L58" s="377">
        <v>19467437747</v>
      </c>
      <c r="M58" s="329">
        <v>12354092111</v>
      </c>
      <c r="N58" s="377">
        <v>4325</v>
      </c>
      <c r="O58" s="459">
        <v>45296.687534722223</v>
      </c>
      <c r="P58" s="474">
        <v>57</v>
      </c>
      <c r="Q58" s="405">
        <v>0</v>
      </c>
      <c r="R58" s="435">
        <v>0</v>
      </c>
      <c r="S58" s="443">
        <v>0</v>
      </c>
      <c r="T58" s="358">
        <v>0</v>
      </c>
      <c r="U58" s="421">
        <v>0</v>
      </c>
      <c r="V58" s="508">
        <v>0</v>
      </c>
      <c r="W58" s="512" t="str">
        <f t="shared" si="16"/>
        <v/>
      </c>
      <c r="X58" s="609">
        <v>0</v>
      </c>
      <c r="Y58" s="709">
        <f>IF(D58&lt;&gt;0,($C59*(1-$V$1))-$D58,0)*100</f>
        <v>104.99999999999829</v>
      </c>
      <c r="Z58" s="544">
        <f>$D58*($AE$1*$AD$1)*100</f>
        <v>147.95013698630137</v>
      </c>
      <c r="AA58" s="619"/>
      <c r="AB58" s="38"/>
      <c r="AC58"/>
    </row>
    <row r="59" spans="1:29" ht="12.75" customHeight="1">
      <c r="A59" s="426" t="s">
        <v>550</v>
      </c>
      <c r="B59" s="366">
        <v>92471088</v>
      </c>
      <c r="C59" s="340">
        <v>158.94999999999999</v>
      </c>
      <c r="D59" s="340">
        <v>159.1</v>
      </c>
      <c r="E59" s="338">
        <v>13523</v>
      </c>
      <c r="F59" s="341">
        <v>159.05000000000001</v>
      </c>
      <c r="G59" s="584">
        <v>4.0000000000000001E-3</v>
      </c>
      <c r="H59" s="332">
        <v>158.41</v>
      </c>
      <c r="I59" s="323">
        <v>159.4</v>
      </c>
      <c r="J59" s="466">
        <v>158.41</v>
      </c>
      <c r="K59" s="327">
        <v>158.41</v>
      </c>
      <c r="L59" s="330">
        <v>2347249454</v>
      </c>
      <c r="M59" s="327">
        <v>1476142991</v>
      </c>
      <c r="N59" s="330">
        <v>2537</v>
      </c>
      <c r="O59" s="460">
        <v>45296.70853009259</v>
      </c>
      <c r="P59" s="473">
        <v>58</v>
      </c>
      <c r="Q59" s="402">
        <v>0</v>
      </c>
      <c r="R59" s="436">
        <v>0</v>
      </c>
      <c r="S59" s="440">
        <v>0</v>
      </c>
      <c r="T59" s="357">
        <v>0</v>
      </c>
      <c r="U59" s="422">
        <v>0</v>
      </c>
      <c r="V59" s="509">
        <v>0</v>
      </c>
      <c r="W59" s="513" t="str">
        <f t="shared" si="16"/>
        <v/>
      </c>
      <c r="X59" s="610">
        <v>0</v>
      </c>
      <c r="Y59" s="710"/>
      <c r="Z59" s="545">
        <v>0</v>
      </c>
      <c r="AA59" s="620"/>
      <c r="AB59" s="38"/>
      <c r="AC59"/>
    </row>
    <row r="60" spans="1:29" ht="12.75" customHeight="1">
      <c r="A60" s="348" t="s">
        <v>551</v>
      </c>
      <c r="B60" s="367">
        <v>8300820</v>
      </c>
      <c r="C60" s="343">
        <v>0.14000000000000001</v>
      </c>
      <c r="D60" s="343">
        <v>0.14299999999999999</v>
      </c>
      <c r="E60" s="342">
        <v>334731</v>
      </c>
      <c r="F60" s="344">
        <v>0.14000000000000001</v>
      </c>
      <c r="G60" s="585">
        <v>-4.7599999999999996E-2</v>
      </c>
      <c r="H60" s="345">
        <v>0.14899999999999999</v>
      </c>
      <c r="I60" s="324">
        <v>0.14899999999999999</v>
      </c>
      <c r="J60" s="472">
        <v>0.13900000000000001</v>
      </c>
      <c r="K60" s="328">
        <v>0.14699999999999999</v>
      </c>
      <c r="L60" s="362">
        <v>11962652</v>
      </c>
      <c r="M60" s="328">
        <v>8318560757</v>
      </c>
      <c r="N60" s="362">
        <v>1390</v>
      </c>
      <c r="O60" s="462">
        <v>45296.687719907408</v>
      </c>
      <c r="P60" s="474">
        <v>59</v>
      </c>
      <c r="Q60" s="403">
        <v>0</v>
      </c>
      <c r="R60" s="437">
        <v>0</v>
      </c>
      <c r="S60" s="445">
        <v>0</v>
      </c>
      <c r="T60" s="356">
        <v>0</v>
      </c>
      <c r="U60" s="421">
        <v>0</v>
      </c>
      <c r="V60" s="511">
        <v>0</v>
      </c>
      <c r="W60" s="512" t="str">
        <f t="shared" si="16"/>
        <v/>
      </c>
      <c r="X60" s="611">
        <v>0</v>
      </c>
      <c r="Y60" s="705">
        <f>IF(D60&lt;&gt;0,($C61*(1-$V$1))-$D60,0)</f>
        <v>-4.2999999999999983E-2</v>
      </c>
      <c r="Z60" s="536">
        <f>IFERROR(D58/C60,"")</f>
        <v>1127.8571428571429</v>
      </c>
      <c r="AA60" s="548">
        <f>IFERROR($AB$1/(D60/100)*(C58/100),"")</f>
        <v>580115.497902098</v>
      </c>
      <c r="AB60" s="38"/>
      <c r="AC60"/>
    </row>
    <row r="61" spans="1:29" ht="12.75" customHeight="1">
      <c r="A61" s="484" t="s">
        <v>552</v>
      </c>
      <c r="B61" s="337">
        <v>100</v>
      </c>
      <c r="C61" s="339">
        <v>0.1</v>
      </c>
      <c r="D61" s="339"/>
      <c r="E61" s="337"/>
      <c r="F61" s="341"/>
      <c r="G61" s="584"/>
      <c r="H61" s="332"/>
      <c r="I61" s="323"/>
      <c r="J61" s="466"/>
      <c r="K61" s="327">
        <v>0.16800000000000001</v>
      </c>
      <c r="L61" s="330"/>
      <c r="M61" s="327"/>
      <c r="N61" s="330"/>
      <c r="O61" s="460"/>
      <c r="P61" s="473">
        <v>60</v>
      </c>
      <c r="Q61" s="402">
        <v>0</v>
      </c>
      <c r="R61" s="436">
        <v>0</v>
      </c>
      <c r="S61" s="440">
        <v>0</v>
      </c>
      <c r="T61" s="357">
        <v>0</v>
      </c>
      <c r="U61" s="422">
        <v>0</v>
      </c>
      <c r="V61" s="510">
        <v>0</v>
      </c>
      <c r="W61" s="513" t="str">
        <f t="shared" si="16"/>
        <v/>
      </c>
      <c r="X61" s="610">
        <v>0</v>
      </c>
      <c r="Y61" s="706"/>
      <c r="Z61" s="535">
        <f>IFERROR(D59/C61,"")</f>
        <v>1590.9999999999998</v>
      </c>
      <c r="AA61" s="552" t="str">
        <f>IFERROR($AB$1/(D61/100)*(C59/100),"")</f>
        <v/>
      </c>
      <c r="AB61" s="38"/>
      <c r="AC61"/>
    </row>
    <row r="62" spans="1:29" ht="12.75" customHeight="1">
      <c r="A62" s="348" t="s">
        <v>553</v>
      </c>
      <c r="B62" s="346">
        <v>1</v>
      </c>
      <c r="C62" s="343">
        <v>0.01</v>
      </c>
      <c r="D62" s="343">
        <v>0.14599999999999999</v>
      </c>
      <c r="E62" s="346">
        <v>170119014</v>
      </c>
      <c r="F62" s="344">
        <v>0.14299999999999999</v>
      </c>
      <c r="G62" s="585">
        <v>-5.9200000000000003E-2</v>
      </c>
      <c r="H62" s="345">
        <v>0.14799999999999999</v>
      </c>
      <c r="I62" s="324">
        <v>0.15</v>
      </c>
      <c r="J62" s="472">
        <v>0.14299999999999999</v>
      </c>
      <c r="K62" s="328">
        <v>0.152</v>
      </c>
      <c r="L62" s="362">
        <v>12835370</v>
      </c>
      <c r="M62" s="328">
        <v>8662308663</v>
      </c>
      <c r="N62" s="362">
        <v>1844</v>
      </c>
      <c r="O62" s="462">
        <v>45296.685370370367</v>
      </c>
      <c r="P62" s="474">
        <v>61</v>
      </c>
      <c r="Q62" s="403">
        <v>0</v>
      </c>
      <c r="R62" s="437">
        <v>0</v>
      </c>
      <c r="S62" s="445">
        <v>0</v>
      </c>
      <c r="T62" s="356">
        <v>0</v>
      </c>
      <c r="U62" s="421">
        <v>0</v>
      </c>
      <c r="V62" s="505">
        <v>0</v>
      </c>
      <c r="W62" s="512" t="str">
        <f t="shared" si="16"/>
        <v/>
      </c>
      <c r="X62" s="611"/>
      <c r="Y62" s="707">
        <f>IF(D62&lt;&gt;0,($C63*(1-$V$1))-$D62,0)</f>
        <v>-5.9999999999999776E-3</v>
      </c>
      <c r="Z62" s="534">
        <f>IFERROR(D58/C62,"")</f>
        <v>15790</v>
      </c>
      <c r="AA62" s="548">
        <f>IFERROR($AB$1/(D62/100)*(C58/100),"")</f>
        <v>568195.31643835618</v>
      </c>
      <c r="AB62" s="38"/>
      <c r="AC62"/>
    </row>
    <row r="63" spans="1:29" ht="12.75" customHeight="1">
      <c r="A63" s="429" t="s">
        <v>554</v>
      </c>
      <c r="B63" s="389">
        <v>630113</v>
      </c>
      <c r="C63" s="390">
        <v>0.14000000000000001</v>
      </c>
      <c r="D63" s="390">
        <v>0.15</v>
      </c>
      <c r="E63" s="389">
        <v>304492</v>
      </c>
      <c r="F63" s="387">
        <v>0.15</v>
      </c>
      <c r="G63" s="586">
        <v>-1.9599999999999999E-2</v>
      </c>
      <c r="H63" s="378">
        <v>0.14899999999999999</v>
      </c>
      <c r="I63" s="379">
        <v>0.151</v>
      </c>
      <c r="J63" s="471">
        <v>0.14399999999999999</v>
      </c>
      <c r="K63" s="380">
        <v>0.153</v>
      </c>
      <c r="L63" s="384">
        <v>177392</v>
      </c>
      <c r="M63" s="380">
        <v>121691240</v>
      </c>
      <c r="N63" s="384">
        <v>234</v>
      </c>
      <c r="O63" s="463">
        <v>45296.695034722223</v>
      </c>
      <c r="P63" s="473">
        <v>62</v>
      </c>
      <c r="Q63" s="404">
        <v>0</v>
      </c>
      <c r="R63" s="439">
        <v>0</v>
      </c>
      <c r="S63" s="446">
        <v>0</v>
      </c>
      <c r="T63" s="385">
        <v>0</v>
      </c>
      <c r="U63" s="422">
        <v>0</v>
      </c>
      <c r="V63" s="423">
        <v>0</v>
      </c>
      <c r="W63" s="514" t="str">
        <f t="shared" si="16"/>
        <v/>
      </c>
      <c r="X63" s="612">
        <v>0</v>
      </c>
      <c r="Y63" s="708"/>
      <c r="Z63" s="546">
        <f>IFERROR(D59/C63,"")</f>
        <v>1136.4285714285713</v>
      </c>
      <c r="AA63" s="553">
        <f>IFERROR($AB$1/(D63/100)*(C59/100),"")</f>
        <v>557321.08666666667</v>
      </c>
      <c r="AB63" s="38"/>
      <c r="AC63"/>
    </row>
    <row r="64" spans="1:29" ht="12.75" customHeight="1">
      <c r="A64" s="428" t="s">
        <v>624</v>
      </c>
      <c r="B64" s="365">
        <v>92636119</v>
      </c>
      <c r="C64" s="321">
        <v>97</v>
      </c>
      <c r="D64" s="386">
        <v>97.1</v>
      </c>
      <c r="E64" s="365">
        <v>9994632</v>
      </c>
      <c r="F64" s="449">
        <v>97.1</v>
      </c>
      <c r="G64" s="581">
        <v>5.1999999999999998E-3</v>
      </c>
      <c r="H64" s="333">
        <v>96.8</v>
      </c>
      <c r="I64" s="325">
        <v>97.11</v>
      </c>
      <c r="J64" s="469">
        <v>96.6</v>
      </c>
      <c r="K64" s="329">
        <v>96.588999999999999</v>
      </c>
      <c r="L64" s="377">
        <v>4318738040</v>
      </c>
      <c r="M64" s="329">
        <v>4457083744</v>
      </c>
      <c r="N64" s="377">
        <v>1510</v>
      </c>
      <c r="O64" s="459">
        <v>45296.687581018516</v>
      </c>
      <c r="P64" s="474">
        <v>63</v>
      </c>
      <c r="Q64" s="483">
        <v>0</v>
      </c>
      <c r="R64" s="435">
        <v>0</v>
      </c>
      <c r="S64" s="443">
        <v>0</v>
      </c>
      <c r="T64" s="358">
        <v>0</v>
      </c>
      <c r="U64" s="421">
        <v>0</v>
      </c>
      <c r="V64" s="508">
        <v>0</v>
      </c>
      <c r="W64" s="512" t="str">
        <f t="shared" si="16"/>
        <v/>
      </c>
      <c r="X64" s="609">
        <v>0</v>
      </c>
      <c r="Y64" s="709">
        <f>IF(D64&lt;&gt;0,($C65*(1-$V$1))-$D64,0)*100</f>
        <v>82.500000000000284</v>
      </c>
      <c r="Z64" s="544">
        <f>$D64*($AE$1*$AD$1)*100</f>
        <v>90.981369863013697</v>
      </c>
      <c r="AA64" s="619"/>
      <c r="AB64" s="38"/>
      <c r="AC64"/>
    </row>
    <row r="65" spans="1:29" ht="12.75" customHeight="1">
      <c r="A65" s="426" t="s">
        <v>625</v>
      </c>
      <c r="B65" s="338">
        <v>210550</v>
      </c>
      <c r="C65" s="340">
        <v>97.924999999999997</v>
      </c>
      <c r="D65" s="340">
        <v>97.94</v>
      </c>
      <c r="E65" s="338">
        <v>5000000</v>
      </c>
      <c r="F65" s="341">
        <v>97.924999999999997</v>
      </c>
      <c r="G65" s="584">
        <v>3.5999999999999999E-3</v>
      </c>
      <c r="H65" s="332">
        <v>97</v>
      </c>
      <c r="I65" s="323">
        <v>99</v>
      </c>
      <c r="J65" s="466">
        <v>97</v>
      </c>
      <c r="K65" s="327">
        <v>97.57</v>
      </c>
      <c r="L65" s="330">
        <v>2144040116</v>
      </c>
      <c r="M65" s="327">
        <v>2189929519</v>
      </c>
      <c r="N65" s="330">
        <v>2263</v>
      </c>
      <c r="O65" s="460">
        <v>45296.708668981482</v>
      </c>
      <c r="P65" s="473">
        <v>64</v>
      </c>
      <c r="Q65" s="402">
        <v>0</v>
      </c>
      <c r="R65" s="436">
        <v>0</v>
      </c>
      <c r="S65" s="440">
        <v>0</v>
      </c>
      <c r="T65" s="357">
        <v>0</v>
      </c>
      <c r="U65" s="422">
        <v>0</v>
      </c>
      <c r="V65" s="509">
        <v>0</v>
      </c>
      <c r="W65" s="513" t="str">
        <f t="shared" si="16"/>
        <v/>
      </c>
      <c r="X65" s="610">
        <v>0</v>
      </c>
      <c r="Y65" s="710"/>
      <c r="Z65" s="545">
        <v>0</v>
      </c>
      <c r="AA65" s="620"/>
      <c r="AB65" s="38"/>
      <c r="AC65"/>
    </row>
    <row r="66" spans="1:29" ht="12.75" customHeight="1">
      <c r="A66" s="348" t="s">
        <v>626</v>
      </c>
      <c r="B66" s="342"/>
      <c r="C66" s="343"/>
      <c r="D66" s="343"/>
      <c r="E66" s="342"/>
      <c r="F66" s="344"/>
      <c r="G66" s="585"/>
      <c r="H66" s="345"/>
      <c r="I66" s="324"/>
      <c r="J66" s="472"/>
      <c r="K66" s="328">
        <v>0.10100000000000001</v>
      </c>
      <c r="L66" s="362"/>
      <c r="M66" s="328"/>
      <c r="N66" s="362"/>
      <c r="O66" s="462"/>
      <c r="P66" s="474">
        <v>65</v>
      </c>
      <c r="Q66" s="403">
        <v>0</v>
      </c>
      <c r="R66" s="437">
        <v>0</v>
      </c>
      <c r="S66" s="445">
        <v>0</v>
      </c>
      <c r="T66" s="356">
        <v>0</v>
      </c>
      <c r="U66" s="421">
        <v>0</v>
      </c>
      <c r="V66" s="511">
        <v>0</v>
      </c>
      <c r="W66" s="512" t="str">
        <f t="shared" si="16"/>
        <v/>
      </c>
      <c r="X66" s="611">
        <v>0</v>
      </c>
      <c r="Y66" s="705">
        <f>IF(D66&lt;&gt;0,($C67*(1-$V$1))-$D66,0)</f>
        <v>0</v>
      </c>
      <c r="Z66" s="536" t="str">
        <f>IFERROR(D64/C66,"")</f>
        <v/>
      </c>
      <c r="AA66" s="548" t="str">
        <f>IFERROR($AB$1/(D66/100)*(C64/100),"")</f>
        <v/>
      </c>
      <c r="AB66" s="38"/>
      <c r="AC66"/>
    </row>
    <row r="67" spans="1:29" ht="12.75" customHeight="1">
      <c r="A67" s="484" t="s">
        <v>627</v>
      </c>
      <c r="B67" s="337"/>
      <c r="C67" s="339"/>
      <c r="D67" s="339"/>
      <c r="E67" s="337"/>
      <c r="F67" s="341"/>
      <c r="G67" s="584"/>
      <c r="H67" s="332"/>
      <c r="I67" s="323"/>
      <c r="J67" s="466"/>
      <c r="K67" s="327"/>
      <c r="L67" s="330"/>
      <c r="M67" s="327"/>
      <c r="N67" s="330"/>
      <c r="O67" s="460"/>
      <c r="P67" s="473">
        <v>66</v>
      </c>
      <c r="Q67" s="402">
        <v>0</v>
      </c>
      <c r="R67" s="436">
        <v>0</v>
      </c>
      <c r="S67" s="440">
        <v>0</v>
      </c>
      <c r="T67" s="357">
        <v>0</v>
      </c>
      <c r="U67" s="422">
        <v>0</v>
      </c>
      <c r="V67" s="510">
        <v>0</v>
      </c>
      <c r="W67" s="513" t="str">
        <f t="shared" si="16"/>
        <v/>
      </c>
      <c r="X67" s="610">
        <v>0</v>
      </c>
      <c r="Y67" s="706"/>
      <c r="Z67" s="535" t="str">
        <f>IFERROR(D65/C67,"")</f>
        <v/>
      </c>
      <c r="AA67" s="552" t="str">
        <f>IFERROR($AB$1/(D67/100)*(C65/100),"")</f>
        <v/>
      </c>
      <c r="AB67" s="38"/>
      <c r="AC67"/>
    </row>
    <row r="68" spans="1:29" ht="12.75" customHeight="1">
      <c r="A68" s="348" t="s">
        <v>628</v>
      </c>
      <c r="B68" s="346">
        <v>5000</v>
      </c>
      <c r="C68" s="343">
        <v>9.0999999999999998E-2</v>
      </c>
      <c r="D68" s="343">
        <v>9.2999999999999999E-2</v>
      </c>
      <c r="E68" s="346">
        <v>2998750</v>
      </c>
      <c r="F68" s="344">
        <v>9.2999999999999999E-2</v>
      </c>
      <c r="G68" s="585">
        <v>-2.1000000000000001E-2</v>
      </c>
      <c r="H68" s="345">
        <v>9.2999999999999999E-2</v>
      </c>
      <c r="I68" s="324">
        <v>9.2999999999999999E-2</v>
      </c>
      <c r="J68" s="472">
        <v>9.2999999999999999E-2</v>
      </c>
      <c r="K68" s="328">
        <v>9.5000000000000001E-2</v>
      </c>
      <c r="L68" s="362">
        <v>93</v>
      </c>
      <c r="M68" s="328">
        <v>100000</v>
      </c>
      <c r="N68" s="362">
        <v>1</v>
      </c>
      <c r="O68" s="462">
        <v>45296.564108796294</v>
      </c>
      <c r="P68" s="474">
        <v>67</v>
      </c>
      <c r="Q68" s="403">
        <v>0</v>
      </c>
      <c r="R68" s="437">
        <v>0</v>
      </c>
      <c r="S68" s="445">
        <v>0</v>
      </c>
      <c r="T68" s="356">
        <v>0</v>
      </c>
      <c r="U68" s="421">
        <v>0</v>
      </c>
      <c r="V68" s="505">
        <v>0</v>
      </c>
      <c r="W68" s="512" t="str">
        <f t="shared" si="16"/>
        <v/>
      </c>
      <c r="X68" s="611">
        <v>0</v>
      </c>
      <c r="Y68" s="707">
        <f>IF(D68&lt;&gt;0,($C69*(1-$V$1))-$D68,0)</f>
        <v>-9.2999999999999999E-2</v>
      </c>
      <c r="Z68" s="534">
        <f>IFERROR(D64/C68,"")</f>
        <v>1067.032967032967</v>
      </c>
      <c r="AA68" s="548">
        <f>IFERROR($AB$1/(D68/100)*(C64/100),"")</f>
        <v>548561.07526881725</v>
      </c>
      <c r="AB68" s="38"/>
      <c r="AC68"/>
    </row>
    <row r="69" spans="1:29" ht="12.75" customHeight="1">
      <c r="A69" s="429" t="s">
        <v>629</v>
      </c>
      <c r="B69" s="389"/>
      <c r="C69" s="390"/>
      <c r="D69" s="390">
        <v>9.8000000000000004E-2</v>
      </c>
      <c r="E69" s="389">
        <v>1146500</v>
      </c>
      <c r="F69" s="387"/>
      <c r="G69" s="586"/>
      <c r="H69" s="378"/>
      <c r="I69" s="379"/>
      <c r="J69" s="471"/>
      <c r="K69" s="380">
        <v>0.107</v>
      </c>
      <c r="L69" s="384"/>
      <c r="M69" s="380"/>
      <c r="N69" s="384"/>
      <c r="O69" s="463"/>
      <c r="P69" s="473">
        <v>68</v>
      </c>
      <c r="Q69" s="404">
        <v>0</v>
      </c>
      <c r="R69" s="439">
        <v>0</v>
      </c>
      <c r="S69" s="446">
        <v>0</v>
      </c>
      <c r="T69" s="385">
        <v>0</v>
      </c>
      <c r="U69" s="422">
        <v>0</v>
      </c>
      <c r="V69" s="423">
        <v>0</v>
      </c>
      <c r="W69" s="514" t="s">
        <v>623</v>
      </c>
      <c r="X69" s="612">
        <v>0</v>
      </c>
      <c r="Y69" s="708"/>
      <c r="Z69" s="546" t="str">
        <f>IFERROR(D65/C69,"")</f>
        <v/>
      </c>
      <c r="AA69" s="553">
        <f>IFERROR($AB$1/(D69/100)*(C65/100),"")</f>
        <v>525537.49489795917</v>
      </c>
      <c r="AB69" s="38"/>
      <c r="AC69"/>
    </row>
    <row r="70" spans="1:29" ht="12.75" customHeight="1">
      <c r="A70" s="428" t="s">
        <v>609</v>
      </c>
      <c r="B70" s="365">
        <v>946</v>
      </c>
      <c r="C70" s="321">
        <v>85130</v>
      </c>
      <c r="D70" s="386">
        <v>87000</v>
      </c>
      <c r="E70" s="365">
        <v>240</v>
      </c>
      <c r="F70" s="449">
        <v>87000</v>
      </c>
      <c r="G70" s="581">
        <v>5.1900000000000002E-2</v>
      </c>
      <c r="H70" s="333">
        <v>83000</v>
      </c>
      <c r="I70" s="325">
        <v>88970</v>
      </c>
      <c r="J70" s="469">
        <v>82010</v>
      </c>
      <c r="K70" s="329">
        <v>82700</v>
      </c>
      <c r="L70" s="377">
        <v>113076975</v>
      </c>
      <c r="M70" s="329">
        <v>133021</v>
      </c>
      <c r="N70" s="377">
        <v>385</v>
      </c>
      <c r="O70" s="459">
        <v>45296.687708333331</v>
      </c>
      <c r="P70" s="474">
        <v>69</v>
      </c>
      <c r="Q70" s="405">
        <v>0</v>
      </c>
      <c r="R70" s="435">
        <v>0</v>
      </c>
      <c r="S70" s="443">
        <v>0</v>
      </c>
      <c r="T70" s="358">
        <v>0</v>
      </c>
      <c r="U70" s="421">
        <v>0</v>
      </c>
      <c r="V70" s="508">
        <v>0</v>
      </c>
      <c r="W70" s="512" t="str">
        <f t="shared" ref="W70:W87" si="17">IF(X70&gt;0,(F70*V70/100)-(V70*X70),"")</f>
        <v/>
      </c>
      <c r="X70" s="609">
        <v>0</v>
      </c>
      <c r="Y70" s="709">
        <f>IF(D70&lt;&gt;0,($C71*(1-$V$1))-$D70,0)</f>
        <v>2200</v>
      </c>
      <c r="Z70" s="544">
        <f>$D70*($AE$1*$AD$1)</f>
        <v>815.17808219178085</v>
      </c>
      <c r="AA70" s="619"/>
      <c r="AB70" s="38"/>
      <c r="AC70"/>
    </row>
    <row r="71" spans="1:29" ht="12.75" customHeight="1">
      <c r="A71" s="426" t="s">
        <v>610</v>
      </c>
      <c r="B71" s="338">
        <v>6355</v>
      </c>
      <c r="C71" s="340">
        <v>89200</v>
      </c>
      <c r="D71" s="340">
        <v>89500</v>
      </c>
      <c r="E71" s="338">
        <v>1200</v>
      </c>
      <c r="F71" s="341">
        <v>89500</v>
      </c>
      <c r="G71" s="584">
        <v>6.7299999999999999E-2</v>
      </c>
      <c r="H71" s="332">
        <v>83850</v>
      </c>
      <c r="I71" s="323">
        <v>89990</v>
      </c>
      <c r="J71" s="466">
        <v>83250</v>
      </c>
      <c r="K71" s="327">
        <v>83850</v>
      </c>
      <c r="L71" s="330">
        <v>1103853255</v>
      </c>
      <c r="M71" s="327">
        <v>1287844</v>
      </c>
      <c r="N71" s="330">
        <v>2136</v>
      </c>
      <c r="O71" s="460">
        <v>45296.708518518521</v>
      </c>
      <c r="P71" s="473">
        <v>70</v>
      </c>
      <c r="Q71" s="402">
        <v>0</v>
      </c>
      <c r="R71" s="436">
        <v>0</v>
      </c>
      <c r="S71" s="440">
        <v>0</v>
      </c>
      <c r="T71" s="357">
        <v>0</v>
      </c>
      <c r="U71" s="422">
        <v>0</v>
      </c>
      <c r="V71" s="509">
        <v>0</v>
      </c>
      <c r="W71" s="513" t="str">
        <f t="shared" si="17"/>
        <v/>
      </c>
      <c r="X71" s="610">
        <v>0</v>
      </c>
      <c r="Y71" s="710"/>
      <c r="Z71" s="545">
        <v>0</v>
      </c>
      <c r="AA71" s="620"/>
      <c r="AB71" s="38"/>
      <c r="AC71"/>
    </row>
    <row r="72" spans="1:29" ht="12.75" customHeight="1">
      <c r="A72" s="348" t="s">
        <v>611</v>
      </c>
      <c r="B72" s="342"/>
      <c r="C72" s="343"/>
      <c r="D72" s="343"/>
      <c r="E72" s="342"/>
      <c r="F72" s="344"/>
      <c r="G72" s="585"/>
      <c r="H72" s="345"/>
      <c r="I72" s="324"/>
      <c r="J72" s="324"/>
      <c r="K72" s="400">
        <v>72.757000000000005</v>
      </c>
      <c r="L72" s="362"/>
      <c r="M72" s="328"/>
      <c r="N72" s="362"/>
      <c r="O72" s="462"/>
      <c r="P72" s="474">
        <v>71</v>
      </c>
      <c r="Q72" s="403">
        <v>0</v>
      </c>
      <c r="R72" s="437">
        <v>0</v>
      </c>
      <c r="S72" s="445">
        <v>0</v>
      </c>
      <c r="T72" s="356">
        <v>0</v>
      </c>
      <c r="U72" s="421">
        <v>0</v>
      </c>
      <c r="V72" s="511">
        <v>0</v>
      </c>
      <c r="W72" s="512" t="str">
        <f t="shared" si="17"/>
        <v/>
      </c>
      <c r="X72" s="611">
        <v>0</v>
      </c>
      <c r="Y72" s="705">
        <f>IF(D72&lt;&gt;0,($C73*(1-$V$1))-$D72,0)</f>
        <v>0</v>
      </c>
      <c r="Z72" s="536" t="str">
        <f>IFERROR(D70/C72,"")</f>
        <v/>
      </c>
      <c r="AA72" s="548" t="str">
        <f>IFERROR($AB$1/(D72/100)*(C70/100),"")</f>
        <v/>
      </c>
      <c r="AB72" s="38"/>
      <c r="AC72"/>
    </row>
    <row r="73" spans="1:29" ht="12.75" customHeight="1">
      <c r="A73" s="484" t="s">
        <v>612</v>
      </c>
      <c r="B73" s="337"/>
      <c r="C73" s="339"/>
      <c r="D73" s="339"/>
      <c r="E73" s="337"/>
      <c r="F73" s="341"/>
      <c r="G73" s="584"/>
      <c r="H73" s="332"/>
      <c r="I73" s="323"/>
      <c r="J73" s="323"/>
      <c r="K73" s="396"/>
      <c r="L73" s="330"/>
      <c r="M73" s="327"/>
      <c r="N73" s="330"/>
      <c r="O73" s="460"/>
      <c r="P73" s="473">
        <v>72</v>
      </c>
      <c r="Q73" s="402">
        <v>0</v>
      </c>
      <c r="R73" s="436">
        <v>0</v>
      </c>
      <c r="S73" s="440">
        <v>0</v>
      </c>
      <c r="T73" s="357">
        <v>0</v>
      </c>
      <c r="U73" s="422">
        <v>0</v>
      </c>
      <c r="V73" s="510">
        <v>0</v>
      </c>
      <c r="W73" s="513" t="str">
        <f t="shared" si="17"/>
        <v/>
      </c>
      <c r="X73" s="610">
        <v>0</v>
      </c>
      <c r="Y73" s="706"/>
      <c r="Z73" s="535" t="str">
        <f>IFERROR(D71/C73,"")</f>
        <v/>
      </c>
      <c r="AA73" s="552" t="str">
        <f>IFERROR($AB$1/(D73/100)*(C71/100),"")</f>
        <v/>
      </c>
      <c r="AB73" s="38"/>
      <c r="AC73"/>
    </row>
    <row r="74" spans="1:29" ht="12.75" customHeight="1">
      <c r="A74" s="348" t="s">
        <v>613</v>
      </c>
      <c r="B74" s="346">
        <v>1608</v>
      </c>
      <c r="C74" s="343">
        <v>81</v>
      </c>
      <c r="D74" s="343">
        <v>81.8</v>
      </c>
      <c r="E74" s="346">
        <v>1738</v>
      </c>
      <c r="F74" s="344">
        <v>81</v>
      </c>
      <c r="G74" s="585">
        <v>2.53E-2</v>
      </c>
      <c r="H74" s="345">
        <v>81.900000000000006</v>
      </c>
      <c r="I74" s="324">
        <v>83.45</v>
      </c>
      <c r="J74" s="324">
        <v>80.150000000000006</v>
      </c>
      <c r="K74" s="400">
        <v>79</v>
      </c>
      <c r="L74" s="362">
        <v>30694</v>
      </c>
      <c r="M74" s="328">
        <v>37529</v>
      </c>
      <c r="N74" s="362">
        <v>70</v>
      </c>
      <c r="O74" s="462">
        <v>45296.687569444446</v>
      </c>
      <c r="P74" s="474">
        <v>73</v>
      </c>
      <c r="Q74" s="403">
        <v>0</v>
      </c>
      <c r="R74" s="437">
        <v>0</v>
      </c>
      <c r="S74" s="445">
        <v>0</v>
      </c>
      <c r="T74" s="356">
        <v>0</v>
      </c>
      <c r="U74" s="421">
        <v>0</v>
      </c>
      <c r="V74" s="505">
        <v>0</v>
      </c>
      <c r="W74" s="512" t="str">
        <f t="shared" si="17"/>
        <v/>
      </c>
      <c r="X74" s="611">
        <v>0</v>
      </c>
      <c r="Y74" s="707">
        <f>IF(D74&lt;&gt;0,($C75*(1-$V$1))-$D74,0)</f>
        <v>0.20000000000000284</v>
      </c>
      <c r="Z74" s="534">
        <f>IFERROR(D70/C74,"")</f>
        <v>1074.0740740740741</v>
      </c>
      <c r="AA74" s="548">
        <f>IFERROR($AB$1/(D74/100)*(C70/100),"")</f>
        <v>547350.51589242066</v>
      </c>
      <c r="AB74" s="38"/>
      <c r="AC74"/>
    </row>
    <row r="75" spans="1:29" ht="12.75" customHeight="1">
      <c r="A75" s="429" t="s">
        <v>614</v>
      </c>
      <c r="B75" s="389">
        <v>337</v>
      </c>
      <c r="C75" s="390">
        <v>82</v>
      </c>
      <c r="D75" s="390">
        <v>82.1</v>
      </c>
      <c r="E75" s="389">
        <v>2244</v>
      </c>
      <c r="F75" s="387">
        <v>82.1</v>
      </c>
      <c r="G75" s="586">
        <v>2.81E-2</v>
      </c>
      <c r="H75" s="378">
        <v>79.849999999999994</v>
      </c>
      <c r="I75" s="379">
        <v>84</v>
      </c>
      <c r="J75" s="379">
        <v>79.8</v>
      </c>
      <c r="K75" s="397">
        <v>79.849999999999994</v>
      </c>
      <c r="L75" s="384">
        <v>336160</v>
      </c>
      <c r="M75" s="380">
        <v>413118</v>
      </c>
      <c r="N75" s="384">
        <v>695</v>
      </c>
      <c r="O75" s="463">
        <v>45296.708495370367</v>
      </c>
      <c r="P75" s="473">
        <v>74</v>
      </c>
      <c r="Q75" s="404">
        <v>0</v>
      </c>
      <c r="R75" s="439">
        <v>0</v>
      </c>
      <c r="S75" s="446">
        <v>0</v>
      </c>
      <c r="T75" s="385">
        <v>0</v>
      </c>
      <c r="U75" s="422">
        <v>0</v>
      </c>
      <c r="V75" s="423">
        <v>0</v>
      </c>
      <c r="W75" s="514" t="str">
        <f t="shared" si="17"/>
        <v/>
      </c>
      <c r="X75" s="612">
        <v>0</v>
      </c>
      <c r="Y75" s="708"/>
      <c r="Z75" s="546">
        <f>IFERROR(D71/C75,"")</f>
        <v>1091.4634146341464</v>
      </c>
      <c r="AA75" s="553">
        <f>IFERROR($AB$1/(D75/100)*(C71/100),"")</f>
        <v>571423.23995127901</v>
      </c>
      <c r="AB75" s="38"/>
      <c r="AC75"/>
    </row>
    <row r="76" spans="1:29" ht="12.75" customHeight="1">
      <c r="A76" s="428" t="s">
        <v>617</v>
      </c>
      <c r="B76" s="365">
        <v>200</v>
      </c>
      <c r="C76" s="321">
        <v>33250</v>
      </c>
      <c r="D76" s="386">
        <v>33300</v>
      </c>
      <c r="E76" s="365">
        <v>800</v>
      </c>
      <c r="F76" s="449">
        <v>33250</v>
      </c>
      <c r="G76" s="581">
        <v>1.09E-2</v>
      </c>
      <c r="H76" s="333">
        <v>33800</v>
      </c>
      <c r="I76" s="325">
        <v>33800</v>
      </c>
      <c r="J76" s="325">
        <v>31500</v>
      </c>
      <c r="K76" s="399">
        <v>32890</v>
      </c>
      <c r="L76" s="377">
        <v>6067047</v>
      </c>
      <c r="M76" s="329">
        <v>18572</v>
      </c>
      <c r="N76" s="407">
        <v>38</v>
      </c>
      <c r="O76" s="459">
        <v>45296.682453703703</v>
      </c>
      <c r="P76" s="474">
        <v>75</v>
      </c>
      <c r="Q76" s="405">
        <v>0</v>
      </c>
      <c r="R76" s="435">
        <v>0</v>
      </c>
      <c r="S76" s="443">
        <v>0</v>
      </c>
      <c r="T76" s="358">
        <v>0</v>
      </c>
      <c r="U76" s="421">
        <v>0</v>
      </c>
      <c r="V76" s="508">
        <v>0</v>
      </c>
      <c r="W76" s="512" t="str">
        <f t="shared" si="17"/>
        <v/>
      </c>
      <c r="X76" s="609">
        <v>0</v>
      </c>
      <c r="Y76" s="709">
        <f>IF(D76&lt;&gt;0,($C77*(1-$V$1))-$D76,0)</f>
        <v>310</v>
      </c>
      <c r="Z76" s="544">
        <f>$D76*($AE$1*$AD$1)</f>
        <v>312.01643835616437</v>
      </c>
      <c r="AA76" s="619"/>
      <c r="AB76" s="38"/>
      <c r="AC76"/>
    </row>
    <row r="77" spans="1:29" ht="12.75" customHeight="1">
      <c r="A77" s="426" t="s">
        <v>618</v>
      </c>
      <c r="B77" s="338">
        <v>150</v>
      </c>
      <c r="C77" s="340">
        <v>33610</v>
      </c>
      <c r="D77" s="340">
        <v>33750</v>
      </c>
      <c r="E77" s="338">
        <v>1500</v>
      </c>
      <c r="F77" s="341">
        <v>33750</v>
      </c>
      <c r="G77" s="584">
        <v>2.6099999999999998E-2</v>
      </c>
      <c r="H77" s="332">
        <v>34000</v>
      </c>
      <c r="I77" s="323">
        <v>34000</v>
      </c>
      <c r="J77" s="323">
        <v>32100</v>
      </c>
      <c r="K77" s="396">
        <v>32890</v>
      </c>
      <c r="L77" s="330">
        <v>88492205</v>
      </c>
      <c r="M77" s="327">
        <v>268696</v>
      </c>
      <c r="N77" s="330">
        <v>387</v>
      </c>
      <c r="O77" s="460">
        <v>45296.708645833336</v>
      </c>
      <c r="P77" s="473">
        <v>76</v>
      </c>
      <c r="Q77" s="402">
        <v>0</v>
      </c>
      <c r="R77" s="436">
        <v>0</v>
      </c>
      <c r="S77" s="440">
        <v>0</v>
      </c>
      <c r="T77" s="357">
        <v>0</v>
      </c>
      <c r="U77" s="422">
        <v>0</v>
      </c>
      <c r="V77" s="509">
        <v>0</v>
      </c>
      <c r="W77" s="513" t="str">
        <f t="shared" si="17"/>
        <v/>
      </c>
      <c r="X77" s="610">
        <v>0</v>
      </c>
      <c r="Y77" s="710"/>
      <c r="Z77" s="545">
        <v>0</v>
      </c>
      <c r="AA77" s="620"/>
      <c r="AB77" s="38"/>
      <c r="AC77"/>
    </row>
    <row r="78" spans="1:29" ht="12.75" customHeight="1">
      <c r="A78" s="348" t="s">
        <v>619</v>
      </c>
      <c r="B78" s="342"/>
      <c r="C78" s="343"/>
      <c r="D78" s="343"/>
      <c r="E78" s="342"/>
      <c r="F78" s="344"/>
      <c r="G78" s="585"/>
      <c r="H78" s="345"/>
      <c r="I78" s="324"/>
      <c r="J78" s="324"/>
      <c r="K78" s="400">
        <v>30.7</v>
      </c>
      <c r="L78" s="362"/>
      <c r="M78" s="328"/>
      <c r="N78" s="362"/>
      <c r="O78" s="462"/>
      <c r="P78" s="474">
        <v>77</v>
      </c>
      <c r="Q78" s="403">
        <v>0</v>
      </c>
      <c r="R78" s="437">
        <v>0</v>
      </c>
      <c r="S78" s="445">
        <v>0</v>
      </c>
      <c r="T78" s="356">
        <v>0</v>
      </c>
      <c r="U78" s="421">
        <v>0</v>
      </c>
      <c r="V78" s="511">
        <v>0</v>
      </c>
      <c r="W78" s="512" t="str">
        <f t="shared" si="17"/>
        <v/>
      </c>
      <c r="X78" s="611">
        <v>0</v>
      </c>
      <c r="Y78" s="705">
        <f>IF(D78&lt;&gt;0,($C79*(1-$V$1))-$D78,0)</f>
        <v>0</v>
      </c>
      <c r="Z78" s="536" t="str">
        <f>IFERROR(D76/C78,"")</f>
        <v/>
      </c>
      <c r="AA78" s="549" t="str">
        <f>IFERROR($AB$1/(D78/100)*(C76/100),"")</f>
        <v/>
      </c>
      <c r="AB78" s="38"/>
      <c r="AC78"/>
    </row>
    <row r="79" spans="1:29" ht="12.75" customHeight="1">
      <c r="A79" s="484" t="s">
        <v>620</v>
      </c>
      <c r="B79" s="337">
        <v>2724</v>
      </c>
      <c r="C79" s="339">
        <v>30.2</v>
      </c>
      <c r="D79" s="339">
        <v>30.78</v>
      </c>
      <c r="E79" s="337">
        <v>2724</v>
      </c>
      <c r="F79" s="341">
        <v>31</v>
      </c>
      <c r="G79" s="584">
        <v>3.3300000000000003E-2</v>
      </c>
      <c r="H79" s="332">
        <v>30.5</v>
      </c>
      <c r="I79" s="323">
        <v>31</v>
      </c>
      <c r="J79" s="323">
        <v>30.5</v>
      </c>
      <c r="K79" s="396">
        <v>30</v>
      </c>
      <c r="L79" s="330">
        <v>875</v>
      </c>
      <c r="M79" s="327">
        <v>2824</v>
      </c>
      <c r="N79" s="330">
        <v>2</v>
      </c>
      <c r="O79" s="460">
        <v>45296.52784722222</v>
      </c>
      <c r="P79" s="473">
        <v>78</v>
      </c>
      <c r="Q79" s="402">
        <v>0</v>
      </c>
      <c r="R79" s="436">
        <v>0</v>
      </c>
      <c r="S79" s="440">
        <v>0</v>
      </c>
      <c r="T79" s="357">
        <v>0</v>
      </c>
      <c r="U79" s="422">
        <v>0</v>
      </c>
      <c r="V79" s="510">
        <v>0</v>
      </c>
      <c r="W79" s="513" t="str">
        <f t="shared" si="17"/>
        <v/>
      </c>
      <c r="X79" s="610">
        <v>0</v>
      </c>
      <c r="Y79" s="706"/>
      <c r="Z79" s="535">
        <f>IFERROR(D77/C79,"")</f>
        <v>1117.5496688741723</v>
      </c>
      <c r="AA79" s="550">
        <f>IFERROR($AB$1/(D79/100)*(C77/100),"")</f>
        <v>574296.40675763495</v>
      </c>
      <c r="AB79" s="38"/>
    </row>
    <row r="80" spans="1:29" ht="12.75" customHeight="1">
      <c r="A80" s="348" t="s">
        <v>621</v>
      </c>
      <c r="B80" s="346">
        <v>895</v>
      </c>
      <c r="C80" s="343">
        <v>30.1</v>
      </c>
      <c r="D80" s="343">
        <v>31.8</v>
      </c>
      <c r="E80" s="346">
        <v>2000</v>
      </c>
      <c r="F80" s="344">
        <v>31.8</v>
      </c>
      <c r="G80" s="585">
        <v>-2.75E-2</v>
      </c>
      <c r="H80" s="345">
        <v>31</v>
      </c>
      <c r="I80" s="324">
        <v>31.8</v>
      </c>
      <c r="J80" s="324">
        <v>30.5</v>
      </c>
      <c r="K80" s="400">
        <v>32.700000000000003</v>
      </c>
      <c r="L80" s="362">
        <v>6439</v>
      </c>
      <c r="M80" s="328">
        <v>20731</v>
      </c>
      <c r="N80" s="362">
        <v>7</v>
      </c>
      <c r="O80" s="462">
        <v>45296.597951388889</v>
      </c>
      <c r="P80" s="474">
        <v>79</v>
      </c>
      <c r="Q80" s="403">
        <v>0</v>
      </c>
      <c r="R80" s="437">
        <v>0</v>
      </c>
      <c r="S80" s="445">
        <v>0</v>
      </c>
      <c r="T80" s="356">
        <v>0</v>
      </c>
      <c r="U80" s="421">
        <v>0</v>
      </c>
      <c r="V80" s="505">
        <v>0</v>
      </c>
      <c r="W80" s="512" t="str">
        <f t="shared" si="17"/>
        <v/>
      </c>
      <c r="X80" s="611">
        <v>0</v>
      </c>
      <c r="Y80" s="707">
        <f>IF(D80&lt;&gt;0,($C81*(1-$V$1))-$D80,0)</f>
        <v>-1</v>
      </c>
      <c r="Z80" s="534">
        <f>IFERROR(D76/C80,"")</f>
        <v>1106.3122923588039</v>
      </c>
      <c r="AA80" s="549">
        <f>IFERROR($AB$1/(D80/100)*(C76/100),"")</f>
        <v>549921.54088050313</v>
      </c>
      <c r="AB80" s="38"/>
      <c r="AC80" s="11"/>
    </row>
    <row r="81" spans="1:29" ht="12.75" customHeight="1">
      <c r="A81" s="429" t="s">
        <v>622</v>
      </c>
      <c r="B81" s="389">
        <v>1000</v>
      </c>
      <c r="C81" s="390">
        <v>30.8</v>
      </c>
      <c r="D81" s="390">
        <v>31.4</v>
      </c>
      <c r="E81" s="389">
        <v>2086</v>
      </c>
      <c r="F81" s="387">
        <v>31.4</v>
      </c>
      <c r="G81" s="586">
        <v>-1.2500000000000001E-2</v>
      </c>
      <c r="H81" s="378">
        <v>31.8</v>
      </c>
      <c r="I81" s="379">
        <v>32.25</v>
      </c>
      <c r="J81" s="379">
        <v>30</v>
      </c>
      <c r="K81" s="397">
        <v>31.8</v>
      </c>
      <c r="L81" s="384">
        <v>33034</v>
      </c>
      <c r="M81" s="380">
        <v>107236</v>
      </c>
      <c r="N81" s="384">
        <v>111</v>
      </c>
      <c r="O81" s="463">
        <v>45296.705682870372</v>
      </c>
      <c r="P81" s="473">
        <v>80</v>
      </c>
      <c r="Q81" s="404">
        <v>0</v>
      </c>
      <c r="R81" s="439">
        <v>0</v>
      </c>
      <c r="S81" s="446">
        <v>0</v>
      </c>
      <c r="T81" s="385">
        <v>0</v>
      </c>
      <c r="U81" s="422">
        <v>0</v>
      </c>
      <c r="V81" s="423">
        <v>0</v>
      </c>
      <c r="W81" s="514" t="str">
        <f t="shared" si="17"/>
        <v/>
      </c>
      <c r="X81" s="612">
        <v>0</v>
      </c>
      <c r="Y81" s="708"/>
      <c r="Z81" s="546">
        <f>IFERROR(D77/C81,"")</f>
        <v>1095.7792207792209</v>
      </c>
      <c r="AA81" s="551">
        <f>IFERROR($AB$1/(D81/100)*(C77/100),"")</f>
        <v>562956.79617834406</v>
      </c>
      <c r="AB81" s="38"/>
      <c r="AC81" s="11"/>
    </row>
    <row r="82" spans="1:29" ht="12.75" customHeight="1">
      <c r="A82" s="428" t="s">
        <v>543</v>
      </c>
      <c r="B82" s="365">
        <v>1011</v>
      </c>
      <c r="C82" s="321">
        <v>44450</v>
      </c>
      <c r="D82" s="386">
        <v>50000</v>
      </c>
      <c r="E82" s="365">
        <v>2000</v>
      </c>
      <c r="F82" s="449">
        <v>44620</v>
      </c>
      <c r="G82" s="581">
        <v>3.04E-2</v>
      </c>
      <c r="H82" s="333">
        <v>44400</v>
      </c>
      <c r="I82" s="325">
        <v>44920</v>
      </c>
      <c r="J82" s="325">
        <v>43300</v>
      </c>
      <c r="K82" s="399">
        <v>43300</v>
      </c>
      <c r="L82" s="377">
        <v>53541589</v>
      </c>
      <c r="M82" s="329">
        <v>121928</v>
      </c>
      <c r="N82" s="377">
        <v>170</v>
      </c>
      <c r="O82" s="459">
        <v>45296.683715277781</v>
      </c>
      <c r="P82" s="474">
        <v>81</v>
      </c>
      <c r="Q82" s="405">
        <v>0</v>
      </c>
      <c r="R82" s="435">
        <v>0</v>
      </c>
      <c r="S82" s="443">
        <v>0</v>
      </c>
      <c r="T82" s="358">
        <v>0</v>
      </c>
      <c r="U82" s="421">
        <v>0</v>
      </c>
      <c r="V82" s="508">
        <v>0</v>
      </c>
      <c r="W82" s="512" t="str">
        <f t="shared" si="17"/>
        <v/>
      </c>
      <c r="X82" s="609">
        <v>0</v>
      </c>
      <c r="Y82" s="709">
        <f>IF(D82&lt;&gt;0,($C83*(1-$V$1))-$D82,0)</f>
        <v>-5000</v>
      </c>
      <c r="Z82" s="544">
        <f>$D82*($AE$1*$AD$1)</f>
        <v>468.49315068493149</v>
      </c>
      <c r="AA82" s="619"/>
      <c r="AB82" s="38"/>
      <c r="AC82" s="11"/>
    </row>
    <row r="83" spans="1:29" ht="12.75" customHeight="1">
      <c r="A83" s="426" t="s">
        <v>544</v>
      </c>
      <c r="B83" s="338">
        <v>5000</v>
      </c>
      <c r="C83" s="340">
        <v>45000</v>
      </c>
      <c r="D83" s="340">
        <v>45300</v>
      </c>
      <c r="E83" s="338">
        <v>19623</v>
      </c>
      <c r="F83" s="341">
        <v>45300</v>
      </c>
      <c r="G83" s="584">
        <v>4.3099999999999999E-2</v>
      </c>
      <c r="H83" s="332">
        <v>43500</v>
      </c>
      <c r="I83" s="323">
        <v>45900</v>
      </c>
      <c r="J83" s="323">
        <v>42100</v>
      </c>
      <c r="K83" s="396">
        <v>43425</v>
      </c>
      <c r="L83" s="330">
        <v>862617607</v>
      </c>
      <c r="M83" s="327">
        <v>1950822</v>
      </c>
      <c r="N83" s="330">
        <v>708</v>
      </c>
      <c r="O83" s="460">
        <v>45296.708657407406</v>
      </c>
      <c r="P83" s="473">
        <v>82</v>
      </c>
      <c r="Q83" s="402">
        <v>0</v>
      </c>
      <c r="R83" s="436">
        <v>0</v>
      </c>
      <c r="S83" s="440">
        <v>0</v>
      </c>
      <c r="T83" s="357">
        <v>0</v>
      </c>
      <c r="U83" s="422">
        <v>0</v>
      </c>
      <c r="V83" s="509">
        <v>0</v>
      </c>
      <c r="W83" s="513" t="str">
        <f t="shared" si="17"/>
        <v/>
      </c>
      <c r="X83" s="610">
        <v>0</v>
      </c>
      <c r="Y83" s="710"/>
      <c r="Z83" s="545">
        <v>0</v>
      </c>
      <c r="AA83" s="620"/>
      <c r="AB83" s="38"/>
      <c r="AC83" s="11"/>
    </row>
    <row r="84" spans="1:29" ht="12.75" customHeight="1">
      <c r="A84" s="348" t="s">
        <v>545</v>
      </c>
      <c r="B84" s="342"/>
      <c r="C84" s="343"/>
      <c r="D84" s="343"/>
      <c r="E84" s="342"/>
      <c r="F84" s="344"/>
      <c r="G84" s="585"/>
      <c r="H84" s="345"/>
      <c r="I84" s="324"/>
      <c r="J84" s="324"/>
      <c r="K84" s="400">
        <v>40.950000000000003</v>
      </c>
      <c r="L84" s="362"/>
      <c r="M84" s="328"/>
      <c r="N84" s="362"/>
      <c r="O84" s="462"/>
      <c r="P84" s="474">
        <v>83</v>
      </c>
      <c r="Q84" s="403">
        <v>0</v>
      </c>
      <c r="R84" s="437">
        <v>0</v>
      </c>
      <c r="S84" s="445">
        <v>0</v>
      </c>
      <c r="T84" s="356">
        <v>0</v>
      </c>
      <c r="U84" s="421">
        <v>0</v>
      </c>
      <c r="V84" s="511">
        <v>0</v>
      </c>
      <c r="W84" s="512" t="str">
        <f t="shared" si="17"/>
        <v/>
      </c>
      <c r="X84" s="611">
        <v>0</v>
      </c>
      <c r="Y84" s="705">
        <f>IF(D84&lt;&gt;0,($C85*(1-$V$1))-$D84,0)</f>
        <v>0</v>
      </c>
      <c r="Z84" s="536" t="str">
        <f>IFERROR(D82/C84,"")</f>
        <v/>
      </c>
      <c r="AA84" s="548" t="str">
        <f>IFERROR($AB$1/(D84/100)*(C82/100),"")</f>
        <v/>
      </c>
      <c r="AB84" s="38"/>
      <c r="AC84" s="11"/>
    </row>
    <row r="85" spans="1:29" ht="12.75" customHeight="1">
      <c r="A85" s="484" t="s">
        <v>546</v>
      </c>
      <c r="B85" s="337"/>
      <c r="C85" s="339"/>
      <c r="D85" s="339"/>
      <c r="E85" s="337"/>
      <c r="F85" s="341"/>
      <c r="G85" s="584"/>
      <c r="H85" s="332"/>
      <c r="I85" s="323"/>
      <c r="J85" s="323"/>
      <c r="K85" s="396">
        <v>36.005000000000003</v>
      </c>
      <c r="L85" s="330"/>
      <c r="M85" s="327"/>
      <c r="N85" s="330"/>
      <c r="O85" s="460"/>
      <c r="P85" s="473">
        <v>84</v>
      </c>
      <c r="Q85" s="402">
        <v>0</v>
      </c>
      <c r="R85" s="436">
        <v>0</v>
      </c>
      <c r="S85" s="440">
        <v>0</v>
      </c>
      <c r="T85" s="357">
        <v>0</v>
      </c>
      <c r="U85" s="422">
        <v>0</v>
      </c>
      <c r="V85" s="510">
        <v>0</v>
      </c>
      <c r="W85" s="513" t="str">
        <f t="shared" si="17"/>
        <v/>
      </c>
      <c r="X85" s="610">
        <v>0</v>
      </c>
      <c r="Y85" s="706"/>
      <c r="Z85" s="535" t="str">
        <f>IFERROR(D83/C85,"")</f>
        <v/>
      </c>
      <c r="AA85" s="552" t="str">
        <f>IFERROR($AB$1/(D85/100)*(C83/100),"")</f>
        <v/>
      </c>
      <c r="AB85" s="38"/>
      <c r="AC85" s="11"/>
    </row>
    <row r="86" spans="1:29" ht="12.75" customHeight="1">
      <c r="A86" s="348" t="s">
        <v>547</v>
      </c>
      <c r="B86" s="346">
        <v>500</v>
      </c>
      <c r="C86" s="343">
        <v>40.4</v>
      </c>
      <c r="D86" s="343">
        <v>41.948999999999998</v>
      </c>
      <c r="E86" s="346">
        <v>99</v>
      </c>
      <c r="F86" s="344">
        <v>41.2</v>
      </c>
      <c r="G86" s="585">
        <v>-2.3999999999999998E-3</v>
      </c>
      <c r="H86" s="345">
        <v>40.4</v>
      </c>
      <c r="I86" s="324">
        <v>41.95</v>
      </c>
      <c r="J86" s="324">
        <v>40.4</v>
      </c>
      <c r="K86" s="400">
        <v>41.3</v>
      </c>
      <c r="L86" s="362">
        <v>2947</v>
      </c>
      <c r="M86" s="328">
        <v>7148</v>
      </c>
      <c r="N86" s="362">
        <v>11</v>
      </c>
      <c r="O86" s="462">
        <v>45296.683483796296</v>
      </c>
      <c r="P86" s="474">
        <v>85</v>
      </c>
      <c r="Q86" s="403">
        <v>0</v>
      </c>
      <c r="R86" s="437">
        <v>0</v>
      </c>
      <c r="S86" s="445">
        <v>0</v>
      </c>
      <c r="T86" s="356">
        <v>0</v>
      </c>
      <c r="U86" s="421">
        <v>0</v>
      </c>
      <c r="V86" s="505">
        <v>0</v>
      </c>
      <c r="W86" s="512" t="str">
        <f t="shared" si="17"/>
        <v/>
      </c>
      <c r="X86" s="611">
        <v>0</v>
      </c>
      <c r="Y86" s="707">
        <f>IF(D86&lt;&gt;0,($C87*(1-$V$1))-$D86,0)</f>
        <v>-0.44899999999999807</v>
      </c>
      <c r="Z86" s="534">
        <f>IFERROR(D82/C86,"")</f>
        <v>1237.6237623762377</v>
      </c>
      <c r="AA86" s="548">
        <f>IFERROR($AB$1/(D86/100)*(C82/100),"")</f>
        <v>557296.55057331535</v>
      </c>
      <c r="AB86" s="38"/>
      <c r="AC86" s="11"/>
    </row>
    <row r="87" spans="1:29" ht="12.75" customHeight="1">
      <c r="A87" s="429" t="s">
        <v>548</v>
      </c>
      <c r="B87" s="389">
        <v>3401</v>
      </c>
      <c r="C87" s="390">
        <v>41.5</v>
      </c>
      <c r="D87" s="390">
        <v>42</v>
      </c>
      <c r="E87" s="389">
        <v>6234</v>
      </c>
      <c r="F87" s="387">
        <v>41.5</v>
      </c>
      <c r="G87" s="586">
        <v>-8.3999999999999995E-3</v>
      </c>
      <c r="H87" s="378">
        <v>41.5</v>
      </c>
      <c r="I87" s="379">
        <v>41.5</v>
      </c>
      <c r="J87" s="379">
        <v>41.1</v>
      </c>
      <c r="K87" s="397">
        <v>41.5</v>
      </c>
      <c r="L87" s="384">
        <v>36749</v>
      </c>
      <c r="M87" s="380">
        <v>88727</v>
      </c>
      <c r="N87" s="384">
        <v>83</v>
      </c>
      <c r="O87" s="463">
        <v>45296.706041666665</v>
      </c>
      <c r="P87" s="473">
        <v>86</v>
      </c>
      <c r="Q87" s="404">
        <v>0</v>
      </c>
      <c r="R87" s="439">
        <v>0</v>
      </c>
      <c r="S87" s="446">
        <v>0</v>
      </c>
      <c r="T87" s="385">
        <v>0</v>
      </c>
      <c r="U87" s="422">
        <v>0</v>
      </c>
      <c r="V87" s="423">
        <v>0</v>
      </c>
      <c r="W87" s="514" t="str">
        <f t="shared" si="17"/>
        <v/>
      </c>
      <c r="X87" s="612">
        <v>0</v>
      </c>
      <c r="Y87" s="708"/>
      <c r="Z87" s="546">
        <f>IFERROR(D83/C87,"")</f>
        <v>1091.566265060241</v>
      </c>
      <c r="AA87" s="553">
        <f>IFERROR($AB$1/(D87/100)*(C83/100),"")</f>
        <v>563507.14285714296</v>
      </c>
      <c r="AB87" s="38"/>
    </row>
    <row r="88" spans="1:29" ht="12.75" customHeight="1">
      <c r="A88" s="428" t="s">
        <v>588</v>
      </c>
      <c r="B88" s="365">
        <v>91416</v>
      </c>
      <c r="C88" s="321">
        <v>42800</v>
      </c>
      <c r="D88" s="386">
        <v>42970</v>
      </c>
      <c r="E88" s="365">
        <v>440</v>
      </c>
      <c r="F88" s="449">
        <v>42800</v>
      </c>
      <c r="G88" s="581">
        <v>3.8900000000000004E-2</v>
      </c>
      <c r="H88" s="333">
        <v>40145</v>
      </c>
      <c r="I88" s="325">
        <v>42800</v>
      </c>
      <c r="J88" s="325">
        <v>40145</v>
      </c>
      <c r="K88" s="399">
        <v>41195</v>
      </c>
      <c r="L88" s="377">
        <v>622387636</v>
      </c>
      <c r="M88" s="329">
        <v>1489446</v>
      </c>
      <c r="N88" s="377">
        <v>819</v>
      </c>
      <c r="O88" s="459">
        <v>45296.687511574077</v>
      </c>
      <c r="P88" s="474">
        <v>87</v>
      </c>
      <c r="Q88" s="405">
        <v>0</v>
      </c>
      <c r="R88" s="435">
        <v>0</v>
      </c>
      <c r="S88" s="443">
        <v>0</v>
      </c>
      <c r="T88" s="358">
        <v>0</v>
      </c>
      <c r="U88" s="421">
        <v>0</v>
      </c>
      <c r="V88" s="508">
        <v>70</v>
      </c>
      <c r="W88" s="318">
        <f>IF(X88&gt;0,(F88/100*V88)-(V88*X88),"")</f>
        <v>4997.6499999999978</v>
      </c>
      <c r="X88" s="609">
        <v>356.60500000000002</v>
      </c>
      <c r="Y88" s="709">
        <f>IF(D88&lt;&gt;0,($C89*(1-$V$1))-$D88,0)</f>
        <v>-2170</v>
      </c>
      <c r="Z88" s="544">
        <f>$D88*($AE$1*$AD$1)</f>
        <v>402.62301369863013</v>
      </c>
      <c r="AA88" s="619"/>
      <c r="AB88" s="38"/>
    </row>
    <row r="89" spans="1:29" ht="12.75" customHeight="1">
      <c r="A89" s="426" t="s">
        <v>183</v>
      </c>
      <c r="B89" s="338">
        <v>3232</v>
      </c>
      <c r="C89" s="340">
        <v>40800</v>
      </c>
      <c r="D89" s="340">
        <v>40830</v>
      </c>
      <c r="E89" s="338">
        <v>15530</v>
      </c>
      <c r="F89" s="341">
        <v>40830</v>
      </c>
      <c r="G89" s="584">
        <v>5.0099999999999999E-2</v>
      </c>
      <c r="H89" s="332">
        <v>39790</v>
      </c>
      <c r="I89" s="323">
        <v>41000</v>
      </c>
      <c r="J89" s="323">
        <v>38200</v>
      </c>
      <c r="K89" s="396">
        <v>38880.31</v>
      </c>
      <c r="L89" s="330">
        <v>2716935585</v>
      </c>
      <c r="M89" s="327">
        <v>6810396</v>
      </c>
      <c r="N89" s="330">
        <v>1637</v>
      </c>
      <c r="O89" s="460">
        <v>45296.708391203705</v>
      </c>
      <c r="P89" s="473">
        <v>88</v>
      </c>
      <c r="Q89" s="402">
        <v>0</v>
      </c>
      <c r="R89" s="436">
        <v>0</v>
      </c>
      <c r="S89" s="440">
        <v>0</v>
      </c>
      <c r="T89" s="357">
        <v>0</v>
      </c>
      <c r="U89" s="422">
        <v>0</v>
      </c>
      <c r="V89" s="509">
        <v>0</v>
      </c>
      <c r="W89" s="513" t="str">
        <f t="shared" ref="W89:W135" si="18">IF(X89&gt;0,(F89*V89/100)-(V89*X89),"")</f>
        <v/>
      </c>
      <c r="X89" s="610">
        <v>0</v>
      </c>
      <c r="Y89" s="710"/>
      <c r="Z89" s="545">
        <v>0</v>
      </c>
      <c r="AA89" s="620"/>
      <c r="AB89" s="38"/>
    </row>
    <row r="90" spans="1:29" ht="12.75" customHeight="1">
      <c r="A90" s="348" t="s">
        <v>589</v>
      </c>
      <c r="B90" s="342"/>
      <c r="C90" s="343"/>
      <c r="D90" s="343"/>
      <c r="E90" s="342"/>
      <c r="F90" s="344"/>
      <c r="G90" s="585"/>
      <c r="H90" s="345"/>
      <c r="I90" s="324"/>
      <c r="J90" s="324"/>
      <c r="K90" s="400">
        <v>33</v>
      </c>
      <c r="L90" s="362"/>
      <c r="M90" s="328"/>
      <c r="N90" s="362"/>
      <c r="O90" s="462"/>
      <c r="P90" s="474">
        <v>89</v>
      </c>
      <c r="Q90" s="403">
        <v>0</v>
      </c>
      <c r="R90" s="437">
        <v>0</v>
      </c>
      <c r="S90" s="445">
        <v>0</v>
      </c>
      <c r="T90" s="356">
        <v>0</v>
      </c>
      <c r="U90" s="421">
        <v>0</v>
      </c>
      <c r="V90" s="511">
        <v>0</v>
      </c>
      <c r="W90" s="512" t="str">
        <f t="shared" si="18"/>
        <v/>
      </c>
      <c r="X90" s="611">
        <v>0</v>
      </c>
      <c r="Y90" s="705">
        <f>IF(D90&lt;&gt;0,($C91*(1-$V$1))-$D90,0)</f>
        <v>0</v>
      </c>
      <c r="Z90" s="536" t="str">
        <f>IFERROR(D88/C90,"")</f>
        <v/>
      </c>
      <c r="AA90" s="549" t="str">
        <f>IFERROR($AB$1/(D90/100)*(C88/100),"")</f>
        <v/>
      </c>
      <c r="AB90" s="38"/>
    </row>
    <row r="91" spans="1:29" ht="12.75" customHeight="1">
      <c r="A91" s="484" t="s">
        <v>230</v>
      </c>
      <c r="B91" s="337"/>
      <c r="C91" s="339"/>
      <c r="D91" s="339">
        <v>37.1</v>
      </c>
      <c r="E91" s="337">
        <v>30051</v>
      </c>
      <c r="F91" s="341"/>
      <c r="G91" s="584"/>
      <c r="H91" s="332"/>
      <c r="I91" s="323"/>
      <c r="J91" s="323"/>
      <c r="K91" s="396">
        <v>35.875</v>
      </c>
      <c r="L91" s="330"/>
      <c r="M91" s="327"/>
      <c r="N91" s="330"/>
      <c r="O91" s="460"/>
      <c r="P91" s="473">
        <v>90</v>
      </c>
      <c r="Q91" s="402">
        <v>0</v>
      </c>
      <c r="R91" s="436">
        <v>0</v>
      </c>
      <c r="S91" s="440">
        <v>0</v>
      </c>
      <c r="T91" s="357">
        <v>0</v>
      </c>
      <c r="U91" s="422">
        <v>0</v>
      </c>
      <c r="V91" s="510">
        <v>0</v>
      </c>
      <c r="W91" s="513" t="str">
        <f t="shared" si="18"/>
        <v/>
      </c>
      <c r="X91" s="610">
        <v>0</v>
      </c>
      <c r="Y91" s="706"/>
      <c r="Z91" s="535" t="str">
        <f>IFERROR(D89/C91,"")</f>
        <v/>
      </c>
      <c r="AA91" s="550">
        <f>IFERROR($AB$1/(D91/100)*(C89/100),"")</f>
        <v>578392.23719676561</v>
      </c>
      <c r="AB91" s="38"/>
    </row>
    <row r="92" spans="1:29" ht="12.75" customHeight="1">
      <c r="A92" s="348" t="s">
        <v>590</v>
      </c>
      <c r="B92" s="346">
        <v>10184</v>
      </c>
      <c r="C92" s="343">
        <v>39.401000000000003</v>
      </c>
      <c r="D92" s="343">
        <v>39.700000000000003</v>
      </c>
      <c r="E92" s="346">
        <v>248</v>
      </c>
      <c r="F92" s="344">
        <v>39.5</v>
      </c>
      <c r="G92" s="585">
        <v>-1.2500000000000001E-2</v>
      </c>
      <c r="H92" s="345">
        <v>39.409999999999997</v>
      </c>
      <c r="I92" s="324">
        <v>40.299999999999997</v>
      </c>
      <c r="J92" s="324">
        <v>38.799999999999997</v>
      </c>
      <c r="K92" s="400">
        <v>40</v>
      </c>
      <c r="L92" s="362">
        <v>271488</v>
      </c>
      <c r="M92" s="328">
        <v>683946</v>
      </c>
      <c r="N92" s="362">
        <v>347</v>
      </c>
      <c r="O92" s="462">
        <v>45296.687789351854</v>
      </c>
      <c r="P92" s="474">
        <v>91</v>
      </c>
      <c r="Q92" s="403">
        <v>0</v>
      </c>
      <c r="R92" s="437">
        <v>0</v>
      </c>
      <c r="S92" s="445">
        <v>0</v>
      </c>
      <c r="T92" s="356">
        <v>0</v>
      </c>
      <c r="U92" s="421">
        <v>0</v>
      </c>
      <c r="V92" s="505">
        <v>0</v>
      </c>
      <c r="W92" s="512">
        <f t="shared" si="18"/>
        <v>0</v>
      </c>
      <c r="X92" s="611">
        <v>39.340000000000003</v>
      </c>
      <c r="Y92" s="707">
        <f>IF(D92&lt;&gt;0,($C93*(1-$V$1))-$D92,0)</f>
        <v>-2.6700000000000017</v>
      </c>
      <c r="Z92" s="534">
        <f>IFERROR(D88/C92,"")</f>
        <v>1090.5814573234181</v>
      </c>
      <c r="AA92" s="549">
        <f>IFERROR($AB$1/(D92/100)*(C88/100),"")</f>
        <v>567008.36272040312</v>
      </c>
      <c r="AB92" s="38"/>
    </row>
    <row r="93" spans="1:29" ht="12.75" customHeight="1">
      <c r="A93" s="429" t="s">
        <v>231</v>
      </c>
      <c r="B93" s="389">
        <v>2960</v>
      </c>
      <c r="C93" s="390">
        <v>37.03</v>
      </c>
      <c r="D93" s="390">
        <v>37.22</v>
      </c>
      <c r="E93" s="389">
        <v>151</v>
      </c>
      <c r="F93" s="387">
        <v>37.25</v>
      </c>
      <c r="G93" s="586">
        <v>-2.6499999999999999E-2</v>
      </c>
      <c r="H93" s="378">
        <v>38.200000000000003</v>
      </c>
      <c r="I93" s="379">
        <v>38.200000000000003</v>
      </c>
      <c r="J93" s="379">
        <v>36.700000000000003</v>
      </c>
      <c r="K93" s="397">
        <v>38.265000000000001</v>
      </c>
      <c r="L93" s="384">
        <v>169289</v>
      </c>
      <c r="M93" s="380">
        <v>452374</v>
      </c>
      <c r="N93" s="384">
        <v>279</v>
      </c>
      <c r="O93" s="463">
        <v>45296.705763888887</v>
      </c>
      <c r="P93" s="473">
        <v>92</v>
      </c>
      <c r="Q93" s="404">
        <v>0</v>
      </c>
      <c r="R93" s="439">
        <v>0</v>
      </c>
      <c r="S93" s="446">
        <v>0</v>
      </c>
      <c r="T93" s="385">
        <v>0</v>
      </c>
      <c r="U93" s="422">
        <v>0</v>
      </c>
      <c r="V93" s="423">
        <v>0</v>
      </c>
      <c r="W93" s="514" t="str">
        <f t="shared" si="18"/>
        <v/>
      </c>
      <c r="X93" s="612">
        <v>0</v>
      </c>
      <c r="Y93" s="708"/>
      <c r="Z93" s="546">
        <f>IFERROR(D89/C93,"")</f>
        <v>1102.6194977045639</v>
      </c>
      <c r="AA93" s="551">
        <f>IFERROR($AB$1/(D93/100)*(C89/100),"")</f>
        <v>576527.45835572283</v>
      </c>
      <c r="AB93" s="38"/>
    </row>
    <row r="94" spans="1:29" ht="12.75" customHeight="1">
      <c r="A94" s="428" t="s">
        <v>582</v>
      </c>
      <c r="B94" s="365">
        <v>3</v>
      </c>
      <c r="C94" s="321">
        <v>41000</v>
      </c>
      <c r="D94" s="386">
        <v>41150</v>
      </c>
      <c r="E94" s="365">
        <v>9</v>
      </c>
      <c r="F94" s="449">
        <v>40895</v>
      </c>
      <c r="G94" s="581">
        <v>3.9599999999999996E-2</v>
      </c>
      <c r="H94" s="333">
        <v>40800</v>
      </c>
      <c r="I94" s="325">
        <v>41490</v>
      </c>
      <c r="J94" s="325">
        <v>38905</v>
      </c>
      <c r="K94" s="399">
        <v>39335</v>
      </c>
      <c r="L94" s="377">
        <v>68688588</v>
      </c>
      <c r="M94" s="329">
        <v>171030</v>
      </c>
      <c r="N94" s="377">
        <v>186</v>
      </c>
      <c r="O94" s="459">
        <v>45296.680763888886</v>
      </c>
      <c r="P94" s="474">
        <v>93</v>
      </c>
      <c r="Q94" s="405">
        <v>0</v>
      </c>
      <c r="R94" s="435">
        <v>0</v>
      </c>
      <c r="S94" s="443">
        <v>0</v>
      </c>
      <c r="T94" s="358">
        <v>0</v>
      </c>
      <c r="U94" s="421">
        <v>0</v>
      </c>
      <c r="V94" s="508">
        <v>0</v>
      </c>
      <c r="W94" s="512" t="str">
        <f t="shared" si="18"/>
        <v/>
      </c>
      <c r="X94" s="609">
        <v>0</v>
      </c>
      <c r="Y94" s="709">
        <f>IF(D94&lt;&gt;0,($C95*(1-$V$1))-$D94,0)</f>
        <v>-25</v>
      </c>
      <c r="Z94" s="544">
        <f>$D94*($AE$1*$AD$1)</f>
        <v>385.56986301369864</v>
      </c>
      <c r="AA94" s="619"/>
      <c r="AB94" s="38"/>
    </row>
    <row r="95" spans="1:29" ht="12.75" customHeight="1">
      <c r="A95" s="426" t="s">
        <v>186</v>
      </c>
      <c r="B95" s="338">
        <v>2129</v>
      </c>
      <c r="C95" s="340">
        <v>41125</v>
      </c>
      <c r="D95" s="340">
        <v>41150</v>
      </c>
      <c r="E95" s="338">
        <v>745</v>
      </c>
      <c r="F95" s="341">
        <v>41125</v>
      </c>
      <c r="G95" s="584">
        <v>4.9800000000000004E-2</v>
      </c>
      <c r="H95" s="332">
        <v>39710</v>
      </c>
      <c r="I95" s="323">
        <v>41500</v>
      </c>
      <c r="J95" s="323">
        <v>39105</v>
      </c>
      <c r="K95" s="396">
        <v>39172.720000000001</v>
      </c>
      <c r="L95" s="330">
        <v>362451094</v>
      </c>
      <c r="M95" s="327">
        <v>899361</v>
      </c>
      <c r="N95" s="330">
        <v>473</v>
      </c>
      <c r="O95" s="460">
        <v>45296.708553240744</v>
      </c>
      <c r="P95" s="473">
        <v>94</v>
      </c>
      <c r="Q95" s="402">
        <v>0</v>
      </c>
      <c r="R95" s="436">
        <v>0</v>
      </c>
      <c r="S95" s="440">
        <v>0</v>
      </c>
      <c r="T95" s="357">
        <v>0</v>
      </c>
      <c r="U95" s="422">
        <v>0</v>
      </c>
      <c r="V95" s="509">
        <v>0</v>
      </c>
      <c r="W95" s="513" t="str">
        <f t="shared" si="18"/>
        <v/>
      </c>
      <c r="X95" s="610">
        <v>0</v>
      </c>
      <c r="Y95" s="710"/>
      <c r="Z95" s="545"/>
      <c r="AA95" s="620"/>
      <c r="AB95" s="38"/>
    </row>
    <row r="96" spans="1:29" ht="12.75" customHeight="1">
      <c r="A96" s="348" t="s">
        <v>583</v>
      </c>
      <c r="B96" s="342"/>
      <c r="C96" s="343"/>
      <c r="D96" s="343"/>
      <c r="E96" s="342"/>
      <c r="F96" s="344"/>
      <c r="G96" s="585"/>
      <c r="H96" s="345"/>
      <c r="I96" s="324"/>
      <c r="J96" s="324"/>
      <c r="K96" s="400">
        <v>22.5</v>
      </c>
      <c r="L96" s="362"/>
      <c r="M96" s="328"/>
      <c r="N96" s="362"/>
      <c r="O96" s="462"/>
      <c r="P96" s="474">
        <v>95</v>
      </c>
      <c r="Q96" s="403">
        <v>0</v>
      </c>
      <c r="R96" s="437">
        <v>0</v>
      </c>
      <c r="S96" s="445">
        <v>0</v>
      </c>
      <c r="T96" s="356">
        <v>0</v>
      </c>
      <c r="U96" s="421">
        <v>0</v>
      </c>
      <c r="V96" s="511">
        <v>0</v>
      </c>
      <c r="W96" s="512" t="str">
        <f t="shared" si="18"/>
        <v/>
      </c>
      <c r="X96" s="611">
        <v>0</v>
      </c>
      <c r="Y96" s="705">
        <f>IF(D96&lt;&gt;0,($C97*(1-$V$1))-$D96,0)</f>
        <v>0</v>
      </c>
      <c r="Z96" s="536" t="str">
        <f>IFERROR(D94/C96,"")</f>
        <v/>
      </c>
      <c r="AA96" s="548" t="str">
        <f>IFERROR($AB$1/(D96/100)*(C94/100),"")</f>
        <v/>
      </c>
      <c r="AB96" s="38"/>
    </row>
    <row r="97" spans="1:28" ht="12.75" customHeight="1">
      <c r="A97" s="484" t="s">
        <v>238</v>
      </c>
      <c r="B97" s="337"/>
      <c r="C97" s="339"/>
      <c r="D97" s="339">
        <v>37.5</v>
      </c>
      <c r="E97" s="337">
        <v>1686</v>
      </c>
      <c r="F97" s="341"/>
      <c r="G97" s="584"/>
      <c r="H97" s="332"/>
      <c r="I97" s="323"/>
      <c r="J97" s="323"/>
      <c r="K97" s="396">
        <v>38</v>
      </c>
      <c r="L97" s="330"/>
      <c r="M97" s="327"/>
      <c r="N97" s="330"/>
      <c r="O97" s="460"/>
      <c r="P97" s="473">
        <v>96</v>
      </c>
      <c r="Q97" s="402">
        <v>0</v>
      </c>
      <c r="R97" s="436">
        <v>0</v>
      </c>
      <c r="S97" s="440">
        <v>0</v>
      </c>
      <c r="T97" s="357">
        <v>0</v>
      </c>
      <c r="U97" s="422">
        <v>0</v>
      </c>
      <c r="V97" s="510">
        <v>0</v>
      </c>
      <c r="W97" s="513" t="str">
        <f t="shared" si="18"/>
        <v/>
      </c>
      <c r="X97" s="610">
        <v>0</v>
      </c>
      <c r="Y97" s="706"/>
      <c r="Z97" s="535" t="str">
        <f>IFERROR(D95/C97,"")</f>
        <v/>
      </c>
      <c r="AA97" s="552">
        <f>IFERROR($AB$1/(D97/100)*(C95/100),"")</f>
        <v>576780.86666666681</v>
      </c>
      <c r="AB97" s="38"/>
    </row>
    <row r="98" spans="1:28" ht="12.75" customHeight="1">
      <c r="A98" s="348" t="s">
        <v>584</v>
      </c>
      <c r="B98" s="346">
        <v>600</v>
      </c>
      <c r="C98" s="343">
        <v>37.549999999999997</v>
      </c>
      <c r="D98" s="343">
        <v>38.448999999999998</v>
      </c>
      <c r="E98" s="346">
        <v>1000</v>
      </c>
      <c r="F98" s="344">
        <v>38.200000000000003</v>
      </c>
      <c r="G98" s="585">
        <v>-7.7000000000000002E-3</v>
      </c>
      <c r="H98" s="345">
        <v>37.853999999999999</v>
      </c>
      <c r="I98" s="324">
        <v>38.893000000000001</v>
      </c>
      <c r="J98" s="324">
        <v>36.043999999999997</v>
      </c>
      <c r="K98" s="400">
        <v>38.5</v>
      </c>
      <c r="L98" s="362">
        <v>17929</v>
      </c>
      <c r="M98" s="328">
        <v>47982</v>
      </c>
      <c r="N98" s="362">
        <v>100</v>
      </c>
      <c r="O98" s="462">
        <v>45296.679756944446</v>
      </c>
      <c r="P98" s="474">
        <v>97</v>
      </c>
      <c r="Q98" s="403">
        <v>0</v>
      </c>
      <c r="R98" s="437">
        <v>0</v>
      </c>
      <c r="S98" s="445">
        <v>0</v>
      </c>
      <c r="T98" s="356">
        <v>0</v>
      </c>
      <c r="U98" s="421">
        <v>0</v>
      </c>
      <c r="V98" s="505">
        <v>0</v>
      </c>
      <c r="W98" s="512" t="str">
        <f t="shared" si="18"/>
        <v/>
      </c>
      <c r="X98" s="611">
        <v>0</v>
      </c>
      <c r="Y98" s="707">
        <f>IF(D98&lt;&gt;0,($C99*(1-$V$1))-$D98,0)</f>
        <v>-1.2389999999999972</v>
      </c>
      <c r="Z98" s="534">
        <f>IFERROR(D94/C98,"")</f>
        <v>1095.8721704394143</v>
      </c>
      <c r="AA98" s="548">
        <f>IFERROR($AB$1/(D98/100)*(C94/100),"")</f>
        <v>560834.87216832698</v>
      </c>
      <c r="AB98" s="38"/>
    </row>
    <row r="99" spans="1:28" ht="12.75" customHeight="1">
      <c r="A99" s="429" t="s">
        <v>239</v>
      </c>
      <c r="B99" s="389">
        <v>305</v>
      </c>
      <c r="C99" s="390">
        <v>37.21</v>
      </c>
      <c r="D99" s="390">
        <v>37.590000000000003</v>
      </c>
      <c r="E99" s="389">
        <v>300</v>
      </c>
      <c r="F99" s="387">
        <v>37.69</v>
      </c>
      <c r="G99" s="586">
        <v>1.2999999999999999E-3</v>
      </c>
      <c r="H99" s="378">
        <v>38.1</v>
      </c>
      <c r="I99" s="379">
        <v>38.1</v>
      </c>
      <c r="J99" s="379">
        <v>36.9</v>
      </c>
      <c r="K99" s="397">
        <v>37.64</v>
      </c>
      <c r="L99" s="384">
        <v>44007</v>
      </c>
      <c r="M99" s="380">
        <v>117193</v>
      </c>
      <c r="N99" s="384">
        <v>189</v>
      </c>
      <c r="O99" s="463">
        <v>45296.705231481479</v>
      </c>
      <c r="P99" s="473">
        <v>98</v>
      </c>
      <c r="Q99" s="404">
        <v>0</v>
      </c>
      <c r="R99" s="439">
        <v>0</v>
      </c>
      <c r="S99" s="446">
        <v>0</v>
      </c>
      <c r="T99" s="385">
        <v>0</v>
      </c>
      <c r="U99" s="422">
        <v>0</v>
      </c>
      <c r="V99" s="423">
        <v>0</v>
      </c>
      <c r="W99" s="514" t="str">
        <f t="shared" si="18"/>
        <v/>
      </c>
      <c r="X99" s="612">
        <v>0</v>
      </c>
      <c r="Y99" s="708"/>
      <c r="Z99" s="546">
        <f>IFERROR(D95/C99,"")</f>
        <v>1105.8855146466003</v>
      </c>
      <c r="AA99" s="553">
        <f>IFERROR($AB$1/(D99/100)*(C95/100),"")</f>
        <v>575399.90689013037</v>
      </c>
      <c r="AB99" s="38"/>
    </row>
    <row r="100" spans="1:28" ht="12.75" customHeight="1">
      <c r="A100" s="428" t="s">
        <v>585</v>
      </c>
      <c r="B100" s="365">
        <v>748</v>
      </c>
      <c r="C100" s="321">
        <v>37010</v>
      </c>
      <c r="D100" s="386">
        <v>37800</v>
      </c>
      <c r="E100" s="365">
        <v>13212</v>
      </c>
      <c r="F100" s="449">
        <v>37010</v>
      </c>
      <c r="G100" s="581">
        <v>2.4E-2</v>
      </c>
      <c r="H100" s="333">
        <v>36950</v>
      </c>
      <c r="I100" s="325">
        <v>38000</v>
      </c>
      <c r="J100" s="325">
        <v>35105</v>
      </c>
      <c r="K100" s="399">
        <v>36140</v>
      </c>
      <c r="L100" s="377">
        <v>300112715</v>
      </c>
      <c r="M100" s="329">
        <v>821943</v>
      </c>
      <c r="N100" s="377">
        <v>465</v>
      </c>
      <c r="O100" s="459">
        <v>45296.687731481485</v>
      </c>
      <c r="P100" s="474">
        <v>99</v>
      </c>
      <c r="Q100" s="405">
        <v>0</v>
      </c>
      <c r="R100" s="435">
        <v>0</v>
      </c>
      <c r="S100" s="443">
        <v>0</v>
      </c>
      <c r="T100" s="358">
        <v>0</v>
      </c>
      <c r="U100" s="421">
        <v>0</v>
      </c>
      <c r="V100" s="508">
        <v>0</v>
      </c>
      <c r="W100" s="512" t="str">
        <f t="shared" si="18"/>
        <v/>
      </c>
      <c r="X100" s="609">
        <v>0</v>
      </c>
      <c r="Y100" s="709">
        <f>IF(D100&lt;&gt;0,($C101*(1-$V$1))-$D100,0)</f>
        <v>-1600</v>
      </c>
      <c r="Z100" s="544">
        <f>$D100*($AE$1*$AD$1)</f>
        <v>354.1808219178082</v>
      </c>
      <c r="AA100" s="619"/>
      <c r="AB100" s="38"/>
    </row>
    <row r="101" spans="1:28" ht="12.75" customHeight="1">
      <c r="A101" s="426" t="s">
        <v>184</v>
      </c>
      <c r="B101" s="338">
        <v>346</v>
      </c>
      <c r="C101" s="340">
        <v>36200</v>
      </c>
      <c r="D101" s="340">
        <v>36300</v>
      </c>
      <c r="E101" s="338">
        <v>100000</v>
      </c>
      <c r="F101" s="341">
        <v>36200</v>
      </c>
      <c r="G101" s="584">
        <v>5.8200000000000002E-2</v>
      </c>
      <c r="H101" s="332">
        <v>34610</v>
      </c>
      <c r="I101" s="323">
        <v>36800</v>
      </c>
      <c r="J101" s="323">
        <v>34200</v>
      </c>
      <c r="K101" s="396">
        <v>34206.735000000001</v>
      </c>
      <c r="L101" s="330">
        <v>1244775581</v>
      </c>
      <c r="M101" s="327">
        <v>3533281</v>
      </c>
      <c r="N101" s="330">
        <v>888</v>
      </c>
      <c r="O101" s="460">
        <v>45296.708564814813</v>
      </c>
      <c r="P101" s="473">
        <v>100</v>
      </c>
      <c r="Q101" s="402">
        <v>0</v>
      </c>
      <c r="R101" s="436">
        <v>0</v>
      </c>
      <c r="S101" s="440">
        <v>0</v>
      </c>
      <c r="T101" s="357">
        <v>0</v>
      </c>
      <c r="U101" s="422">
        <v>0</v>
      </c>
      <c r="V101" s="509">
        <v>0</v>
      </c>
      <c r="W101" s="513" t="str">
        <f t="shared" si="18"/>
        <v/>
      </c>
      <c r="X101" s="610">
        <v>0</v>
      </c>
      <c r="Y101" s="710"/>
      <c r="Z101" s="545"/>
      <c r="AA101" s="620"/>
      <c r="AB101" s="38"/>
    </row>
    <row r="102" spans="1:28" ht="12.75" customHeight="1">
      <c r="A102" s="348" t="s">
        <v>586</v>
      </c>
      <c r="B102" s="342"/>
      <c r="C102" s="343"/>
      <c r="D102" s="343"/>
      <c r="E102" s="342"/>
      <c r="F102" s="344"/>
      <c r="G102" s="585"/>
      <c r="H102" s="345"/>
      <c r="I102" s="324"/>
      <c r="J102" s="324"/>
      <c r="K102" s="400">
        <v>28.25</v>
      </c>
      <c r="L102" s="362"/>
      <c r="M102" s="328"/>
      <c r="N102" s="362"/>
      <c r="O102" s="462"/>
      <c r="P102" s="474">
        <v>101</v>
      </c>
      <c r="Q102" s="403">
        <v>0</v>
      </c>
      <c r="R102" s="437">
        <v>0</v>
      </c>
      <c r="S102" s="445">
        <v>0</v>
      </c>
      <c r="T102" s="356">
        <v>0</v>
      </c>
      <c r="U102" s="421">
        <v>0</v>
      </c>
      <c r="V102" s="511">
        <v>0</v>
      </c>
      <c r="W102" s="512" t="str">
        <f t="shared" si="18"/>
        <v/>
      </c>
      <c r="X102" s="611">
        <v>0</v>
      </c>
      <c r="Y102" s="705">
        <f>IF(D102&lt;&gt;0,($C103*(1-$V$1))-$D102,0)</f>
        <v>0</v>
      </c>
      <c r="Z102" s="536" t="str">
        <f>IFERROR(D100/C102,"")</f>
        <v/>
      </c>
      <c r="AA102" s="548" t="str">
        <f>IFERROR($AB$1/(D102/100)*(C100/100),"")</f>
        <v/>
      </c>
      <c r="AB102" s="38"/>
    </row>
    <row r="103" spans="1:28" ht="12.75" customHeight="1">
      <c r="A103" s="484" t="s">
        <v>240</v>
      </c>
      <c r="B103" s="337"/>
      <c r="C103" s="339"/>
      <c r="D103" s="339"/>
      <c r="E103" s="337"/>
      <c r="F103" s="341"/>
      <c r="G103" s="584"/>
      <c r="H103" s="332"/>
      <c r="I103" s="323"/>
      <c r="J103" s="323"/>
      <c r="K103" s="396">
        <v>32.188000000000002</v>
      </c>
      <c r="L103" s="330"/>
      <c r="M103" s="327"/>
      <c r="N103" s="330"/>
      <c r="O103" s="460"/>
      <c r="P103" s="473">
        <v>102</v>
      </c>
      <c r="Q103" s="402">
        <v>0</v>
      </c>
      <c r="R103" s="436">
        <v>0</v>
      </c>
      <c r="S103" s="440">
        <v>0</v>
      </c>
      <c r="T103" s="357">
        <v>0</v>
      </c>
      <c r="U103" s="422">
        <v>0</v>
      </c>
      <c r="V103" s="510">
        <v>0</v>
      </c>
      <c r="W103" s="513" t="str">
        <f t="shared" si="18"/>
        <v/>
      </c>
      <c r="X103" s="610">
        <v>0</v>
      </c>
      <c r="Y103" s="706"/>
      <c r="Z103" s="535" t="str">
        <f>IFERROR(D101/C103,"")</f>
        <v/>
      </c>
      <c r="AA103" s="552" t="str">
        <f>IFERROR($AB$1/(D103/100)*(C101/100),"")</f>
        <v/>
      </c>
      <c r="AB103" s="38"/>
    </row>
    <row r="104" spans="1:28" ht="12.75" customHeight="1">
      <c r="A104" s="348" t="s">
        <v>587</v>
      </c>
      <c r="B104" s="346">
        <v>10000</v>
      </c>
      <c r="C104" s="343">
        <v>35</v>
      </c>
      <c r="D104" s="343">
        <v>35.049999999999997</v>
      </c>
      <c r="E104" s="346">
        <v>21506</v>
      </c>
      <c r="F104" s="344">
        <v>35.049999999999997</v>
      </c>
      <c r="G104" s="585">
        <v>-1.2800000000000001E-2</v>
      </c>
      <c r="H104" s="345">
        <v>35.01</v>
      </c>
      <c r="I104" s="324">
        <v>35.200000000000003</v>
      </c>
      <c r="J104" s="324">
        <v>33.301000000000002</v>
      </c>
      <c r="K104" s="400">
        <v>35.505000000000003</v>
      </c>
      <c r="L104" s="362">
        <v>94421</v>
      </c>
      <c r="M104" s="328">
        <v>271689</v>
      </c>
      <c r="N104" s="362">
        <v>236</v>
      </c>
      <c r="O104" s="462">
        <v>45296.687627314815</v>
      </c>
      <c r="P104" s="474">
        <v>103</v>
      </c>
      <c r="Q104" s="403">
        <v>0</v>
      </c>
      <c r="R104" s="437">
        <v>0</v>
      </c>
      <c r="S104" s="445">
        <v>0</v>
      </c>
      <c r="T104" s="356">
        <v>0</v>
      </c>
      <c r="U104" s="421">
        <v>0</v>
      </c>
      <c r="V104" s="505">
        <v>0</v>
      </c>
      <c r="W104" s="512" t="str">
        <f t="shared" si="18"/>
        <v/>
      </c>
      <c r="X104" s="611">
        <v>0</v>
      </c>
      <c r="Y104" s="707">
        <f>IF(D104&lt;&gt;0,($C105*(1-$V$1))-$D104,0)</f>
        <v>-1.9499999999999957</v>
      </c>
      <c r="Z104" s="534">
        <f>IFERROR(D100/C104,"")</f>
        <v>1080</v>
      </c>
      <c r="AA104" s="548">
        <f>IFERROR($AB$1/(D104/100)*(C100/100),"")</f>
        <v>555350.62482168339</v>
      </c>
      <c r="AB104" s="38"/>
    </row>
    <row r="105" spans="1:28" ht="12.75" customHeight="1">
      <c r="A105" s="429" t="s">
        <v>241</v>
      </c>
      <c r="B105" s="389">
        <v>28477</v>
      </c>
      <c r="C105" s="390">
        <v>33.1</v>
      </c>
      <c r="D105" s="390">
        <v>33.299999999999997</v>
      </c>
      <c r="E105" s="389">
        <v>2600</v>
      </c>
      <c r="F105" s="387">
        <v>33.1</v>
      </c>
      <c r="G105" s="586">
        <v>-2.3199999999999998E-2</v>
      </c>
      <c r="H105" s="378">
        <v>33.1</v>
      </c>
      <c r="I105" s="379">
        <v>33.86</v>
      </c>
      <c r="J105" s="379">
        <v>32.700000000000003</v>
      </c>
      <c r="K105" s="397">
        <v>33.887999999999998</v>
      </c>
      <c r="L105" s="384">
        <v>107447</v>
      </c>
      <c r="M105" s="380">
        <v>323401</v>
      </c>
      <c r="N105" s="384">
        <v>226</v>
      </c>
      <c r="O105" s="463">
        <v>45296.708483796298</v>
      </c>
      <c r="P105" s="473">
        <v>104</v>
      </c>
      <c r="Q105" s="404">
        <v>0</v>
      </c>
      <c r="R105" s="439">
        <v>0</v>
      </c>
      <c r="S105" s="446">
        <v>0</v>
      </c>
      <c r="T105" s="385">
        <v>0</v>
      </c>
      <c r="U105" s="422">
        <v>0</v>
      </c>
      <c r="V105" s="423">
        <v>0</v>
      </c>
      <c r="W105" s="514" t="str">
        <f t="shared" si="18"/>
        <v/>
      </c>
      <c r="X105" s="612">
        <v>0</v>
      </c>
      <c r="Y105" s="708"/>
      <c r="Z105" s="546">
        <f>IFERROR(D101/C105,"")</f>
        <v>1096.6767371601209</v>
      </c>
      <c r="AA105" s="553">
        <f>IFERROR($AB$1/(D105/100)*(C101/100),"")</f>
        <v>571742.58258258272</v>
      </c>
      <c r="AB105" s="38"/>
    </row>
    <row r="106" spans="1:28" ht="12.75" customHeight="1">
      <c r="A106" s="428" t="s">
        <v>591</v>
      </c>
      <c r="B106" s="365">
        <v>94</v>
      </c>
      <c r="C106" s="321">
        <v>37510</v>
      </c>
      <c r="D106" s="386">
        <v>37900</v>
      </c>
      <c r="E106" s="365">
        <v>936</v>
      </c>
      <c r="F106" s="449">
        <v>37900</v>
      </c>
      <c r="G106" s="581">
        <v>1.9699999999999999E-2</v>
      </c>
      <c r="H106" s="333">
        <v>37400</v>
      </c>
      <c r="I106" s="325">
        <v>39000</v>
      </c>
      <c r="J106" s="325">
        <v>36300</v>
      </c>
      <c r="K106" s="399">
        <v>37165</v>
      </c>
      <c r="L106" s="377">
        <v>26966993</v>
      </c>
      <c r="M106" s="329">
        <v>72131</v>
      </c>
      <c r="N106" s="377">
        <v>92</v>
      </c>
      <c r="O106" s="459">
        <v>45296.679143518515</v>
      </c>
      <c r="P106" s="474">
        <v>105</v>
      </c>
      <c r="Q106" s="405">
        <v>0</v>
      </c>
      <c r="R106" s="435">
        <v>0</v>
      </c>
      <c r="S106" s="443">
        <v>0</v>
      </c>
      <c r="T106" s="358">
        <v>0</v>
      </c>
      <c r="U106" s="421">
        <v>0</v>
      </c>
      <c r="V106" s="508">
        <v>0</v>
      </c>
      <c r="W106" s="512" t="str">
        <f t="shared" si="18"/>
        <v/>
      </c>
      <c r="X106" s="609">
        <v>0</v>
      </c>
      <c r="Y106" s="709">
        <f>IF(D106&lt;&gt;0,($C107*(1-$V$1))-$D106,0)</f>
        <v>-1095</v>
      </c>
      <c r="Z106" s="544">
        <f>$D106*($AE$1*$AD$1)</f>
        <v>355.11780821917807</v>
      </c>
      <c r="AA106" s="619"/>
      <c r="AB106" s="38"/>
    </row>
    <row r="107" spans="1:28" ht="12.75" customHeight="1">
      <c r="A107" s="426" t="s">
        <v>185</v>
      </c>
      <c r="B107" s="338">
        <v>334</v>
      </c>
      <c r="C107" s="340">
        <v>36805</v>
      </c>
      <c r="D107" s="340">
        <v>36990</v>
      </c>
      <c r="E107" s="338">
        <v>4848</v>
      </c>
      <c r="F107" s="341">
        <v>36990</v>
      </c>
      <c r="G107" s="584">
        <v>3.9800000000000002E-2</v>
      </c>
      <c r="H107" s="332">
        <v>36465</v>
      </c>
      <c r="I107" s="323">
        <v>36990</v>
      </c>
      <c r="J107" s="323">
        <v>34800</v>
      </c>
      <c r="K107" s="396">
        <v>35572.019999999997</v>
      </c>
      <c r="L107" s="330">
        <v>91361496</v>
      </c>
      <c r="M107" s="327">
        <v>251672</v>
      </c>
      <c r="N107" s="330">
        <v>323</v>
      </c>
      <c r="O107" s="460">
        <v>45296.708425925928</v>
      </c>
      <c r="P107" s="473">
        <v>106</v>
      </c>
      <c r="Q107" s="402">
        <v>0</v>
      </c>
      <c r="R107" s="436">
        <v>0</v>
      </c>
      <c r="S107" s="440">
        <v>0</v>
      </c>
      <c r="T107" s="357">
        <v>0</v>
      </c>
      <c r="U107" s="422">
        <v>0</v>
      </c>
      <c r="V107" s="509">
        <v>0</v>
      </c>
      <c r="W107" s="513" t="str">
        <f t="shared" si="18"/>
        <v/>
      </c>
      <c r="X107" s="610">
        <v>0</v>
      </c>
      <c r="Y107" s="710"/>
      <c r="Z107" s="545"/>
      <c r="AA107" s="620"/>
      <c r="AB107" s="38"/>
    </row>
    <row r="108" spans="1:28" ht="12.75" customHeight="1">
      <c r="A108" s="348" t="s">
        <v>592</v>
      </c>
      <c r="B108" s="342"/>
      <c r="C108" s="343"/>
      <c r="D108" s="343"/>
      <c r="E108" s="342"/>
      <c r="F108" s="344"/>
      <c r="G108" s="585"/>
      <c r="H108" s="345"/>
      <c r="I108" s="324"/>
      <c r="J108" s="324"/>
      <c r="K108" s="400">
        <v>24.97</v>
      </c>
      <c r="L108" s="362"/>
      <c r="M108" s="328"/>
      <c r="N108" s="362"/>
      <c r="O108" s="462"/>
      <c r="P108" s="474">
        <v>107</v>
      </c>
      <c r="Q108" s="403">
        <v>0</v>
      </c>
      <c r="R108" s="437">
        <v>0</v>
      </c>
      <c r="S108" s="445">
        <v>0</v>
      </c>
      <c r="T108" s="356">
        <v>0</v>
      </c>
      <c r="U108" s="421">
        <v>0</v>
      </c>
      <c r="V108" s="511">
        <v>0</v>
      </c>
      <c r="W108" s="512" t="str">
        <f t="shared" si="18"/>
        <v/>
      </c>
      <c r="X108" s="611">
        <v>0</v>
      </c>
      <c r="Y108" s="705">
        <f>IF(D108&lt;&gt;0,($C109*(1-$V$1))-$D108,0)</f>
        <v>0</v>
      </c>
      <c r="Z108" s="536" t="str">
        <f>IFERROR(D106/C108,"")</f>
        <v/>
      </c>
      <c r="AA108" s="548" t="str">
        <f>IFERROR($AB$1/(D108/100)*(C106/100),"")</f>
        <v/>
      </c>
      <c r="AB108" s="38"/>
    </row>
    <row r="109" spans="1:28" ht="12.75" customHeight="1">
      <c r="A109" s="484" t="s">
        <v>242</v>
      </c>
      <c r="B109" s="337"/>
      <c r="C109" s="339"/>
      <c r="D109" s="339"/>
      <c r="E109" s="337"/>
      <c r="F109" s="341"/>
      <c r="G109" s="584"/>
      <c r="H109" s="332"/>
      <c r="I109" s="323"/>
      <c r="J109" s="323"/>
      <c r="K109" s="396">
        <v>26</v>
      </c>
      <c r="L109" s="330"/>
      <c r="M109" s="327"/>
      <c r="N109" s="330"/>
      <c r="O109" s="460"/>
      <c r="P109" s="473">
        <v>108</v>
      </c>
      <c r="Q109" s="402">
        <v>0</v>
      </c>
      <c r="R109" s="436">
        <v>0</v>
      </c>
      <c r="S109" s="440">
        <v>0</v>
      </c>
      <c r="T109" s="357">
        <v>0</v>
      </c>
      <c r="U109" s="422">
        <v>0</v>
      </c>
      <c r="V109" s="510">
        <v>0</v>
      </c>
      <c r="W109" s="513" t="str">
        <f t="shared" si="18"/>
        <v/>
      </c>
      <c r="X109" s="610">
        <v>0</v>
      </c>
      <c r="Y109" s="706"/>
      <c r="Z109" s="535" t="str">
        <f>IFERROR(D107/C109,"")</f>
        <v/>
      </c>
      <c r="AA109" s="552" t="str">
        <f>IFERROR($AB$1/(D109/100)*(C107/100),"")</f>
        <v/>
      </c>
      <c r="AB109" s="38"/>
    </row>
    <row r="110" spans="1:28" ht="12.75" customHeight="1">
      <c r="A110" s="348" t="s">
        <v>593</v>
      </c>
      <c r="B110" s="346">
        <v>100</v>
      </c>
      <c r="C110" s="343">
        <v>35</v>
      </c>
      <c r="D110" s="343">
        <v>36</v>
      </c>
      <c r="E110" s="346">
        <v>20103</v>
      </c>
      <c r="F110" s="344">
        <v>34</v>
      </c>
      <c r="G110" s="585">
        <v>-3.7000000000000005E-2</v>
      </c>
      <c r="H110" s="345">
        <v>35.630000000000003</v>
      </c>
      <c r="I110" s="324">
        <v>35.630000000000003</v>
      </c>
      <c r="J110" s="324">
        <v>34</v>
      </c>
      <c r="K110" s="400">
        <v>35.31</v>
      </c>
      <c r="L110" s="362">
        <v>4141</v>
      </c>
      <c r="M110" s="328">
        <v>11831</v>
      </c>
      <c r="N110" s="362">
        <v>17</v>
      </c>
      <c r="O110" s="462">
        <v>45296.589571759258</v>
      </c>
      <c r="P110" s="474">
        <v>109</v>
      </c>
      <c r="Q110" s="403">
        <v>0</v>
      </c>
      <c r="R110" s="437">
        <v>0</v>
      </c>
      <c r="S110" s="445">
        <v>0</v>
      </c>
      <c r="T110" s="356">
        <v>0</v>
      </c>
      <c r="U110" s="421">
        <v>0</v>
      </c>
      <c r="V110" s="505">
        <v>0</v>
      </c>
      <c r="W110" s="512" t="str">
        <f t="shared" si="18"/>
        <v/>
      </c>
      <c r="X110" s="611">
        <v>0</v>
      </c>
      <c r="Y110" s="707">
        <f>IF(D110&lt;&gt;0,($C111*(1-$V$1))-$D110,0)</f>
        <v>-1.2999999999999972</v>
      </c>
      <c r="Z110" s="534">
        <f>IFERROR(D106/C110,"")</f>
        <v>1082.8571428571429</v>
      </c>
      <c r="AA110" s="548">
        <f>IFERROR($AB$1/(D110/100)*(C106/100),"")</f>
        <v>548000.26111111115</v>
      </c>
      <c r="AB110" s="38"/>
    </row>
    <row r="111" spans="1:28" ht="12.75" customHeight="1">
      <c r="A111" s="429" t="s">
        <v>243</v>
      </c>
      <c r="B111" s="389">
        <v>872</v>
      </c>
      <c r="C111" s="390">
        <v>34.700000000000003</v>
      </c>
      <c r="D111" s="390">
        <v>34.9</v>
      </c>
      <c r="E111" s="389">
        <v>2000</v>
      </c>
      <c r="F111" s="387">
        <v>34.700000000000003</v>
      </c>
      <c r="G111" s="586">
        <v>5.6999999999999993E-3</v>
      </c>
      <c r="H111" s="378">
        <v>34.5</v>
      </c>
      <c r="I111" s="379">
        <v>34.99</v>
      </c>
      <c r="J111" s="379">
        <v>33</v>
      </c>
      <c r="K111" s="397">
        <v>34.502000000000002</v>
      </c>
      <c r="L111" s="384">
        <v>53411</v>
      </c>
      <c r="M111" s="380">
        <v>160960</v>
      </c>
      <c r="N111" s="384">
        <v>64</v>
      </c>
      <c r="O111" s="464">
        <v>45296.708356481482</v>
      </c>
      <c r="P111" s="473">
        <v>110</v>
      </c>
      <c r="Q111" s="404">
        <v>0</v>
      </c>
      <c r="R111" s="439">
        <v>0</v>
      </c>
      <c r="S111" s="446">
        <v>0</v>
      </c>
      <c r="T111" s="385">
        <v>0</v>
      </c>
      <c r="U111" s="422">
        <v>0</v>
      </c>
      <c r="V111" s="423">
        <v>0</v>
      </c>
      <c r="W111" s="514" t="str">
        <f t="shared" si="18"/>
        <v/>
      </c>
      <c r="X111" s="612">
        <v>0</v>
      </c>
      <c r="Y111" s="708"/>
      <c r="Z111" s="546">
        <f>IFERROR(D107/C111,"")</f>
        <v>1065.9942363112391</v>
      </c>
      <c r="AA111" s="553">
        <f>IFERROR($AB$1/(D111/100)*(C107/100),"")</f>
        <v>554648.18624641839</v>
      </c>
      <c r="AB111" s="38"/>
    </row>
    <row r="112" spans="1:28" ht="12.75" customHeight="1">
      <c r="A112" s="428" t="s">
        <v>594</v>
      </c>
      <c r="B112" s="365">
        <v>234</v>
      </c>
      <c r="C112" s="321">
        <v>42770</v>
      </c>
      <c r="D112" s="386">
        <v>43980</v>
      </c>
      <c r="E112" s="365">
        <v>25</v>
      </c>
      <c r="F112" s="449">
        <v>42740</v>
      </c>
      <c r="G112" s="581">
        <v>1.2699999999999999E-2</v>
      </c>
      <c r="H112" s="333">
        <v>42390</v>
      </c>
      <c r="I112" s="325">
        <v>44000</v>
      </c>
      <c r="J112" s="325">
        <v>41200</v>
      </c>
      <c r="K112" s="399">
        <v>42200</v>
      </c>
      <c r="L112" s="377">
        <v>16462833</v>
      </c>
      <c r="M112" s="329">
        <v>38488</v>
      </c>
      <c r="N112" s="407">
        <v>70</v>
      </c>
      <c r="O112" s="465">
        <v>45296.677141203705</v>
      </c>
      <c r="P112" s="474">
        <v>111</v>
      </c>
      <c r="Q112" s="405">
        <v>0</v>
      </c>
      <c r="R112" s="435">
        <v>0</v>
      </c>
      <c r="S112" s="443">
        <v>0</v>
      </c>
      <c r="T112" s="358">
        <v>0</v>
      </c>
      <c r="U112" s="421">
        <v>0</v>
      </c>
      <c r="V112" s="508">
        <v>0</v>
      </c>
      <c r="W112" s="512" t="str">
        <f t="shared" si="18"/>
        <v/>
      </c>
      <c r="X112" s="609">
        <v>0</v>
      </c>
      <c r="Y112" s="709">
        <f>IF(D112&lt;&gt;0,($C113*(1-$V$1))-$D112,0)</f>
        <v>-710</v>
      </c>
      <c r="Z112" s="544">
        <f>$D112*($AE$1*$AD$1)</f>
        <v>412.08657534246572</v>
      </c>
      <c r="AA112" s="619"/>
      <c r="AB112" s="38"/>
    </row>
    <row r="113" spans="1:28" ht="12.75" customHeight="1">
      <c r="A113" s="426" t="s">
        <v>187</v>
      </c>
      <c r="B113" s="338">
        <v>1151</v>
      </c>
      <c r="C113" s="340">
        <v>43270</v>
      </c>
      <c r="D113" s="340">
        <v>44600</v>
      </c>
      <c r="E113" s="338">
        <v>1346</v>
      </c>
      <c r="F113" s="341">
        <v>44600</v>
      </c>
      <c r="G113" s="584">
        <v>6.4199999999999993E-2</v>
      </c>
      <c r="H113" s="332">
        <v>42500</v>
      </c>
      <c r="I113" s="323">
        <v>44600</v>
      </c>
      <c r="J113" s="323">
        <v>42390</v>
      </c>
      <c r="K113" s="396">
        <v>41908.550000000003</v>
      </c>
      <c r="L113" s="330">
        <v>44833397</v>
      </c>
      <c r="M113" s="327">
        <v>104037</v>
      </c>
      <c r="N113" s="330">
        <v>195</v>
      </c>
      <c r="O113" s="460">
        <v>45296.708391203705</v>
      </c>
      <c r="P113" s="473">
        <v>112</v>
      </c>
      <c r="Q113" s="402">
        <v>0</v>
      </c>
      <c r="R113" s="436">
        <v>0</v>
      </c>
      <c r="S113" s="440">
        <v>0</v>
      </c>
      <c r="T113" s="357">
        <v>0</v>
      </c>
      <c r="U113" s="422">
        <v>0</v>
      </c>
      <c r="V113" s="509">
        <v>0</v>
      </c>
      <c r="W113" s="513" t="str">
        <f t="shared" si="18"/>
        <v/>
      </c>
      <c r="X113" s="610">
        <v>0</v>
      </c>
      <c r="Y113" s="710"/>
      <c r="Z113" s="545"/>
      <c r="AA113" s="620"/>
      <c r="AB113" s="38"/>
    </row>
    <row r="114" spans="1:28" ht="12.75" customHeight="1">
      <c r="A114" s="348" t="s">
        <v>595</v>
      </c>
      <c r="B114" s="342"/>
      <c r="C114" s="343"/>
      <c r="D114" s="343"/>
      <c r="E114" s="342"/>
      <c r="F114" s="344"/>
      <c r="G114" s="585"/>
      <c r="H114" s="345"/>
      <c r="I114" s="324"/>
      <c r="J114" s="324"/>
      <c r="K114" s="400">
        <v>23.8</v>
      </c>
      <c r="L114" s="362"/>
      <c r="M114" s="328"/>
      <c r="N114" s="362"/>
      <c r="O114" s="462"/>
      <c r="P114" s="474">
        <v>113</v>
      </c>
      <c r="Q114" s="403">
        <v>0</v>
      </c>
      <c r="R114" s="437">
        <v>0</v>
      </c>
      <c r="S114" s="445">
        <v>0</v>
      </c>
      <c r="T114" s="356">
        <v>0</v>
      </c>
      <c r="U114" s="421">
        <v>0</v>
      </c>
      <c r="V114" s="511">
        <v>0</v>
      </c>
      <c r="W114" s="512" t="str">
        <f t="shared" si="18"/>
        <v/>
      </c>
      <c r="X114" s="611">
        <v>0</v>
      </c>
      <c r="Y114" s="705">
        <f>IF(D114&lt;&gt;0,($C115*(1-$V$1))-$D114,0)</f>
        <v>0</v>
      </c>
      <c r="Z114" s="536" t="str">
        <f>IFERROR(D112/C114,"")</f>
        <v/>
      </c>
      <c r="AA114" s="548" t="str">
        <f>IFERROR($AB$1/(D114/100)*(C112/100),"")</f>
        <v/>
      </c>
      <c r="AB114" s="38"/>
    </row>
    <row r="115" spans="1:28" ht="12.75" customHeight="1">
      <c r="A115" s="484" t="s">
        <v>232</v>
      </c>
      <c r="B115" s="337"/>
      <c r="C115" s="339"/>
      <c r="D115" s="339"/>
      <c r="E115" s="337"/>
      <c r="F115" s="341"/>
      <c r="G115" s="584"/>
      <c r="H115" s="332"/>
      <c r="I115" s="323"/>
      <c r="J115" s="323"/>
      <c r="K115" s="396">
        <v>40</v>
      </c>
      <c r="L115" s="330"/>
      <c r="M115" s="327"/>
      <c r="N115" s="330"/>
      <c r="O115" s="460"/>
      <c r="P115" s="473">
        <v>114</v>
      </c>
      <c r="Q115" s="402">
        <v>0</v>
      </c>
      <c r="R115" s="436">
        <v>0</v>
      </c>
      <c r="S115" s="440">
        <v>0</v>
      </c>
      <c r="T115" s="357">
        <v>0</v>
      </c>
      <c r="U115" s="422">
        <v>0</v>
      </c>
      <c r="V115" s="510">
        <v>0</v>
      </c>
      <c r="W115" s="513" t="str">
        <f t="shared" si="18"/>
        <v/>
      </c>
      <c r="X115" s="610">
        <v>0</v>
      </c>
      <c r="Y115" s="706"/>
      <c r="Z115" s="535" t="str">
        <f>IFERROR(D113/C115,"")</f>
        <v/>
      </c>
      <c r="AA115" s="552" t="str">
        <f>IFERROR($AB$1/(D115/100)*(C113/100),"")</f>
        <v/>
      </c>
      <c r="AB115" s="38"/>
    </row>
    <row r="116" spans="1:28" ht="12.75" customHeight="1">
      <c r="A116" s="348" t="s">
        <v>596</v>
      </c>
      <c r="B116" s="346">
        <v>147</v>
      </c>
      <c r="C116" s="343">
        <v>39.9</v>
      </c>
      <c r="D116" s="343">
        <v>40.319000000000003</v>
      </c>
      <c r="E116" s="346">
        <v>570</v>
      </c>
      <c r="F116" s="344">
        <v>40.200000000000003</v>
      </c>
      <c r="G116" s="585">
        <v>-2.2000000000000002E-2</v>
      </c>
      <c r="H116" s="345">
        <v>39.799999999999997</v>
      </c>
      <c r="I116" s="324">
        <v>41</v>
      </c>
      <c r="J116" s="324">
        <v>39.799999999999997</v>
      </c>
      <c r="K116" s="400">
        <v>41.107999999999997</v>
      </c>
      <c r="L116" s="362">
        <v>4347</v>
      </c>
      <c r="M116" s="328">
        <v>10859</v>
      </c>
      <c r="N116" s="362">
        <v>20</v>
      </c>
      <c r="O116" s="462">
        <v>45296.677118055559</v>
      </c>
      <c r="P116" s="474">
        <v>115</v>
      </c>
      <c r="Q116" s="403">
        <v>0</v>
      </c>
      <c r="R116" s="437">
        <v>0</v>
      </c>
      <c r="S116" s="445">
        <v>0</v>
      </c>
      <c r="T116" s="356">
        <v>0</v>
      </c>
      <c r="U116" s="421">
        <v>0</v>
      </c>
      <c r="V116" s="505">
        <v>0</v>
      </c>
      <c r="W116" s="512" t="str">
        <f t="shared" si="18"/>
        <v/>
      </c>
      <c r="X116" s="611">
        <v>0</v>
      </c>
      <c r="Y116" s="707">
        <f>IF(D116&lt;&gt;0,($C117*(1-$V$1))-$D116,0)</f>
        <v>-1.3190000000000026</v>
      </c>
      <c r="Z116" s="534">
        <f>IFERROR(D112/C116,"")</f>
        <v>1102.2556390977445</v>
      </c>
      <c r="AA116" s="548">
        <f>IFERROR($AB$1/(D116/100)*(C112/100),"")</f>
        <v>557911.99682531809</v>
      </c>
      <c r="AB116" s="38"/>
    </row>
    <row r="117" spans="1:28" ht="12.75" customHeight="1">
      <c r="A117" s="429" t="s">
        <v>233</v>
      </c>
      <c r="B117" s="389">
        <v>3000</v>
      </c>
      <c r="C117" s="390">
        <v>39</v>
      </c>
      <c r="D117" s="390">
        <v>39.5</v>
      </c>
      <c r="E117" s="389">
        <v>288</v>
      </c>
      <c r="F117" s="387">
        <v>39.85</v>
      </c>
      <c r="G117" s="586">
        <v>2.5000000000000001E-3</v>
      </c>
      <c r="H117" s="378">
        <v>39.5</v>
      </c>
      <c r="I117" s="379">
        <v>41</v>
      </c>
      <c r="J117" s="379">
        <v>39.183999999999997</v>
      </c>
      <c r="K117" s="397">
        <v>39.75</v>
      </c>
      <c r="L117" s="384">
        <v>15318</v>
      </c>
      <c r="M117" s="380">
        <v>38564</v>
      </c>
      <c r="N117" s="384">
        <v>62</v>
      </c>
      <c r="O117" s="463">
        <v>45296.686701388891</v>
      </c>
      <c r="P117" s="473">
        <v>116</v>
      </c>
      <c r="Q117" s="404">
        <v>0</v>
      </c>
      <c r="R117" s="439">
        <v>0</v>
      </c>
      <c r="S117" s="446">
        <v>0</v>
      </c>
      <c r="T117" s="385">
        <v>0</v>
      </c>
      <c r="U117" s="422">
        <v>0</v>
      </c>
      <c r="V117" s="423">
        <v>0</v>
      </c>
      <c r="W117" s="514" t="str">
        <f t="shared" si="18"/>
        <v/>
      </c>
      <c r="X117" s="612">
        <v>0</v>
      </c>
      <c r="Y117" s="708"/>
      <c r="Z117" s="546">
        <f>IFERROR(D113/C117,"")</f>
        <v>1143.5897435897436</v>
      </c>
      <c r="AA117" s="553">
        <f>IFERROR($AB$1/(D117/100)*(C113/100),"")</f>
        <v>576137.31139240507</v>
      </c>
      <c r="AB117" s="38"/>
    </row>
    <row r="118" spans="1:28" ht="12.75" customHeight="1">
      <c r="A118" s="428" t="s">
        <v>597</v>
      </c>
      <c r="B118" s="365">
        <v>6496</v>
      </c>
      <c r="C118" s="321">
        <v>38500</v>
      </c>
      <c r="D118" s="386">
        <v>39500</v>
      </c>
      <c r="E118" s="365">
        <v>144</v>
      </c>
      <c r="F118" s="449">
        <v>38500</v>
      </c>
      <c r="G118" s="581">
        <v>4.0500000000000001E-2</v>
      </c>
      <c r="H118" s="333">
        <v>36990</v>
      </c>
      <c r="I118" s="325">
        <v>40000</v>
      </c>
      <c r="J118" s="325">
        <v>35500</v>
      </c>
      <c r="K118" s="399">
        <v>37000</v>
      </c>
      <c r="L118" s="377">
        <v>483654006</v>
      </c>
      <c r="M118" s="329">
        <v>1295453</v>
      </c>
      <c r="N118" s="377">
        <v>620</v>
      </c>
      <c r="O118" s="459">
        <v>45296.687685185185</v>
      </c>
      <c r="P118" s="474">
        <v>117</v>
      </c>
      <c r="Q118" s="405">
        <v>0</v>
      </c>
      <c r="R118" s="435">
        <v>0</v>
      </c>
      <c r="S118" s="443">
        <v>0</v>
      </c>
      <c r="T118" s="358">
        <v>0</v>
      </c>
      <c r="U118" s="421">
        <v>0</v>
      </c>
      <c r="V118" s="508">
        <v>0</v>
      </c>
      <c r="W118" s="512" t="str">
        <f t="shared" si="18"/>
        <v/>
      </c>
      <c r="X118" s="609">
        <v>0</v>
      </c>
      <c r="Y118" s="709">
        <f>IF(D118&lt;&gt;0,($C119*(1-$V$1))-$D118,0)</f>
        <v>-2500</v>
      </c>
      <c r="Z118" s="544">
        <f>$D118*($AE$1*$AD$1)</f>
        <v>370.10958904109589</v>
      </c>
      <c r="AA118" s="619"/>
      <c r="AB118" s="38"/>
    </row>
    <row r="119" spans="1:28" ht="12.75" customHeight="1">
      <c r="A119" s="426" t="s">
        <v>164</v>
      </c>
      <c r="B119" s="338">
        <v>38550</v>
      </c>
      <c r="C119" s="340">
        <v>37000</v>
      </c>
      <c r="D119" s="340">
        <v>37100</v>
      </c>
      <c r="E119" s="338">
        <v>5000</v>
      </c>
      <c r="F119" s="341">
        <v>37000</v>
      </c>
      <c r="G119" s="584">
        <v>5.8400000000000001E-2</v>
      </c>
      <c r="H119" s="332">
        <v>36000</v>
      </c>
      <c r="I119" s="323">
        <v>37320</v>
      </c>
      <c r="J119" s="323">
        <v>34505</v>
      </c>
      <c r="K119" s="396">
        <v>34955.368999999999</v>
      </c>
      <c r="L119" s="330">
        <v>6367375445</v>
      </c>
      <c r="M119" s="327">
        <v>17768414</v>
      </c>
      <c r="N119" s="330">
        <v>2244</v>
      </c>
      <c r="O119" s="460">
        <v>45296.708657407406</v>
      </c>
      <c r="P119" s="473">
        <v>118</v>
      </c>
      <c r="Q119" s="402">
        <v>0</v>
      </c>
      <c r="R119" s="436">
        <v>0</v>
      </c>
      <c r="S119" s="440">
        <v>0</v>
      </c>
      <c r="T119" s="357">
        <v>0</v>
      </c>
      <c r="U119" s="422">
        <v>0</v>
      </c>
      <c r="V119" s="509">
        <v>0</v>
      </c>
      <c r="W119" s="513" t="str">
        <f t="shared" si="18"/>
        <v/>
      </c>
      <c r="X119" s="610">
        <v>0</v>
      </c>
      <c r="Y119" s="710"/>
      <c r="Z119" s="545"/>
      <c r="AA119" s="620"/>
      <c r="AB119" s="38"/>
    </row>
    <row r="120" spans="1:28" ht="12.75" customHeight="1">
      <c r="A120" s="348" t="s">
        <v>598</v>
      </c>
      <c r="B120" s="342"/>
      <c r="C120" s="343"/>
      <c r="D120" s="343"/>
      <c r="E120" s="342"/>
      <c r="F120" s="344"/>
      <c r="G120" s="585"/>
      <c r="H120" s="345"/>
      <c r="I120" s="324"/>
      <c r="J120" s="324"/>
      <c r="K120" s="400">
        <v>35.799999999999997</v>
      </c>
      <c r="L120" s="362"/>
      <c r="M120" s="328"/>
      <c r="N120" s="362"/>
      <c r="O120" s="462"/>
      <c r="P120" s="474">
        <v>119</v>
      </c>
      <c r="Q120" s="403">
        <v>0</v>
      </c>
      <c r="R120" s="437">
        <v>0</v>
      </c>
      <c r="S120" s="445">
        <v>0</v>
      </c>
      <c r="T120" s="356">
        <v>0</v>
      </c>
      <c r="U120" s="421">
        <v>0</v>
      </c>
      <c r="V120" s="511">
        <v>0</v>
      </c>
      <c r="W120" s="512" t="str">
        <f t="shared" si="18"/>
        <v/>
      </c>
      <c r="X120" s="611">
        <v>0</v>
      </c>
      <c r="Y120" s="705">
        <f>IF(D120&lt;&gt;0,($C121*(1-$V$1))-$D120,0)</f>
        <v>0</v>
      </c>
      <c r="Z120" s="536" t="str">
        <f t="shared" ref="Z120:Z121" si="19">IFERROR(D118/C120,"")</f>
        <v/>
      </c>
      <c r="AA120" s="548" t="str">
        <f>IFERROR($AB$1/(D120/100)*(C118/100),"")</f>
        <v/>
      </c>
      <c r="AB120" s="38"/>
    </row>
    <row r="121" spans="1:28" ht="12.75" customHeight="1">
      <c r="A121" s="484" t="s">
        <v>220</v>
      </c>
      <c r="B121" s="337"/>
      <c r="C121" s="339"/>
      <c r="D121" s="339"/>
      <c r="E121" s="337"/>
      <c r="F121" s="341"/>
      <c r="G121" s="584"/>
      <c r="H121" s="332"/>
      <c r="I121" s="323"/>
      <c r="J121" s="323"/>
      <c r="K121" s="396">
        <v>34.938000000000002</v>
      </c>
      <c r="L121" s="330"/>
      <c r="M121" s="327"/>
      <c r="N121" s="330"/>
      <c r="O121" s="460"/>
      <c r="P121" s="473">
        <v>120</v>
      </c>
      <c r="Q121" s="402">
        <v>0</v>
      </c>
      <c r="R121" s="436">
        <v>0</v>
      </c>
      <c r="S121" s="440">
        <v>0</v>
      </c>
      <c r="T121" s="357">
        <v>0</v>
      </c>
      <c r="U121" s="422">
        <v>0</v>
      </c>
      <c r="V121" s="510">
        <v>0</v>
      </c>
      <c r="W121" s="513" t="str">
        <f t="shared" si="18"/>
        <v/>
      </c>
      <c r="X121" s="610">
        <v>0</v>
      </c>
      <c r="Y121" s="706"/>
      <c r="Z121" s="535" t="str">
        <f t="shared" si="19"/>
        <v/>
      </c>
      <c r="AA121" s="552" t="str">
        <f>IFERROR($AB$1/(D121/100)*(C119/100),"")</f>
        <v/>
      </c>
      <c r="AB121" s="38"/>
    </row>
    <row r="122" spans="1:28" ht="12.75" customHeight="1">
      <c r="A122" s="348" t="s">
        <v>599</v>
      </c>
      <c r="B122" s="346">
        <v>269</v>
      </c>
      <c r="C122" s="343">
        <v>35.770000000000003</v>
      </c>
      <c r="D122" s="343">
        <v>36</v>
      </c>
      <c r="E122" s="346">
        <v>510</v>
      </c>
      <c r="F122" s="344">
        <v>35.770000000000003</v>
      </c>
      <c r="G122" s="585">
        <v>-1.26E-2</v>
      </c>
      <c r="H122" s="345">
        <v>36</v>
      </c>
      <c r="I122" s="324">
        <v>36.103000000000002</v>
      </c>
      <c r="J122" s="324">
        <v>34.85</v>
      </c>
      <c r="K122" s="400">
        <v>36.229999999999997</v>
      </c>
      <c r="L122" s="362">
        <v>92796</v>
      </c>
      <c r="M122" s="328">
        <v>261340</v>
      </c>
      <c r="N122" s="362">
        <v>194</v>
      </c>
      <c r="O122" s="462">
        <v>45296.681296296294</v>
      </c>
      <c r="P122" s="474">
        <v>121</v>
      </c>
      <c r="Q122" s="403">
        <v>0</v>
      </c>
      <c r="R122" s="437">
        <v>0</v>
      </c>
      <c r="S122" s="445">
        <v>0</v>
      </c>
      <c r="T122" s="356">
        <v>0</v>
      </c>
      <c r="U122" s="421">
        <v>0</v>
      </c>
      <c r="V122" s="505">
        <v>0</v>
      </c>
      <c r="W122" s="512" t="str">
        <f t="shared" si="18"/>
        <v/>
      </c>
      <c r="X122" s="611">
        <v>0</v>
      </c>
      <c r="Y122" s="707">
        <f>IF(D122&lt;&gt;0,($C123*(1-$V$1))-$D122,0)</f>
        <v>-2.0499999999999972</v>
      </c>
      <c r="Z122" s="534">
        <f t="shared" ref="Z122:Z123" si="20">IFERROR(D118/C122,"")</f>
        <v>1104.2773273693037</v>
      </c>
      <c r="AA122" s="548">
        <f>IFERROR($AB$1/(D122/100)*(C118/100),"")</f>
        <v>562463.61111111112</v>
      </c>
      <c r="AB122" s="38"/>
    </row>
    <row r="123" spans="1:28" ht="12.75" customHeight="1">
      <c r="A123" s="429" t="s">
        <v>221</v>
      </c>
      <c r="B123" s="389">
        <v>6022</v>
      </c>
      <c r="C123" s="390">
        <v>33.950000000000003</v>
      </c>
      <c r="D123" s="390">
        <v>34</v>
      </c>
      <c r="E123" s="389">
        <v>20027</v>
      </c>
      <c r="F123" s="387">
        <v>33.950000000000003</v>
      </c>
      <c r="G123" s="586">
        <v>-6.8999999999999999E-3</v>
      </c>
      <c r="H123" s="378">
        <v>33.799999999999997</v>
      </c>
      <c r="I123" s="379">
        <v>36.000999999999998</v>
      </c>
      <c r="J123" s="379">
        <v>33</v>
      </c>
      <c r="K123" s="397">
        <v>34.188000000000002</v>
      </c>
      <c r="L123" s="384">
        <v>231630</v>
      </c>
      <c r="M123" s="380">
        <v>676475</v>
      </c>
      <c r="N123" s="384">
        <v>316</v>
      </c>
      <c r="O123" s="463">
        <v>45296.704143518517</v>
      </c>
      <c r="P123" s="473">
        <v>122</v>
      </c>
      <c r="Q123" s="404">
        <v>0</v>
      </c>
      <c r="R123" s="439">
        <v>0</v>
      </c>
      <c r="S123" s="446">
        <v>0</v>
      </c>
      <c r="T123" s="385">
        <v>0</v>
      </c>
      <c r="U123" s="422">
        <v>0</v>
      </c>
      <c r="V123" s="423">
        <v>0</v>
      </c>
      <c r="W123" s="514" t="str">
        <f t="shared" si="18"/>
        <v/>
      </c>
      <c r="X123" s="612">
        <v>0</v>
      </c>
      <c r="Y123" s="708"/>
      <c r="Z123" s="546">
        <f t="shared" si="20"/>
        <v>1092.783505154639</v>
      </c>
      <c r="AA123" s="553">
        <f>IFERROR($AB$1/(D123/100)*(C119/100),"")</f>
        <v>572346.4705882353</v>
      </c>
      <c r="AB123" s="38"/>
    </row>
    <row r="124" spans="1:28" ht="12.75" customHeight="1">
      <c r="A124" s="428" t="s">
        <v>603</v>
      </c>
      <c r="B124" s="365">
        <v>1200</v>
      </c>
      <c r="C124" s="321">
        <v>43620</v>
      </c>
      <c r="D124" s="386">
        <v>45490</v>
      </c>
      <c r="E124" s="365">
        <v>610</v>
      </c>
      <c r="F124" s="449">
        <v>45500</v>
      </c>
      <c r="G124" s="581">
        <v>0.05</v>
      </c>
      <c r="H124" s="333">
        <v>43555</v>
      </c>
      <c r="I124" s="325">
        <v>46170</v>
      </c>
      <c r="J124" s="325">
        <v>41900</v>
      </c>
      <c r="K124" s="399">
        <v>43330</v>
      </c>
      <c r="L124" s="377">
        <v>48082399</v>
      </c>
      <c r="M124" s="329">
        <v>110564</v>
      </c>
      <c r="N124" s="377">
        <v>153</v>
      </c>
      <c r="O124" s="459">
        <v>45296.681770833333</v>
      </c>
      <c r="P124" s="474">
        <v>123</v>
      </c>
      <c r="Q124" s="405">
        <v>0</v>
      </c>
      <c r="R124" s="435">
        <v>0</v>
      </c>
      <c r="S124" s="443">
        <v>0</v>
      </c>
      <c r="T124" s="358">
        <v>0</v>
      </c>
      <c r="U124" s="421">
        <v>0</v>
      </c>
      <c r="V124" s="508">
        <v>0</v>
      </c>
      <c r="W124" s="512" t="str">
        <f t="shared" si="18"/>
        <v/>
      </c>
      <c r="X124" s="609">
        <v>0</v>
      </c>
      <c r="Y124" s="709">
        <f>IF(D124&lt;&gt;0,($C125*(1-$V$1))-$D124,0)</f>
        <v>-1600</v>
      </c>
      <c r="Z124" s="544">
        <f>$D124*($AE$1*$AD$1)</f>
        <v>426.23506849315066</v>
      </c>
      <c r="AA124" s="619"/>
      <c r="AB124" s="38"/>
    </row>
    <row r="125" spans="1:28" ht="12.75" customHeight="1">
      <c r="A125" s="426" t="s">
        <v>190</v>
      </c>
      <c r="B125" s="338">
        <v>9219</v>
      </c>
      <c r="C125" s="340">
        <v>43890</v>
      </c>
      <c r="D125" s="340">
        <v>43900</v>
      </c>
      <c r="E125" s="338">
        <v>10000</v>
      </c>
      <c r="F125" s="341">
        <v>43890</v>
      </c>
      <c r="G125" s="584">
        <v>6.3299999999999995E-2</v>
      </c>
      <c r="H125" s="332">
        <v>42470</v>
      </c>
      <c r="I125" s="323">
        <v>44100</v>
      </c>
      <c r="J125" s="323">
        <v>40500</v>
      </c>
      <c r="K125" s="396">
        <v>41275.088000000003</v>
      </c>
      <c r="L125" s="330">
        <v>701101701</v>
      </c>
      <c r="M125" s="327">
        <v>1625514</v>
      </c>
      <c r="N125" s="330">
        <v>563</v>
      </c>
      <c r="O125" s="460">
        <v>45296.708506944444</v>
      </c>
      <c r="P125" s="473">
        <v>124</v>
      </c>
      <c r="Q125" s="402">
        <v>0</v>
      </c>
      <c r="R125" s="436">
        <v>0</v>
      </c>
      <c r="S125" s="440">
        <v>0</v>
      </c>
      <c r="T125" s="357">
        <v>0</v>
      </c>
      <c r="U125" s="422">
        <v>0</v>
      </c>
      <c r="V125" s="509">
        <v>0</v>
      </c>
      <c r="W125" s="513" t="str">
        <f t="shared" si="18"/>
        <v/>
      </c>
      <c r="X125" s="610">
        <v>0</v>
      </c>
      <c r="Y125" s="710"/>
      <c r="Z125" s="545"/>
      <c r="AA125" s="620"/>
      <c r="AB125" s="38"/>
    </row>
    <row r="126" spans="1:28" ht="12.75" customHeight="1">
      <c r="A126" s="348" t="s">
        <v>604</v>
      </c>
      <c r="B126" s="342"/>
      <c r="C126" s="643"/>
      <c r="D126" s="343"/>
      <c r="E126" s="342"/>
      <c r="F126" s="344"/>
      <c r="G126" s="585"/>
      <c r="H126" s="345"/>
      <c r="I126" s="324"/>
      <c r="J126" s="324"/>
      <c r="K126" s="400">
        <v>41.75</v>
      </c>
      <c r="L126" s="362"/>
      <c r="M126" s="328"/>
      <c r="N126" s="362"/>
      <c r="O126" s="462"/>
      <c r="P126" s="474">
        <v>125</v>
      </c>
      <c r="Q126" s="403">
        <v>0</v>
      </c>
      <c r="R126" s="437">
        <v>0</v>
      </c>
      <c r="S126" s="445">
        <v>0</v>
      </c>
      <c r="T126" s="356">
        <v>0</v>
      </c>
      <c r="U126" s="421">
        <v>0</v>
      </c>
      <c r="V126" s="511">
        <v>0</v>
      </c>
      <c r="W126" s="512" t="str">
        <f t="shared" si="18"/>
        <v/>
      </c>
      <c r="X126" s="611">
        <v>0</v>
      </c>
      <c r="Y126" s="705">
        <f>IF(D126&lt;&gt;0,($C127*(1-$V$1))-$D126,0)</f>
        <v>0</v>
      </c>
      <c r="Z126" s="536" t="str">
        <f t="shared" ref="Z126:Z127" si="21">IFERROR(D124/C126,"")</f>
        <v/>
      </c>
      <c r="AA126" s="548" t="str">
        <f>IFERROR($AB$1/(D126/100)*(C124/100),"")</f>
        <v/>
      </c>
      <c r="AB126" s="38"/>
    </row>
    <row r="127" spans="1:28" ht="12.75" customHeight="1">
      <c r="A127" s="484" t="s">
        <v>234</v>
      </c>
      <c r="B127" s="337"/>
      <c r="C127" s="339"/>
      <c r="D127" s="339"/>
      <c r="E127" s="337"/>
      <c r="F127" s="341"/>
      <c r="G127" s="584"/>
      <c r="H127" s="332"/>
      <c r="I127" s="323"/>
      <c r="J127" s="323"/>
      <c r="K127" s="396">
        <v>40.375</v>
      </c>
      <c r="L127" s="330"/>
      <c r="M127" s="327"/>
      <c r="N127" s="330"/>
      <c r="O127" s="460"/>
      <c r="P127" s="473">
        <v>126</v>
      </c>
      <c r="Q127" s="402">
        <v>0</v>
      </c>
      <c r="R127" s="436">
        <v>0</v>
      </c>
      <c r="S127" s="440">
        <v>0</v>
      </c>
      <c r="T127" s="357">
        <v>0</v>
      </c>
      <c r="U127" s="422">
        <v>0</v>
      </c>
      <c r="V127" s="510">
        <v>0</v>
      </c>
      <c r="W127" s="513" t="str">
        <f t="shared" si="18"/>
        <v/>
      </c>
      <c r="X127" s="610">
        <v>0</v>
      </c>
      <c r="Y127" s="706"/>
      <c r="Z127" s="535" t="str">
        <f t="shared" si="21"/>
        <v/>
      </c>
      <c r="AA127" s="552" t="str">
        <f>IFERROR($AB$1/(D127/100)*(C125/100),"")</f>
        <v/>
      </c>
      <c r="AB127" s="38"/>
    </row>
    <row r="128" spans="1:28" ht="12.75" customHeight="1">
      <c r="A128" s="348" t="s">
        <v>605</v>
      </c>
      <c r="B128" s="346">
        <v>200</v>
      </c>
      <c r="C128" s="343">
        <v>41.2</v>
      </c>
      <c r="D128" s="343">
        <v>43</v>
      </c>
      <c r="E128" s="346">
        <v>372</v>
      </c>
      <c r="F128" s="344">
        <v>41.210999999999999</v>
      </c>
      <c r="G128" s="585">
        <v>-7.3899999999999993E-2</v>
      </c>
      <c r="H128" s="345">
        <v>40.53</v>
      </c>
      <c r="I128" s="324">
        <v>43</v>
      </c>
      <c r="J128" s="324">
        <v>40.53</v>
      </c>
      <c r="K128" s="400">
        <v>44.5</v>
      </c>
      <c r="L128" s="362">
        <v>34834</v>
      </c>
      <c r="M128" s="328">
        <v>84317</v>
      </c>
      <c r="N128" s="362">
        <v>43</v>
      </c>
      <c r="O128" s="462">
        <v>45296.679259259261</v>
      </c>
      <c r="P128" s="474">
        <v>127</v>
      </c>
      <c r="Q128" s="403">
        <v>0</v>
      </c>
      <c r="R128" s="437">
        <v>0</v>
      </c>
      <c r="S128" s="445">
        <v>0</v>
      </c>
      <c r="T128" s="356">
        <v>0</v>
      </c>
      <c r="U128" s="421">
        <v>0</v>
      </c>
      <c r="V128" s="505">
        <v>0</v>
      </c>
      <c r="W128" s="512" t="str">
        <f t="shared" si="18"/>
        <v/>
      </c>
      <c r="X128" s="611">
        <v>0</v>
      </c>
      <c r="Y128" s="707">
        <f>IF(D128&lt;&gt;0,($C129*(1-$V$1))-$D128,0)</f>
        <v>-2.2899999999999991</v>
      </c>
      <c r="Z128" s="534">
        <f t="shared" ref="Z128:Z129" si="22">IFERROR(D124/C128,"")</f>
        <v>1104.1262135922329</v>
      </c>
      <c r="AA128" s="548">
        <f>IFERROR($AB$1/(D128/100)*(C124/100),"")</f>
        <v>533523.32093023264</v>
      </c>
      <c r="AB128" s="38"/>
    </row>
    <row r="129" spans="1:28" ht="12.75" customHeight="1">
      <c r="A129" s="429" t="s">
        <v>235</v>
      </c>
      <c r="B129" s="389">
        <v>789</v>
      </c>
      <c r="C129" s="390">
        <v>40.71</v>
      </c>
      <c r="D129" s="390">
        <v>40.75</v>
      </c>
      <c r="E129" s="389">
        <v>2300</v>
      </c>
      <c r="F129" s="387">
        <v>40.71</v>
      </c>
      <c r="G129" s="586">
        <v>2.6000000000000002E-2</v>
      </c>
      <c r="H129" s="378">
        <v>40.44</v>
      </c>
      <c r="I129" s="379">
        <v>41.6</v>
      </c>
      <c r="J129" s="379">
        <v>40</v>
      </c>
      <c r="K129" s="397">
        <v>39.674999999999997</v>
      </c>
      <c r="L129" s="384">
        <v>71604</v>
      </c>
      <c r="M129" s="380">
        <v>176026</v>
      </c>
      <c r="N129" s="384">
        <v>101</v>
      </c>
      <c r="O129" s="463">
        <v>45296.708495370367</v>
      </c>
      <c r="P129" s="473">
        <v>128</v>
      </c>
      <c r="Q129" s="404">
        <v>0</v>
      </c>
      <c r="R129" s="439">
        <v>0</v>
      </c>
      <c r="S129" s="446">
        <v>0</v>
      </c>
      <c r="T129" s="385">
        <v>0</v>
      </c>
      <c r="U129" s="422">
        <v>0</v>
      </c>
      <c r="V129" s="423">
        <v>0</v>
      </c>
      <c r="W129" s="514" t="str">
        <f t="shared" si="18"/>
        <v/>
      </c>
      <c r="X129" s="612">
        <v>0</v>
      </c>
      <c r="Y129" s="708"/>
      <c r="Z129" s="546">
        <f t="shared" si="22"/>
        <v>1078.3591255219847</v>
      </c>
      <c r="AA129" s="553">
        <f>IFERROR($AB$1/(D129/100)*(C125/100),"")</f>
        <v>566466.4196319019</v>
      </c>
      <c r="AB129" s="38"/>
    </row>
    <row r="130" spans="1:28" ht="12.75" customHeight="1">
      <c r="A130" s="428" t="s">
        <v>600</v>
      </c>
      <c r="B130" s="365">
        <v>87</v>
      </c>
      <c r="C130" s="321">
        <v>38300</v>
      </c>
      <c r="D130" s="386">
        <v>39590</v>
      </c>
      <c r="E130" s="365">
        <v>1614</v>
      </c>
      <c r="F130" s="449">
        <v>38305</v>
      </c>
      <c r="G130" s="581">
        <v>2.29E-2</v>
      </c>
      <c r="H130" s="333">
        <v>37600</v>
      </c>
      <c r="I130" s="325">
        <v>39610</v>
      </c>
      <c r="J130" s="325">
        <v>36000</v>
      </c>
      <c r="K130" s="399">
        <v>37445</v>
      </c>
      <c r="L130" s="377">
        <v>80075055</v>
      </c>
      <c r="M130" s="329">
        <v>211211</v>
      </c>
      <c r="N130" s="377">
        <v>157</v>
      </c>
      <c r="O130" s="459">
        <v>45296.6875</v>
      </c>
      <c r="P130" s="474">
        <v>129</v>
      </c>
      <c r="Q130" s="405">
        <v>0</v>
      </c>
      <c r="R130" s="435">
        <v>0</v>
      </c>
      <c r="S130" s="443">
        <v>0</v>
      </c>
      <c r="T130" s="358">
        <v>0</v>
      </c>
      <c r="U130" s="421">
        <v>0</v>
      </c>
      <c r="V130" s="508">
        <v>0</v>
      </c>
      <c r="W130" s="512" t="str">
        <f t="shared" si="18"/>
        <v/>
      </c>
      <c r="X130" s="609">
        <v>0</v>
      </c>
      <c r="Y130" s="709">
        <f>IF(D130&lt;&gt;0,($C131*(1-$V$1))-$D130,0)</f>
        <v>-2215</v>
      </c>
      <c r="Z130" s="544">
        <f>$D130*($AE$1*$AD$1)</f>
        <v>370.95287671232876</v>
      </c>
      <c r="AA130" s="619"/>
      <c r="AB130" s="38"/>
    </row>
    <row r="131" spans="1:28" ht="12.75" customHeight="1">
      <c r="A131" s="426" t="s">
        <v>188</v>
      </c>
      <c r="B131" s="338">
        <v>200</v>
      </c>
      <c r="C131" s="340">
        <v>37375</v>
      </c>
      <c r="D131" s="340">
        <v>37700</v>
      </c>
      <c r="E131" s="338">
        <v>1040</v>
      </c>
      <c r="F131" s="341">
        <v>37700</v>
      </c>
      <c r="G131" s="584">
        <v>5.5300000000000002E-2</v>
      </c>
      <c r="H131" s="332">
        <v>36600</v>
      </c>
      <c r="I131" s="323">
        <v>39290</v>
      </c>
      <c r="J131" s="323">
        <v>35500</v>
      </c>
      <c r="K131" s="396">
        <v>35722.425000000003</v>
      </c>
      <c r="L131" s="330">
        <v>198015433</v>
      </c>
      <c r="M131" s="327">
        <v>532688</v>
      </c>
      <c r="N131" s="330">
        <v>586</v>
      </c>
      <c r="O131" s="460">
        <v>45296.708391203705</v>
      </c>
      <c r="P131" s="473">
        <v>130</v>
      </c>
      <c r="Q131" s="402">
        <v>0</v>
      </c>
      <c r="R131" s="436">
        <v>0</v>
      </c>
      <c r="S131" s="440">
        <v>0</v>
      </c>
      <c r="T131" s="357">
        <v>0</v>
      </c>
      <c r="U131" s="422">
        <v>0</v>
      </c>
      <c r="V131" s="509">
        <v>0</v>
      </c>
      <c r="W131" s="513" t="str">
        <f t="shared" si="18"/>
        <v/>
      </c>
      <c r="X131" s="610">
        <v>0</v>
      </c>
      <c r="Y131" s="710"/>
      <c r="Z131" s="545"/>
      <c r="AA131" s="620"/>
      <c r="AB131" s="38"/>
    </row>
    <row r="132" spans="1:28" ht="12.75" customHeight="1">
      <c r="A132" s="348" t="s">
        <v>601</v>
      </c>
      <c r="B132" s="342"/>
      <c r="C132" s="343"/>
      <c r="D132" s="343"/>
      <c r="E132" s="342"/>
      <c r="F132" s="344"/>
      <c r="G132" s="585"/>
      <c r="H132" s="345"/>
      <c r="I132" s="324"/>
      <c r="J132" s="324"/>
      <c r="K132" s="400">
        <v>29</v>
      </c>
      <c r="L132" s="362"/>
      <c r="M132" s="328"/>
      <c r="N132" s="362"/>
      <c r="O132" s="462"/>
      <c r="P132" s="474">
        <v>131</v>
      </c>
      <c r="Q132" s="403">
        <v>0</v>
      </c>
      <c r="R132" s="437">
        <v>0</v>
      </c>
      <c r="S132" s="445">
        <v>0</v>
      </c>
      <c r="T132" s="356">
        <v>0</v>
      </c>
      <c r="U132" s="421">
        <v>0</v>
      </c>
      <c r="V132" s="511">
        <v>0</v>
      </c>
      <c r="W132" s="512" t="str">
        <f t="shared" si="18"/>
        <v/>
      </c>
      <c r="X132" s="611">
        <v>0</v>
      </c>
      <c r="Y132" s="705">
        <f>IF(D132&lt;&gt;0,($C133*(1-$V$1))-$D132,0)</f>
        <v>0</v>
      </c>
      <c r="Z132" s="536" t="str">
        <f t="shared" ref="Z132:Z133" si="23">IFERROR(D130/C132,"")</f>
        <v/>
      </c>
      <c r="AA132" s="549" t="str">
        <f>IFERROR($AB$1/(D132/100)*(C130/100),"")</f>
        <v/>
      </c>
      <c r="AB132" s="38"/>
    </row>
    <row r="133" spans="1:28" ht="12.75" customHeight="1">
      <c r="A133" s="484" t="s">
        <v>236</v>
      </c>
      <c r="B133" s="337"/>
      <c r="C133" s="339"/>
      <c r="D133" s="339"/>
      <c r="E133" s="337"/>
      <c r="F133" s="341"/>
      <c r="G133" s="584"/>
      <c r="H133" s="332"/>
      <c r="I133" s="323"/>
      <c r="J133" s="323"/>
      <c r="K133" s="396">
        <v>27.25</v>
      </c>
      <c r="L133" s="330"/>
      <c r="M133" s="327"/>
      <c r="N133" s="330"/>
      <c r="O133" s="460"/>
      <c r="P133" s="473">
        <v>132</v>
      </c>
      <c r="Q133" s="402">
        <v>0</v>
      </c>
      <c r="R133" s="436">
        <v>0</v>
      </c>
      <c r="S133" s="440">
        <v>0</v>
      </c>
      <c r="T133" s="357">
        <v>0</v>
      </c>
      <c r="U133" s="422">
        <v>0</v>
      </c>
      <c r="V133" s="510">
        <v>0</v>
      </c>
      <c r="W133" s="513" t="str">
        <f t="shared" si="18"/>
        <v/>
      </c>
      <c r="X133" s="610">
        <v>0</v>
      </c>
      <c r="Y133" s="706"/>
      <c r="Z133" s="535" t="str">
        <f t="shared" si="23"/>
        <v/>
      </c>
      <c r="AA133" s="550" t="str">
        <f>IFERROR($AB$1/(D133/100)*(C131/100),"")</f>
        <v/>
      </c>
      <c r="AB133" s="38"/>
    </row>
    <row r="134" spans="1:28" ht="12.75" customHeight="1">
      <c r="A134" s="348" t="s">
        <v>602</v>
      </c>
      <c r="B134" s="346">
        <v>456</v>
      </c>
      <c r="C134" s="343">
        <v>35.299999999999997</v>
      </c>
      <c r="D134" s="343">
        <v>36.5</v>
      </c>
      <c r="E134" s="346">
        <v>179</v>
      </c>
      <c r="F134" s="344">
        <v>36.49</v>
      </c>
      <c r="G134" s="585">
        <v>1.3600000000000001E-2</v>
      </c>
      <c r="H134" s="345">
        <v>35.503</v>
      </c>
      <c r="I134" s="324">
        <v>37.200000000000003</v>
      </c>
      <c r="J134" s="324">
        <v>35</v>
      </c>
      <c r="K134" s="400">
        <v>36</v>
      </c>
      <c r="L134" s="362">
        <v>10704</v>
      </c>
      <c r="M134" s="328">
        <v>29311</v>
      </c>
      <c r="N134" s="362">
        <v>38</v>
      </c>
      <c r="O134" s="462">
        <v>45296.656805555554</v>
      </c>
      <c r="P134" s="474">
        <v>133</v>
      </c>
      <c r="Q134" s="403">
        <v>0</v>
      </c>
      <c r="R134" s="437">
        <v>0</v>
      </c>
      <c r="S134" s="445">
        <v>0</v>
      </c>
      <c r="T134" s="356">
        <v>0</v>
      </c>
      <c r="U134" s="421">
        <v>0</v>
      </c>
      <c r="V134" s="505">
        <v>0</v>
      </c>
      <c r="W134" s="512" t="str">
        <f t="shared" si="18"/>
        <v/>
      </c>
      <c r="X134" s="611">
        <v>0</v>
      </c>
      <c r="Y134" s="707">
        <f>IF(D134&lt;&gt;0,($C135*(1-$V$1))-$D134,0)</f>
        <v>-1.740000000000002</v>
      </c>
      <c r="Z134" s="534">
        <f t="shared" ref="Z134:Z135" si="24">IFERROR(D130/C134,"")</f>
        <v>1121.529745042493</v>
      </c>
      <c r="AA134" s="549">
        <f>IFERROR($AB$1/(D134/100)*(C130/100),"")</f>
        <v>551876.76712328766</v>
      </c>
      <c r="AB134" s="38"/>
    </row>
    <row r="135" spans="1:28" ht="12.75" customHeight="1">
      <c r="A135" s="429" t="s">
        <v>237</v>
      </c>
      <c r="B135" s="389">
        <v>21916</v>
      </c>
      <c r="C135" s="390">
        <v>34.76</v>
      </c>
      <c r="D135" s="390">
        <v>35</v>
      </c>
      <c r="E135" s="389">
        <v>500</v>
      </c>
      <c r="F135" s="387">
        <v>34.75</v>
      </c>
      <c r="G135" s="586">
        <v>1.4499999999999999E-2</v>
      </c>
      <c r="H135" s="378">
        <v>34.299999999999997</v>
      </c>
      <c r="I135" s="379">
        <v>36.950000000000003</v>
      </c>
      <c r="J135" s="379">
        <v>33.716000000000001</v>
      </c>
      <c r="K135" s="397">
        <v>34.25</v>
      </c>
      <c r="L135" s="384">
        <v>14963</v>
      </c>
      <c r="M135" s="380">
        <v>41828</v>
      </c>
      <c r="N135" s="384">
        <v>68</v>
      </c>
      <c r="O135" s="463">
        <v>45296.696562500001</v>
      </c>
      <c r="P135" s="473">
        <v>134</v>
      </c>
      <c r="Q135" s="404">
        <v>0</v>
      </c>
      <c r="R135" s="439">
        <v>0</v>
      </c>
      <c r="S135" s="446">
        <v>0</v>
      </c>
      <c r="T135" s="385">
        <v>0</v>
      </c>
      <c r="U135" s="422">
        <v>0</v>
      </c>
      <c r="V135" s="423">
        <v>0</v>
      </c>
      <c r="W135" s="514" t="str">
        <f t="shared" si="18"/>
        <v/>
      </c>
      <c r="X135" s="612">
        <v>0</v>
      </c>
      <c r="Y135" s="708"/>
      <c r="Z135" s="546">
        <f t="shared" si="24"/>
        <v>1084.5799769850403</v>
      </c>
      <c r="AA135" s="551">
        <f>IFERROR($AB$1/(D135/100)*(C131/100),"")</f>
        <v>561628.7857142858</v>
      </c>
      <c r="AB135" s="38"/>
    </row>
    <row r="136" spans="1:28" ht="12.75" customHeight="1">
      <c r="A136" s="428" t="s">
        <v>606</v>
      </c>
      <c r="B136" s="365">
        <v>4</v>
      </c>
      <c r="C136" s="321">
        <v>38500</v>
      </c>
      <c r="D136" s="386">
        <v>39440</v>
      </c>
      <c r="E136" s="365">
        <v>1326</v>
      </c>
      <c r="F136" s="383">
        <v>39440</v>
      </c>
      <c r="G136" s="581">
        <v>5.8700000000000002E-2</v>
      </c>
      <c r="H136" s="333">
        <v>38500</v>
      </c>
      <c r="I136" s="325">
        <v>40150</v>
      </c>
      <c r="J136" s="325">
        <v>36650</v>
      </c>
      <c r="K136" s="399">
        <v>37250</v>
      </c>
      <c r="L136" s="377">
        <v>7649544</v>
      </c>
      <c r="M136" s="329">
        <v>19997</v>
      </c>
      <c r="N136" s="377">
        <v>44</v>
      </c>
      <c r="O136" s="459">
        <v>45296.680763888886</v>
      </c>
      <c r="P136" s="474">
        <v>135</v>
      </c>
      <c r="Q136" s="405"/>
      <c r="R136" s="435"/>
      <c r="S136" s="443"/>
      <c r="T136" s="358"/>
      <c r="U136" s="372"/>
      <c r="V136" s="424">
        <v>0</v>
      </c>
      <c r="W136" s="316"/>
      <c r="X136" s="613"/>
      <c r="Y136" s="709">
        <f>IF(D136&lt;&gt;0,($C137*(1-$V$1))-$D136,0)</f>
        <v>-1440</v>
      </c>
      <c r="Z136" s="544">
        <f>$D136*($AE$1*$AD$1)</f>
        <v>369.54739726027395</v>
      </c>
      <c r="AA136" s="619"/>
      <c r="AB136" s="38"/>
    </row>
    <row r="137" spans="1:28" ht="12.75" customHeight="1">
      <c r="A137" s="426" t="s">
        <v>189</v>
      </c>
      <c r="B137" s="338">
        <v>15</v>
      </c>
      <c r="C137" s="340">
        <v>38000</v>
      </c>
      <c r="D137" s="340">
        <v>38400</v>
      </c>
      <c r="E137" s="338">
        <v>923</v>
      </c>
      <c r="F137" s="341">
        <v>38400</v>
      </c>
      <c r="G137" s="584">
        <v>0.08</v>
      </c>
      <c r="H137" s="332">
        <v>36380</v>
      </c>
      <c r="I137" s="323">
        <v>38490</v>
      </c>
      <c r="J137" s="323">
        <v>34300</v>
      </c>
      <c r="K137" s="396">
        <v>35555.368999999999</v>
      </c>
      <c r="L137" s="330">
        <v>158722980</v>
      </c>
      <c r="M137" s="327">
        <v>447653</v>
      </c>
      <c r="N137" s="330">
        <v>196</v>
      </c>
      <c r="O137" s="460">
        <v>45296.708622685182</v>
      </c>
      <c r="P137" s="473">
        <v>136</v>
      </c>
      <c r="Q137" s="402"/>
      <c r="R137" s="436"/>
      <c r="S137" s="440"/>
      <c r="T137" s="357"/>
      <c r="U137" s="371"/>
      <c r="V137" s="423">
        <v>0</v>
      </c>
      <c r="W137" s="317"/>
      <c r="X137" s="603"/>
      <c r="Y137" s="710"/>
      <c r="Z137" s="545"/>
      <c r="AA137" s="620"/>
      <c r="AB137" s="38"/>
    </row>
    <row r="138" spans="1:28" ht="12.75" customHeight="1">
      <c r="A138" s="348" t="s">
        <v>607</v>
      </c>
      <c r="B138" s="342"/>
      <c r="C138" s="343"/>
      <c r="D138" s="343"/>
      <c r="E138" s="342"/>
      <c r="F138" s="344"/>
      <c r="G138" s="585"/>
      <c r="H138" s="345"/>
      <c r="I138" s="324"/>
      <c r="J138" s="324"/>
      <c r="K138" s="400">
        <v>22.82</v>
      </c>
      <c r="L138" s="362"/>
      <c r="M138" s="328"/>
      <c r="N138" s="362"/>
      <c r="O138" s="462"/>
      <c r="P138" s="474">
        <v>137</v>
      </c>
      <c r="Q138" s="403"/>
      <c r="R138" s="437"/>
      <c r="S138" s="445"/>
      <c r="T138" s="356"/>
      <c r="U138" s="372"/>
      <c r="V138" s="424">
        <v>0</v>
      </c>
      <c r="W138" s="347"/>
      <c r="X138" s="604"/>
      <c r="Y138" s="705">
        <f>IF(D138&lt;&gt;0,($C139*(1-$V$1))-$D138,0)</f>
        <v>0</v>
      </c>
      <c r="Z138" s="536" t="str">
        <f t="shared" ref="Z138:Z139" si="25">IFERROR(D136/C138,"")</f>
        <v/>
      </c>
      <c r="AA138" s="548" t="str">
        <f>IFERROR($AB$1/(D138/100)*(C136/100),"")</f>
        <v/>
      </c>
      <c r="AB138" s="38"/>
    </row>
    <row r="139" spans="1:28" ht="12.75" customHeight="1">
      <c r="A139" s="484" t="s">
        <v>276</v>
      </c>
      <c r="B139" s="337"/>
      <c r="C139" s="339"/>
      <c r="D139" s="339"/>
      <c r="E139" s="337"/>
      <c r="F139" s="341"/>
      <c r="G139" s="584"/>
      <c r="H139" s="332"/>
      <c r="I139" s="323"/>
      <c r="J139" s="323"/>
      <c r="K139" s="396">
        <v>25.276</v>
      </c>
      <c r="L139" s="330"/>
      <c r="M139" s="327"/>
      <c r="N139" s="330"/>
      <c r="O139" s="460"/>
      <c r="P139" s="473">
        <v>138</v>
      </c>
      <c r="Q139" s="402"/>
      <c r="R139" s="436"/>
      <c r="S139" s="440"/>
      <c r="T139" s="357"/>
      <c r="U139" s="371"/>
      <c r="V139" s="423">
        <v>0</v>
      </c>
      <c r="W139" s="317"/>
      <c r="X139" s="603"/>
      <c r="Y139" s="706"/>
      <c r="Z139" s="535" t="str">
        <f t="shared" si="25"/>
        <v/>
      </c>
      <c r="AA139" s="552" t="str">
        <f>IFERROR($AB$1/(D139/100)*(C137/100),"")</f>
        <v/>
      </c>
      <c r="AB139" s="38"/>
    </row>
    <row r="140" spans="1:28" ht="12.75" customHeight="1">
      <c r="A140" s="348" t="s">
        <v>608</v>
      </c>
      <c r="B140" s="346">
        <v>200</v>
      </c>
      <c r="C140" s="343">
        <v>35.9</v>
      </c>
      <c r="D140" s="343">
        <v>36.6</v>
      </c>
      <c r="E140" s="346">
        <v>173</v>
      </c>
      <c r="F140" s="344">
        <v>35.89</v>
      </c>
      <c r="G140" s="585">
        <v>-2.4900000000000002E-2</v>
      </c>
      <c r="H140" s="345">
        <v>36.549999999999997</v>
      </c>
      <c r="I140" s="324">
        <v>36.6</v>
      </c>
      <c r="J140" s="324">
        <v>35.5</v>
      </c>
      <c r="K140" s="400">
        <v>36.81</v>
      </c>
      <c r="L140" s="362">
        <v>462</v>
      </c>
      <c r="M140" s="328">
        <v>1274</v>
      </c>
      <c r="N140" s="362">
        <v>12</v>
      </c>
      <c r="O140" s="462">
        <v>45296.684074074074</v>
      </c>
      <c r="P140" s="474">
        <v>139</v>
      </c>
      <c r="Q140" s="403"/>
      <c r="R140" s="437"/>
      <c r="S140" s="445"/>
      <c r="T140" s="356"/>
      <c r="U140" s="372"/>
      <c r="V140" s="424">
        <v>0</v>
      </c>
      <c r="W140" s="347"/>
      <c r="X140" s="604"/>
      <c r="Y140" s="707">
        <f>IF(D140&lt;&gt;0,($C141*(1-$V$1))-$D140,0)</f>
        <v>-1.6000000000000014</v>
      </c>
      <c r="Z140" s="534">
        <f t="shared" ref="Z140:Z141" si="26">IFERROR(D136/C140,"")</f>
        <v>1098.607242339833</v>
      </c>
      <c r="AA140" s="548">
        <f>IFERROR($AB$1/(D140/100)*(C136/100),"")</f>
        <v>553242.89617486345</v>
      </c>
      <c r="AB140" s="38"/>
    </row>
    <row r="141" spans="1:28" ht="12.75" customHeight="1">
      <c r="A141" s="429" t="s">
        <v>277</v>
      </c>
      <c r="B141" s="389">
        <v>141</v>
      </c>
      <c r="C141" s="390">
        <v>35</v>
      </c>
      <c r="D141" s="390">
        <v>35.5</v>
      </c>
      <c r="E141" s="389">
        <v>2872</v>
      </c>
      <c r="F141" s="387">
        <v>35.5</v>
      </c>
      <c r="G141" s="586">
        <v>8.8000000000000005E-3</v>
      </c>
      <c r="H141" s="378">
        <v>35</v>
      </c>
      <c r="I141" s="379">
        <v>35.5</v>
      </c>
      <c r="J141" s="379">
        <v>35</v>
      </c>
      <c r="K141" s="397">
        <v>35.188000000000002</v>
      </c>
      <c r="L141" s="384">
        <v>11967</v>
      </c>
      <c r="M141" s="380">
        <v>34086</v>
      </c>
      <c r="N141" s="384">
        <v>19</v>
      </c>
      <c r="O141" s="463">
        <v>45296.689791666664</v>
      </c>
      <c r="P141" s="473">
        <v>140</v>
      </c>
      <c r="Q141" s="404"/>
      <c r="R141" s="439"/>
      <c r="S141" s="446"/>
      <c r="T141" s="385"/>
      <c r="U141" s="371"/>
      <c r="V141" s="423">
        <v>0</v>
      </c>
      <c r="W141" s="388"/>
      <c r="X141" s="606"/>
      <c r="Y141" s="708"/>
      <c r="Z141" s="546">
        <f t="shared" si="26"/>
        <v>1097.1428571428571</v>
      </c>
      <c r="AA141" s="553">
        <f>IFERROR($AB$1/(D141/100)*(C137/100),"")</f>
        <v>562978.02816901414</v>
      </c>
      <c r="AB141" s="38"/>
    </row>
  </sheetData>
  <sortState xmlns:xlrd2="http://schemas.microsoft.com/office/spreadsheetml/2017/richdata2" ref="A15">
    <sortCondition descending="1" ref="A14:A15"/>
  </sortState>
  <mergeCells count="58">
    <mergeCell ref="Y128:Y129"/>
    <mergeCell ref="Y132:Y133"/>
    <mergeCell ref="Y134:Y135"/>
    <mergeCell ref="Y130:Y131"/>
    <mergeCell ref="Y96:Y97"/>
    <mergeCell ref="Y98:Y99"/>
    <mergeCell ref="Y102:Y103"/>
    <mergeCell ref="Y104:Y105"/>
    <mergeCell ref="Y108:Y109"/>
    <mergeCell ref="Y106:Y107"/>
    <mergeCell ref="Y100:Y101"/>
    <mergeCell ref="Y118:Y119"/>
    <mergeCell ref="Y124:Y125"/>
    <mergeCell ref="Y110:Y111"/>
    <mergeCell ref="Y114:Y115"/>
    <mergeCell ref="Y126:Y127"/>
    <mergeCell ref="AA12:AA13"/>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44:AA45"/>
    <mergeCell ref="AA2:AA3"/>
    <mergeCell ref="AA6:AA7"/>
    <mergeCell ref="AA10:AA11"/>
    <mergeCell ref="AA8:AA9"/>
    <mergeCell ref="AA4:AA5"/>
    <mergeCell ref="AA42:AA43"/>
    <mergeCell ref="AA14:AA15"/>
    <mergeCell ref="AA16:AA17"/>
    <mergeCell ref="Y140:Y141"/>
    <mergeCell ref="Y136:Y137"/>
    <mergeCell ref="Y48:Y49"/>
    <mergeCell ref="Y50:Y51"/>
    <mergeCell ref="Y54:Y55"/>
    <mergeCell ref="Y56:Y57"/>
    <mergeCell ref="Y60:Y61"/>
    <mergeCell ref="Y62:Y63"/>
    <mergeCell ref="Y66:Y67"/>
    <mergeCell ref="Y68:Y69"/>
    <mergeCell ref="Y138:Y139"/>
    <mergeCell ref="Y74:Y75"/>
    <mergeCell ref="Y112:Y113"/>
    <mergeCell ref="Y78:Y79"/>
    <mergeCell ref="Y80:Y81"/>
    <mergeCell ref="Y84:Y85"/>
    <mergeCell ref="Y86:Y87"/>
    <mergeCell ref="Y64:Y65"/>
  </mergeCells>
  <phoneticPr fontId="16" type="noConversion"/>
  <conditionalFormatting sqref="A30:A41">
    <cfRule type="expression" dxfId="981" priority="7521">
      <formula>V30&gt;0</formula>
    </cfRule>
    <cfRule type="expression" dxfId="980" priority="7522">
      <formula>V30&lt;0</formula>
    </cfRule>
  </conditionalFormatting>
  <conditionalFormatting sqref="A42">
    <cfRule type="expression" dxfId="979" priority="2367">
      <formula>V42&lt;&gt;0</formula>
    </cfRule>
  </conditionalFormatting>
  <conditionalFormatting sqref="A43">
    <cfRule type="expression" dxfId="978" priority="2366">
      <formula>V43&lt;&gt;0</formula>
    </cfRule>
  </conditionalFormatting>
  <conditionalFormatting sqref="A44">
    <cfRule type="expression" dxfId="977" priority="2365">
      <formula>V44&lt;&gt;0</formula>
    </cfRule>
  </conditionalFormatting>
  <conditionalFormatting sqref="A45">
    <cfRule type="expression" dxfId="976" priority="2364">
      <formula>V45&lt;&gt;0</formula>
    </cfRule>
  </conditionalFormatting>
  <conditionalFormatting sqref="A46:A47">
    <cfRule type="expression" dxfId="975" priority="2154">
      <formula>V46&lt;&gt;0</formula>
    </cfRule>
  </conditionalFormatting>
  <conditionalFormatting sqref="A48:A49">
    <cfRule type="expression" dxfId="974" priority="7310">
      <formula>V48&lt;&gt;0</formula>
    </cfRule>
  </conditionalFormatting>
  <conditionalFormatting sqref="A50:A51">
    <cfRule type="expression" dxfId="973" priority="7309">
      <formula>V50&lt;&gt;0</formula>
    </cfRule>
  </conditionalFormatting>
  <conditionalFormatting sqref="B42:B47 B50:B53 B56:B59 B62:B65 B68:B71 B74:B77 B80:B83 B86:B89 B92:B95 B98:B101 B104:B107 B110:B113 B116:B119 B122:B125 B128:B131 B134:B137">
    <cfRule type="cellIs" dxfId="972" priority="7998" operator="greaterThan">
      <formula>E42</formula>
    </cfRule>
  </conditionalFormatting>
  <conditionalFormatting sqref="B140:B141">
    <cfRule type="cellIs" dxfId="971" priority="6570" operator="greaterThan">
      <formula>E140</formula>
    </cfRule>
  </conditionalFormatting>
  <conditionalFormatting sqref="C30:C41">
    <cfRule type="cellIs" dxfId="970" priority="7524" operator="greaterThan">
      <formula>F30</formula>
    </cfRule>
  </conditionalFormatting>
  <conditionalFormatting sqref="E42:E47 E50:E53 E56:E59 E62:E65 E68:E71 E74:E77 E80:E83 E86:E89 E92:E95 E98:E101 E104:E107 E110:E113 E116:E119 E122:E125 E128:E131 E134:E137">
    <cfRule type="cellIs" dxfId="969" priority="7997" operator="greaterThan">
      <formula>B42</formula>
    </cfRule>
  </conditionalFormatting>
  <conditionalFormatting sqref="E140:E141">
    <cfRule type="cellIs" dxfId="968" priority="6569" operator="greaterThan">
      <formula>B140</formula>
    </cfRule>
  </conditionalFormatting>
  <conditionalFormatting sqref="F44:F45">
    <cfRule type="cellIs" dxfId="967" priority="5028" operator="lessThan">
      <formula>D44</formula>
    </cfRule>
    <cfRule type="cellIs" dxfId="966" priority="5029" operator="greaterThan">
      <formula>D44</formula>
    </cfRule>
  </conditionalFormatting>
  <conditionalFormatting sqref="G52:G141 G2:G45">
    <cfRule type="cellIs" dxfId="965" priority="6571" operator="lessThan">
      <formula>0</formula>
    </cfRule>
  </conditionalFormatting>
  <conditionalFormatting sqref="Q2:T141">
    <cfRule type="cellIs" dxfId="964" priority="6080" operator="equal">
      <formula>0</formula>
    </cfRule>
  </conditionalFormatting>
  <conditionalFormatting sqref="V2:V141">
    <cfRule type="cellIs" dxfId="963" priority="6573" operator="lessThan">
      <formula>0</formula>
    </cfRule>
    <cfRule type="cellIs" dxfId="962" priority="6574" operator="equal">
      <formula>0</formula>
    </cfRule>
  </conditionalFormatting>
  <conditionalFormatting sqref="W2:X141">
    <cfRule type="cellIs" dxfId="961" priority="6079" operator="equal">
      <formula>0</formula>
    </cfRule>
  </conditionalFormatting>
  <conditionalFormatting sqref="Y42:Y46 Y48 Y50 Y54 Y60 Y66 Y72 Y78 Y84 Y90 Y96 Y102 Y108 Y114 Y120 Y126 Y132 Y138 Y56 Y62 Y68 Y74 Y80 Y86 Y92 Y98 Y104 Y110 Y116 Y122 Y128 Y134 Y140">
    <cfRule type="cellIs" dxfId="960" priority="2176" operator="lessThanOrEqual">
      <formula>0</formula>
    </cfRule>
  </conditionalFormatting>
  <conditionalFormatting sqref="Y43">
    <cfRule type="expression" dxfId="959" priority="9260">
      <formula>Y43&gt;$AE$1*$AD$1</formula>
    </cfRule>
  </conditionalFormatting>
  <conditionalFormatting sqref="Y44">
    <cfRule type="expression" dxfId="958" priority="9278">
      <formula>Y45&gt;$AE$1*$AD$1</formula>
    </cfRule>
  </conditionalFormatting>
  <conditionalFormatting sqref="Y45">
    <cfRule type="expression" dxfId="957" priority="9261">
      <formula>Y45&gt;$AE$1*$AD$1</formula>
    </cfRule>
  </conditionalFormatting>
  <conditionalFormatting sqref="Y46">
    <cfRule type="expression" dxfId="956" priority="2244">
      <formula>Y47&gt;$AE$1*$AD$1</formula>
    </cfRule>
  </conditionalFormatting>
  <conditionalFormatting sqref="Y30:Z41">
    <cfRule type="cellIs" dxfId="955" priority="6823" operator="equal">
      <formula>0</formula>
    </cfRule>
  </conditionalFormatting>
  <conditionalFormatting sqref="Z42:Z43">
    <cfRule type="cellIs" dxfId="954" priority="5445" operator="greaterThan">
      <formula>0</formula>
    </cfRule>
    <cfRule type="cellIs" dxfId="953" priority="5446" operator="lessThan">
      <formula>0</formula>
    </cfRule>
    <cfRule type="cellIs" dxfId="952" priority="5447" operator="equal">
      <formula>0</formula>
    </cfRule>
  </conditionalFormatting>
  <conditionalFormatting sqref="Z44">
    <cfRule type="cellIs" dxfId="951" priority="4636" operator="greaterThan">
      <formula>Z45</formula>
    </cfRule>
    <cfRule type="cellIs" dxfId="950" priority="4637" operator="lessThan">
      <formula>Z45</formula>
    </cfRule>
    <cfRule type="cellIs" dxfId="949" priority="4638" operator="equal">
      <formula>0</formula>
    </cfRule>
  </conditionalFormatting>
  <conditionalFormatting sqref="Z45">
    <cfRule type="cellIs" dxfId="948" priority="4635" operator="equal">
      <formula>0</formula>
    </cfRule>
  </conditionalFormatting>
  <conditionalFormatting sqref="Z46">
    <cfRule type="cellIs" dxfId="947" priority="4639" operator="equal">
      <formula>0</formula>
    </cfRule>
  </conditionalFormatting>
  <conditionalFormatting sqref="W53">
    <cfRule type="cellIs" dxfId="946" priority="2136" operator="lessThan">
      <formula>0</formula>
    </cfRule>
  </conditionalFormatting>
  <conditionalFormatting sqref="W52">
    <cfRule type="cellIs" dxfId="945" priority="2135" operator="lessThan">
      <formula>0</formula>
    </cfRule>
  </conditionalFormatting>
  <conditionalFormatting sqref="W55">
    <cfRule type="cellIs" dxfId="944" priority="2134" operator="lessThan">
      <formula>0</formula>
    </cfRule>
  </conditionalFormatting>
  <conditionalFormatting sqref="W54">
    <cfRule type="cellIs" dxfId="943" priority="2133" operator="lessThan">
      <formula>0</formula>
    </cfRule>
  </conditionalFormatting>
  <conditionalFormatting sqref="W57">
    <cfRule type="cellIs" dxfId="942" priority="2132" operator="lessThan">
      <formula>0</formula>
    </cfRule>
  </conditionalFormatting>
  <conditionalFormatting sqref="W56">
    <cfRule type="cellIs" dxfId="941" priority="2131" operator="lessThan">
      <formula>0</formula>
    </cfRule>
  </conditionalFormatting>
  <conditionalFormatting sqref="W47">
    <cfRule type="cellIs" dxfId="940" priority="2130" operator="lessThan">
      <formula>0</formula>
    </cfRule>
  </conditionalFormatting>
  <conditionalFormatting sqref="W46">
    <cfRule type="cellIs" dxfId="939" priority="2129" operator="lessThan">
      <formula>0</formula>
    </cfRule>
  </conditionalFormatting>
  <conditionalFormatting sqref="W49">
    <cfRule type="cellIs" dxfId="938" priority="2128" operator="lessThan">
      <formula>0</formula>
    </cfRule>
  </conditionalFormatting>
  <conditionalFormatting sqref="W48">
    <cfRule type="cellIs" dxfId="937" priority="2127" operator="lessThan">
      <formula>0</formula>
    </cfRule>
  </conditionalFormatting>
  <conditionalFormatting sqref="W51">
    <cfRule type="cellIs" dxfId="936" priority="2126" operator="lessThan">
      <formula>0</formula>
    </cfRule>
  </conditionalFormatting>
  <conditionalFormatting sqref="W50">
    <cfRule type="cellIs" dxfId="935" priority="2125" operator="lessThan">
      <formula>0</formula>
    </cfRule>
  </conditionalFormatting>
  <conditionalFormatting sqref="W59">
    <cfRule type="cellIs" dxfId="934" priority="2124" operator="lessThan">
      <formula>0</formula>
    </cfRule>
  </conditionalFormatting>
  <conditionalFormatting sqref="W58">
    <cfRule type="cellIs" dxfId="933" priority="2123" operator="lessThan">
      <formula>0</formula>
    </cfRule>
  </conditionalFormatting>
  <conditionalFormatting sqref="W61">
    <cfRule type="cellIs" dxfId="932" priority="2122" operator="lessThan">
      <formula>0</formula>
    </cfRule>
  </conditionalFormatting>
  <conditionalFormatting sqref="W60">
    <cfRule type="cellIs" dxfId="931" priority="2121" operator="lessThan">
      <formula>0</formula>
    </cfRule>
  </conditionalFormatting>
  <conditionalFormatting sqref="W63">
    <cfRule type="cellIs" dxfId="930" priority="2120" operator="lessThan">
      <formula>0</formula>
    </cfRule>
  </conditionalFormatting>
  <conditionalFormatting sqref="W62">
    <cfRule type="cellIs" dxfId="929" priority="2119" operator="lessThan">
      <formula>0</formula>
    </cfRule>
  </conditionalFormatting>
  <conditionalFormatting sqref="W65">
    <cfRule type="cellIs" dxfId="928" priority="2118" operator="lessThan">
      <formula>0</formula>
    </cfRule>
  </conditionalFormatting>
  <conditionalFormatting sqref="W64">
    <cfRule type="cellIs" dxfId="927" priority="2117" operator="lessThan">
      <formula>0</formula>
    </cfRule>
  </conditionalFormatting>
  <conditionalFormatting sqref="W67">
    <cfRule type="cellIs" dxfId="926" priority="2116" operator="lessThan">
      <formula>0</formula>
    </cfRule>
  </conditionalFormatting>
  <conditionalFormatting sqref="W66">
    <cfRule type="cellIs" dxfId="925" priority="2115" operator="lessThan">
      <formula>0</formula>
    </cfRule>
  </conditionalFormatting>
  <conditionalFormatting sqref="W69">
    <cfRule type="cellIs" dxfId="924" priority="2114" operator="lessThan">
      <formula>0</formula>
    </cfRule>
  </conditionalFormatting>
  <conditionalFormatting sqref="W68">
    <cfRule type="cellIs" dxfId="923" priority="2113" operator="lessThan">
      <formula>0</formula>
    </cfRule>
  </conditionalFormatting>
  <conditionalFormatting sqref="W71">
    <cfRule type="cellIs" dxfId="922" priority="2112" operator="lessThan">
      <formula>0</formula>
    </cfRule>
  </conditionalFormatting>
  <conditionalFormatting sqref="W70">
    <cfRule type="cellIs" dxfId="921" priority="2111" operator="lessThan">
      <formula>0</formula>
    </cfRule>
  </conditionalFormatting>
  <conditionalFormatting sqref="W73">
    <cfRule type="cellIs" dxfId="920" priority="2110" operator="lessThan">
      <formula>0</formula>
    </cfRule>
  </conditionalFormatting>
  <conditionalFormatting sqref="W72">
    <cfRule type="cellIs" dxfId="919" priority="2109" operator="lessThan">
      <formula>0</formula>
    </cfRule>
  </conditionalFormatting>
  <conditionalFormatting sqref="W75">
    <cfRule type="cellIs" dxfId="918" priority="2108" operator="lessThan">
      <formula>0</formula>
    </cfRule>
  </conditionalFormatting>
  <conditionalFormatting sqref="W74">
    <cfRule type="cellIs" dxfId="917" priority="2107" operator="lessThan">
      <formula>0</formula>
    </cfRule>
  </conditionalFormatting>
  <conditionalFormatting sqref="W77">
    <cfRule type="cellIs" dxfId="916" priority="2106" operator="lessThan">
      <formula>0</formula>
    </cfRule>
  </conditionalFormatting>
  <conditionalFormatting sqref="W76">
    <cfRule type="cellIs" dxfId="915" priority="2105" operator="lessThan">
      <formula>0</formula>
    </cfRule>
  </conditionalFormatting>
  <conditionalFormatting sqref="W79">
    <cfRule type="cellIs" dxfId="914" priority="2104" operator="lessThan">
      <formula>0</formula>
    </cfRule>
  </conditionalFormatting>
  <conditionalFormatting sqref="W78">
    <cfRule type="cellIs" dxfId="913" priority="2103" operator="lessThan">
      <formula>0</formula>
    </cfRule>
  </conditionalFormatting>
  <conditionalFormatting sqref="W81">
    <cfRule type="cellIs" dxfId="912" priority="2102" operator="lessThan">
      <formula>0</formula>
    </cfRule>
  </conditionalFormatting>
  <conditionalFormatting sqref="W80">
    <cfRule type="cellIs" dxfId="911" priority="2101" operator="lessThan">
      <formula>0</formula>
    </cfRule>
  </conditionalFormatting>
  <conditionalFormatting sqref="W83">
    <cfRule type="cellIs" dxfId="910" priority="2100" operator="lessThan">
      <formula>0</formula>
    </cfRule>
  </conditionalFormatting>
  <conditionalFormatting sqref="W82">
    <cfRule type="cellIs" dxfId="909" priority="2099" operator="lessThan">
      <formula>0</formula>
    </cfRule>
  </conditionalFormatting>
  <conditionalFormatting sqref="W85">
    <cfRule type="cellIs" dxfId="908" priority="2098" operator="lessThan">
      <formula>0</formula>
    </cfRule>
  </conditionalFormatting>
  <conditionalFormatting sqref="W84">
    <cfRule type="cellIs" dxfId="907" priority="2097" operator="lessThan">
      <formula>0</formula>
    </cfRule>
  </conditionalFormatting>
  <conditionalFormatting sqref="W87">
    <cfRule type="cellIs" dxfId="906" priority="2096" operator="lessThan">
      <formula>0</formula>
    </cfRule>
  </conditionalFormatting>
  <conditionalFormatting sqref="W86">
    <cfRule type="cellIs" dxfId="905" priority="2095" operator="lessThan">
      <formula>0</formula>
    </cfRule>
  </conditionalFormatting>
  <conditionalFormatting sqref="W89">
    <cfRule type="cellIs" dxfId="904" priority="2094" operator="lessThan">
      <formula>0</formula>
    </cfRule>
  </conditionalFormatting>
  <conditionalFormatting sqref="W88">
    <cfRule type="cellIs" dxfId="903" priority="2093" operator="lessThan">
      <formula>0</formula>
    </cfRule>
  </conditionalFormatting>
  <conditionalFormatting sqref="W91">
    <cfRule type="cellIs" dxfId="902" priority="2092" operator="lessThan">
      <formula>0</formula>
    </cfRule>
  </conditionalFormatting>
  <conditionalFormatting sqref="W90">
    <cfRule type="cellIs" dxfId="901" priority="2091" operator="lessThan">
      <formula>0</formula>
    </cfRule>
  </conditionalFormatting>
  <conditionalFormatting sqref="W93">
    <cfRule type="cellIs" dxfId="900" priority="2090" operator="lessThan">
      <formula>0</formula>
    </cfRule>
  </conditionalFormatting>
  <conditionalFormatting sqref="W92">
    <cfRule type="cellIs" dxfId="899" priority="2089" operator="lessThan">
      <formula>0</formula>
    </cfRule>
  </conditionalFormatting>
  <conditionalFormatting sqref="W95">
    <cfRule type="cellIs" dxfId="898" priority="2088" operator="lessThan">
      <formula>0</formula>
    </cfRule>
  </conditionalFormatting>
  <conditionalFormatting sqref="W94">
    <cfRule type="cellIs" dxfId="897" priority="2087" operator="lessThan">
      <formula>0</formula>
    </cfRule>
  </conditionalFormatting>
  <conditionalFormatting sqref="W97">
    <cfRule type="cellIs" dxfId="896" priority="2086" operator="lessThan">
      <formula>0</formula>
    </cfRule>
  </conditionalFormatting>
  <conditionalFormatting sqref="W96">
    <cfRule type="cellIs" dxfId="895" priority="2085" operator="lessThan">
      <formula>0</formula>
    </cfRule>
  </conditionalFormatting>
  <conditionalFormatting sqref="W99">
    <cfRule type="cellIs" dxfId="894" priority="2084" operator="lessThan">
      <formula>0</formula>
    </cfRule>
  </conditionalFormatting>
  <conditionalFormatting sqref="W98">
    <cfRule type="cellIs" dxfId="893" priority="2083" operator="lessThan">
      <formula>0</formula>
    </cfRule>
  </conditionalFormatting>
  <conditionalFormatting sqref="W101">
    <cfRule type="cellIs" dxfId="892" priority="2082" operator="lessThan">
      <formula>0</formula>
    </cfRule>
  </conditionalFormatting>
  <conditionalFormatting sqref="W100">
    <cfRule type="cellIs" dxfId="891" priority="2081" operator="lessThan">
      <formula>0</formula>
    </cfRule>
  </conditionalFormatting>
  <conditionalFormatting sqref="W103">
    <cfRule type="cellIs" dxfId="890" priority="2080" operator="lessThan">
      <formula>0</formula>
    </cfRule>
  </conditionalFormatting>
  <conditionalFormatting sqref="W102">
    <cfRule type="cellIs" dxfId="889" priority="2079" operator="lessThan">
      <formula>0</formula>
    </cfRule>
  </conditionalFormatting>
  <conditionalFormatting sqref="W105">
    <cfRule type="cellIs" dxfId="888" priority="2078" operator="lessThan">
      <formula>0</formula>
    </cfRule>
  </conditionalFormatting>
  <conditionalFormatting sqref="W104">
    <cfRule type="cellIs" dxfId="887" priority="2077" operator="lessThan">
      <formula>0</formula>
    </cfRule>
  </conditionalFormatting>
  <conditionalFormatting sqref="W107">
    <cfRule type="cellIs" dxfId="886" priority="2076" operator="lessThan">
      <formula>0</formula>
    </cfRule>
  </conditionalFormatting>
  <conditionalFormatting sqref="W106">
    <cfRule type="cellIs" dxfId="885" priority="2075" operator="lessThan">
      <formula>0</formula>
    </cfRule>
  </conditionalFormatting>
  <conditionalFormatting sqref="W109">
    <cfRule type="cellIs" dxfId="884" priority="2074" operator="lessThan">
      <formula>0</formula>
    </cfRule>
  </conditionalFormatting>
  <conditionalFormatting sqref="W108">
    <cfRule type="cellIs" dxfId="883" priority="2073" operator="lessThan">
      <formula>0</formula>
    </cfRule>
  </conditionalFormatting>
  <conditionalFormatting sqref="W111">
    <cfRule type="cellIs" dxfId="882" priority="2072" operator="lessThan">
      <formula>0</formula>
    </cfRule>
  </conditionalFormatting>
  <conditionalFormatting sqref="W110">
    <cfRule type="cellIs" dxfId="881" priority="2071" operator="lessThan">
      <formula>0</formula>
    </cfRule>
  </conditionalFormatting>
  <conditionalFormatting sqref="W113">
    <cfRule type="cellIs" dxfId="880" priority="2070" operator="lessThan">
      <formula>0</formula>
    </cfRule>
  </conditionalFormatting>
  <conditionalFormatting sqref="W112">
    <cfRule type="cellIs" dxfId="879" priority="2069" operator="lessThan">
      <formula>0</formula>
    </cfRule>
  </conditionalFormatting>
  <conditionalFormatting sqref="W115">
    <cfRule type="cellIs" dxfId="878" priority="2068" operator="lessThan">
      <formula>0</formula>
    </cfRule>
  </conditionalFormatting>
  <conditionalFormatting sqref="W114">
    <cfRule type="cellIs" dxfId="877" priority="2067" operator="lessThan">
      <formula>0</formula>
    </cfRule>
  </conditionalFormatting>
  <conditionalFormatting sqref="W117">
    <cfRule type="cellIs" dxfId="876" priority="2066" operator="lessThan">
      <formula>0</formula>
    </cfRule>
  </conditionalFormatting>
  <conditionalFormatting sqref="W116">
    <cfRule type="cellIs" dxfId="875" priority="2065" operator="lessThan">
      <formula>0</formula>
    </cfRule>
  </conditionalFormatting>
  <conditionalFormatting sqref="W119">
    <cfRule type="cellIs" dxfId="874" priority="2064" operator="lessThan">
      <formula>0</formula>
    </cfRule>
  </conditionalFormatting>
  <conditionalFormatting sqref="W118">
    <cfRule type="cellIs" dxfId="873" priority="2063" operator="lessThan">
      <formula>0</formula>
    </cfRule>
  </conditionalFormatting>
  <conditionalFormatting sqref="W121">
    <cfRule type="cellIs" dxfId="872" priority="2062" operator="lessThan">
      <formula>0</formula>
    </cfRule>
  </conditionalFormatting>
  <conditionalFormatting sqref="W120">
    <cfRule type="cellIs" dxfId="871" priority="2061" operator="lessThan">
      <formula>0</formula>
    </cfRule>
  </conditionalFormatting>
  <conditionalFormatting sqref="W123">
    <cfRule type="cellIs" dxfId="870" priority="2060" operator="lessThan">
      <formula>0</formula>
    </cfRule>
  </conditionalFormatting>
  <conditionalFormatting sqref="W122">
    <cfRule type="cellIs" dxfId="869" priority="2059" operator="lessThan">
      <formula>0</formula>
    </cfRule>
  </conditionalFormatting>
  <conditionalFormatting sqref="W125">
    <cfRule type="cellIs" dxfId="868" priority="2058" operator="lessThan">
      <formula>0</formula>
    </cfRule>
  </conditionalFormatting>
  <conditionalFormatting sqref="W124">
    <cfRule type="cellIs" dxfId="867" priority="2057" operator="lessThan">
      <formula>0</formula>
    </cfRule>
  </conditionalFormatting>
  <conditionalFormatting sqref="W127">
    <cfRule type="cellIs" dxfId="866" priority="2056" operator="lessThan">
      <formula>0</formula>
    </cfRule>
  </conditionalFormatting>
  <conditionalFormatting sqref="W126">
    <cfRule type="cellIs" dxfId="865" priority="2055" operator="lessThan">
      <formula>0</formula>
    </cfRule>
  </conditionalFormatting>
  <conditionalFormatting sqref="W129">
    <cfRule type="cellIs" dxfId="864" priority="2054" operator="lessThan">
      <formula>0</formula>
    </cfRule>
  </conditionalFormatting>
  <conditionalFormatting sqref="W128">
    <cfRule type="cellIs" dxfId="863" priority="2053" operator="lessThan">
      <formula>0</formula>
    </cfRule>
  </conditionalFormatting>
  <conditionalFormatting sqref="W131">
    <cfRule type="cellIs" dxfId="862" priority="2052" operator="lessThan">
      <formula>0</formula>
    </cfRule>
  </conditionalFormatting>
  <conditionalFormatting sqref="W130">
    <cfRule type="cellIs" dxfId="861" priority="2051" operator="lessThan">
      <formula>0</formula>
    </cfRule>
  </conditionalFormatting>
  <conditionalFormatting sqref="W133">
    <cfRule type="cellIs" dxfId="860" priority="2050" operator="lessThan">
      <formula>0</formula>
    </cfRule>
  </conditionalFormatting>
  <conditionalFormatting sqref="W132">
    <cfRule type="cellIs" dxfId="859" priority="2049" operator="lessThan">
      <formula>0</formula>
    </cfRule>
  </conditionalFormatting>
  <conditionalFormatting sqref="W135">
    <cfRule type="cellIs" dxfId="858" priority="2048" operator="lessThan">
      <formula>0</formula>
    </cfRule>
  </conditionalFormatting>
  <conditionalFormatting sqref="W134">
    <cfRule type="cellIs" dxfId="857" priority="2047" operator="lessThan">
      <formula>0</formula>
    </cfRule>
  </conditionalFormatting>
  <conditionalFormatting sqref="W19">
    <cfRule type="cellIs" dxfId="856" priority="2034" operator="lessThan">
      <formula>0</formula>
    </cfRule>
  </conditionalFormatting>
  <conditionalFormatting sqref="W18">
    <cfRule type="cellIs" dxfId="855" priority="2033" operator="lessThan">
      <formula>0</formula>
    </cfRule>
  </conditionalFormatting>
  <conditionalFormatting sqref="W21">
    <cfRule type="cellIs" dxfId="854" priority="2032" operator="lessThan">
      <formula>0</formula>
    </cfRule>
  </conditionalFormatting>
  <conditionalFormatting sqref="W20">
    <cfRule type="cellIs" dxfId="853" priority="2031" operator="lessThan">
      <formula>0</formula>
    </cfRule>
  </conditionalFormatting>
  <conditionalFormatting sqref="W11 W15">
    <cfRule type="cellIs" dxfId="852" priority="2030" operator="lessThan">
      <formula>0</formula>
    </cfRule>
  </conditionalFormatting>
  <conditionalFormatting sqref="W10 W14">
    <cfRule type="cellIs" dxfId="851" priority="2029" operator="lessThan">
      <formula>0</formula>
    </cfRule>
  </conditionalFormatting>
  <conditionalFormatting sqref="W13 W17">
    <cfRule type="cellIs" dxfId="850" priority="2028" operator="lessThan">
      <formula>0</formula>
    </cfRule>
  </conditionalFormatting>
  <conditionalFormatting sqref="W12 W16">
    <cfRule type="cellIs" dxfId="849" priority="2027" operator="lessThan">
      <formula>0</formula>
    </cfRule>
  </conditionalFormatting>
  <conditionalFormatting sqref="Z2 Z6 Z10 Z14">
    <cfRule type="cellIs" dxfId="848" priority="1797" operator="equal">
      <formula>0</formula>
    </cfRule>
  </conditionalFormatting>
  <conditionalFormatting sqref="Z3 Z7 Z11 Z15">
    <cfRule type="cellIs" dxfId="847" priority="1796" operator="equal">
      <formula>0</formula>
    </cfRule>
  </conditionalFormatting>
  <conditionalFormatting sqref="Z4 Z8 Z12 Z16">
    <cfRule type="cellIs" dxfId="846" priority="1795" operator="equal">
      <formula>0</formula>
    </cfRule>
  </conditionalFormatting>
  <conditionalFormatting sqref="Z5 Z9 Z13 Z17">
    <cfRule type="cellIs" dxfId="845" priority="1794" operator="equal">
      <formula>0</formula>
    </cfRule>
  </conditionalFormatting>
  <conditionalFormatting sqref="A52:A53">
    <cfRule type="expression" dxfId="844" priority="1747">
      <formula>V52&lt;&gt;0</formula>
    </cfRule>
  </conditionalFormatting>
  <conditionalFormatting sqref="A54:A55">
    <cfRule type="expression" dxfId="843" priority="1749">
      <formula>V54&lt;&gt;0</formula>
    </cfRule>
  </conditionalFormatting>
  <conditionalFormatting sqref="A56:A57">
    <cfRule type="expression" dxfId="842" priority="1748">
      <formula>V56&lt;&gt;0</formula>
    </cfRule>
  </conditionalFormatting>
  <conditionalFormatting sqref="A58:A59">
    <cfRule type="expression" dxfId="841" priority="1744">
      <formula>V58&lt;&gt;0</formula>
    </cfRule>
  </conditionalFormatting>
  <conditionalFormatting sqref="A60:A61">
    <cfRule type="expression" dxfId="840" priority="1746">
      <formula>V60&lt;&gt;0</formula>
    </cfRule>
  </conditionalFormatting>
  <conditionalFormatting sqref="A62:A63">
    <cfRule type="expression" dxfId="839" priority="1745">
      <formula>V62&lt;&gt;0</formula>
    </cfRule>
  </conditionalFormatting>
  <conditionalFormatting sqref="A64:A65">
    <cfRule type="expression" dxfId="838" priority="1741">
      <formula>V64&lt;&gt;0</formula>
    </cfRule>
  </conditionalFormatting>
  <conditionalFormatting sqref="A66:A67">
    <cfRule type="expression" dxfId="837" priority="1743">
      <formula>V66&lt;&gt;0</formula>
    </cfRule>
  </conditionalFormatting>
  <conditionalFormatting sqref="A68:A69">
    <cfRule type="expression" dxfId="836" priority="1742">
      <formula>V68&lt;&gt;0</formula>
    </cfRule>
  </conditionalFormatting>
  <conditionalFormatting sqref="A70:A71">
    <cfRule type="expression" dxfId="835" priority="1738">
      <formula>V70&lt;&gt;0</formula>
    </cfRule>
  </conditionalFormatting>
  <conditionalFormatting sqref="A72:A73">
    <cfRule type="expression" dxfId="834" priority="1740">
      <formula>V72&lt;&gt;0</formula>
    </cfRule>
  </conditionalFormatting>
  <conditionalFormatting sqref="A74:A75">
    <cfRule type="expression" dxfId="833" priority="1739">
      <formula>V74&lt;&gt;0</formula>
    </cfRule>
  </conditionalFormatting>
  <conditionalFormatting sqref="A76:A77">
    <cfRule type="expression" dxfId="832" priority="1735">
      <formula>V76&lt;&gt;0</formula>
    </cfRule>
  </conditionalFormatting>
  <conditionalFormatting sqref="A78:A79">
    <cfRule type="expression" dxfId="831" priority="1737">
      <formula>V78&lt;&gt;0</formula>
    </cfRule>
  </conditionalFormatting>
  <conditionalFormatting sqref="A80:A81">
    <cfRule type="expression" dxfId="830" priority="1736">
      <formula>V80&lt;&gt;0</formula>
    </cfRule>
  </conditionalFormatting>
  <conditionalFormatting sqref="A82:A83">
    <cfRule type="expression" dxfId="829" priority="1732">
      <formula>V82&lt;&gt;0</formula>
    </cfRule>
  </conditionalFormatting>
  <conditionalFormatting sqref="A84:A85">
    <cfRule type="expression" dxfId="828" priority="1734">
      <formula>V84&lt;&gt;0</formula>
    </cfRule>
  </conditionalFormatting>
  <conditionalFormatting sqref="A86:A87">
    <cfRule type="expression" dxfId="827" priority="1733">
      <formula>V86&lt;&gt;0</formula>
    </cfRule>
  </conditionalFormatting>
  <conditionalFormatting sqref="A88:A89">
    <cfRule type="expression" dxfId="826" priority="1729">
      <formula>V88&lt;&gt;0</formula>
    </cfRule>
  </conditionalFormatting>
  <conditionalFormatting sqref="A90:A91">
    <cfRule type="expression" dxfId="825" priority="1731">
      <formula>V90&lt;&gt;0</formula>
    </cfRule>
  </conditionalFormatting>
  <conditionalFormatting sqref="A92:A93">
    <cfRule type="expression" dxfId="824" priority="1730">
      <formula>V92&lt;&gt;0</formula>
    </cfRule>
  </conditionalFormatting>
  <conditionalFormatting sqref="A94:A95">
    <cfRule type="expression" dxfId="823" priority="1726">
      <formula>V94&lt;&gt;0</formula>
    </cfRule>
  </conditionalFormatting>
  <conditionalFormatting sqref="A96:A97">
    <cfRule type="expression" dxfId="822" priority="1728">
      <formula>V96&lt;&gt;0</formula>
    </cfRule>
  </conditionalFormatting>
  <conditionalFormatting sqref="A98:A99">
    <cfRule type="expression" dxfId="821" priority="1727">
      <formula>V98&lt;&gt;0</formula>
    </cfRule>
  </conditionalFormatting>
  <conditionalFormatting sqref="A100:A101">
    <cfRule type="expression" dxfId="820" priority="1723">
      <formula>V100&lt;&gt;0</formula>
    </cfRule>
  </conditionalFormatting>
  <conditionalFormatting sqref="A102:A103">
    <cfRule type="expression" dxfId="819" priority="1725">
      <formula>V102&lt;&gt;0</formula>
    </cfRule>
  </conditionalFormatting>
  <conditionalFormatting sqref="A104:A105">
    <cfRule type="expression" dxfId="818" priority="1724">
      <formula>V104&lt;&gt;0</formula>
    </cfRule>
  </conditionalFormatting>
  <conditionalFormatting sqref="A106:A107">
    <cfRule type="expression" dxfId="817" priority="1720">
      <formula>V106&lt;&gt;0</formula>
    </cfRule>
  </conditionalFormatting>
  <conditionalFormatting sqref="A108:A109">
    <cfRule type="expression" dxfId="816" priority="1722">
      <formula>V108&lt;&gt;0</formula>
    </cfRule>
  </conditionalFormatting>
  <conditionalFormatting sqref="A110:A111">
    <cfRule type="expression" dxfId="815" priority="1721">
      <formula>V110&lt;&gt;0</formula>
    </cfRule>
  </conditionalFormatting>
  <conditionalFormatting sqref="A112:A113">
    <cfRule type="expression" dxfId="814" priority="1717">
      <formula>V112&lt;&gt;0</formula>
    </cfRule>
  </conditionalFormatting>
  <conditionalFormatting sqref="A114:A115">
    <cfRule type="expression" dxfId="813" priority="1719">
      <formula>V114&lt;&gt;0</formula>
    </cfRule>
  </conditionalFormatting>
  <conditionalFormatting sqref="A116:A117">
    <cfRule type="expression" dxfId="812" priority="1718">
      <formula>V116&lt;&gt;0</formula>
    </cfRule>
  </conditionalFormatting>
  <conditionalFormatting sqref="A118:A119">
    <cfRule type="expression" dxfId="811" priority="1714">
      <formula>V118&lt;&gt;0</formula>
    </cfRule>
  </conditionalFormatting>
  <conditionalFormatting sqref="A120:A121">
    <cfRule type="expression" dxfId="810" priority="1716">
      <formula>V120&lt;&gt;0</formula>
    </cfRule>
  </conditionalFormatting>
  <conditionalFormatting sqref="A122:A123">
    <cfRule type="expression" dxfId="809" priority="1715">
      <formula>V122&lt;&gt;0</formula>
    </cfRule>
  </conditionalFormatting>
  <conditionalFormatting sqref="A124:A125">
    <cfRule type="expression" dxfId="808" priority="1711">
      <formula>V124&lt;&gt;0</formula>
    </cfRule>
  </conditionalFormatting>
  <conditionalFormatting sqref="A126:A127">
    <cfRule type="expression" dxfId="807" priority="1713">
      <formula>V126&lt;&gt;0</formula>
    </cfRule>
  </conditionalFormatting>
  <conditionalFormatting sqref="A128:A129">
    <cfRule type="expression" dxfId="806" priority="1712">
      <formula>V128&lt;&gt;0</formula>
    </cfRule>
  </conditionalFormatting>
  <conditionalFormatting sqref="A130:A131">
    <cfRule type="expression" dxfId="805" priority="1708">
      <formula>V130&lt;&gt;0</formula>
    </cfRule>
  </conditionalFormatting>
  <conditionalFormatting sqref="A132:A133">
    <cfRule type="expression" dxfId="804" priority="1710">
      <formula>V132&lt;&gt;0</formula>
    </cfRule>
  </conditionalFormatting>
  <conditionalFormatting sqref="A134:A135">
    <cfRule type="expression" dxfId="803" priority="1709">
      <formula>V134&lt;&gt;0</formula>
    </cfRule>
  </conditionalFormatting>
  <conditionalFormatting sqref="A136:A137">
    <cfRule type="expression" dxfId="802" priority="1705">
      <formula>V136&lt;&gt;0</formula>
    </cfRule>
  </conditionalFormatting>
  <conditionalFormatting sqref="A138:A139">
    <cfRule type="expression" dxfId="801" priority="1707">
      <formula>V138&lt;&gt;0</formula>
    </cfRule>
  </conditionalFormatting>
  <conditionalFormatting sqref="A140:A141">
    <cfRule type="expression" dxfId="800" priority="1706">
      <formula>V140&lt;&gt;0</formula>
    </cfRule>
  </conditionalFormatting>
  <conditionalFormatting sqref="AA50 AA56 AA62 AA68 AA74 AA80 AA86 AA92 AA98 AA104 AA110 AA116 AA122 AA128 AA134 AA140">
    <cfRule type="colorScale" priority="1674">
      <colorScale>
        <cfvo type="min"/>
        <cfvo type="max"/>
        <color rgb="FFFCFCFF"/>
        <color rgb="FF63BE7B"/>
      </colorScale>
    </cfRule>
  </conditionalFormatting>
  <conditionalFormatting sqref="Z49">
    <cfRule type="cellIs" dxfId="799" priority="1176" operator="lessThan">
      <formula>Z48</formula>
    </cfRule>
    <cfRule type="cellIs" dxfId="798" priority="1302" operator="equal">
      <formula>0</formula>
    </cfRule>
    <cfRule type="cellIs" dxfId="797" priority="1487" operator="lessThan">
      <formula>$Z48</formula>
    </cfRule>
    <cfRule type="cellIs" dxfId="796" priority="1611" operator="equal">
      <formula>0</formula>
    </cfRule>
  </conditionalFormatting>
  <conditionalFormatting sqref="Z51">
    <cfRule type="cellIs" dxfId="795" priority="1485" operator="lessThan">
      <formula>$Z50</formula>
    </cfRule>
    <cfRule type="cellIs" dxfId="794" priority="1609" operator="equal">
      <formula>0</formula>
    </cfRule>
  </conditionalFormatting>
  <conditionalFormatting sqref="Z57">
    <cfRule type="cellIs" dxfId="793" priority="1473" operator="lessThan">
      <formula>$Z56</formula>
    </cfRule>
    <cfRule type="cellIs" dxfId="792" priority="1477" operator="equal">
      <formula>0</formula>
    </cfRule>
  </conditionalFormatting>
  <conditionalFormatting sqref="Z63">
    <cfRule type="cellIs" dxfId="791" priority="1461" operator="lessThan">
      <formula>$Z62</formula>
    </cfRule>
    <cfRule type="cellIs" dxfId="790" priority="1465" operator="equal">
      <formula>0</formula>
    </cfRule>
  </conditionalFormatting>
  <conditionalFormatting sqref="Z69">
    <cfRule type="cellIs" dxfId="789" priority="1449" operator="lessThan">
      <formula>$Z68</formula>
    </cfRule>
    <cfRule type="cellIs" dxfId="788" priority="1453" operator="equal">
      <formula>0</formula>
    </cfRule>
  </conditionalFormatting>
  <conditionalFormatting sqref="Z75">
    <cfRule type="cellIs" dxfId="787" priority="1437" operator="lessThan">
      <formula>$Z74</formula>
    </cfRule>
    <cfRule type="cellIs" dxfId="786" priority="1441" operator="equal">
      <formula>0</formula>
    </cfRule>
  </conditionalFormatting>
  <conditionalFormatting sqref="Z81">
    <cfRule type="cellIs" dxfId="785" priority="1425" operator="lessThan">
      <formula>$Z80</formula>
    </cfRule>
    <cfRule type="cellIs" dxfId="784" priority="1429" operator="equal">
      <formula>0</formula>
    </cfRule>
  </conditionalFormatting>
  <conditionalFormatting sqref="Z87">
    <cfRule type="cellIs" dxfId="783" priority="1413" operator="lessThan">
      <formula>$Z86</formula>
    </cfRule>
    <cfRule type="cellIs" dxfId="782" priority="1417" operator="equal">
      <formula>0</formula>
    </cfRule>
  </conditionalFormatting>
  <conditionalFormatting sqref="Z93">
    <cfRule type="cellIs" dxfId="781" priority="1401" operator="lessThan">
      <formula>$Z92</formula>
    </cfRule>
    <cfRule type="cellIs" dxfId="780" priority="1405" operator="equal">
      <formula>0</formula>
    </cfRule>
  </conditionalFormatting>
  <conditionalFormatting sqref="Z99">
    <cfRule type="cellIs" dxfId="779" priority="1389" operator="lessThan">
      <formula>$Z98</formula>
    </cfRule>
    <cfRule type="cellIs" dxfId="778" priority="1393" operator="equal">
      <formula>0</formula>
    </cfRule>
  </conditionalFormatting>
  <conditionalFormatting sqref="Z105">
    <cfRule type="cellIs" dxfId="777" priority="1377" operator="lessThan">
      <formula>$Z104</formula>
    </cfRule>
    <cfRule type="cellIs" dxfId="776" priority="1381" operator="equal">
      <formula>0</formula>
    </cfRule>
  </conditionalFormatting>
  <conditionalFormatting sqref="Z111">
    <cfRule type="cellIs" dxfId="775" priority="1365" operator="lessThan">
      <formula>$Z110</formula>
    </cfRule>
    <cfRule type="cellIs" dxfId="774" priority="1369" operator="equal">
      <formula>0</formula>
    </cfRule>
  </conditionalFormatting>
  <conditionalFormatting sqref="Z117">
    <cfRule type="cellIs" dxfId="773" priority="1353" operator="lessThan">
      <formula>$Z116</formula>
    </cfRule>
    <cfRule type="cellIs" dxfId="772" priority="1357" operator="equal">
      <formula>0</formula>
    </cfRule>
  </conditionalFormatting>
  <conditionalFormatting sqref="Z123">
    <cfRule type="cellIs" dxfId="771" priority="1341" operator="lessThan">
      <formula>$Z122</formula>
    </cfRule>
    <cfRule type="cellIs" dxfId="770" priority="1345" operator="equal">
      <formula>0</formula>
    </cfRule>
  </conditionalFormatting>
  <conditionalFormatting sqref="Z129">
    <cfRule type="cellIs" dxfId="769" priority="1329" operator="lessThan">
      <formula>$Z128</formula>
    </cfRule>
    <cfRule type="cellIs" dxfId="768" priority="1333" operator="equal">
      <formula>0</formula>
    </cfRule>
  </conditionalFormatting>
  <conditionalFormatting sqref="Z135">
    <cfRule type="cellIs" dxfId="767" priority="1317" operator="lessThan">
      <formula>$Z134</formula>
    </cfRule>
    <cfRule type="cellIs" dxfId="766" priority="1321" operator="equal">
      <formula>0</formula>
    </cfRule>
  </conditionalFormatting>
  <conditionalFormatting sqref="Z141">
    <cfRule type="cellIs" dxfId="765" priority="1305" operator="lessThan">
      <formula>$Z140</formula>
    </cfRule>
    <cfRule type="cellIs" dxfId="764" priority="1309" operator="equal">
      <formula>0</formula>
    </cfRule>
  </conditionalFormatting>
  <conditionalFormatting sqref="Z48">
    <cfRule type="cellIs" dxfId="763" priority="1177" operator="lessThan">
      <formula>Z49</formula>
    </cfRule>
    <cfRule type="cellIs" dxfId="762" priority="1303" operator="equal">
      <formula>0</formula>
    </cfRule>
  </conditionalFormatting>
  <conditionalFormatting sqref="Z97">
    <cfRule type="cellIs" dxfId="761" priority="1238" operator="equal">
      <formula>0</formula>
    </cfRule>
    <cfRule type="cellIs" dxfId="760" priority="1240" operator="lessThan">
      <formula>$Z96</formula>
    </cfRule>
    <cfRule type="cellIs" dxfId="759" priority="1241" operator="equal">
      <formula>0</formula>
    </cfRule>
  </conditionalFormatting>
  <conditionalFormatting sqref="Z96">
    <cfRule type="cellIs" dxfId="758" priority="1239" operator="equal">
      <formula>0</formula>
    </cfRule>
  </conditionalFormatting>
  <conditionalFormatting sqref="Z103">
    <cfRule type="cellIs" dxfId="757" priority="1230" operator="equal">
      <formula>0</formula>
    </cfRule>
    <cfRule type="cellIs" dxfId="756" priority="1232" operator="lessThan">
      <formula>$Z102</formula>
    </cfRule>
    <cfRule type="cellIs" dxfId="755" priority="1233" operator="equal">
      <formula>0</formula>
    </cfRule>
  </conditionalFormatting>
  <conditionalFormatting sqref="Z102">
    <cfRule type="cellIs" dxfId="754" priority="1231" operator="equal">
      <formula>0</formula>
    </cfRule>
  </conditionalFormatting>
  <conditionalFormatting sqref="Z109">
    <cfRule type="cellIs" dxfId="753" priority="1222" operator="equal">
      <formula>0</formula>
    </cfRule>
    <cfRule type="cellIs" dxfId="752" priority="1224" operator="lessThan">
      <formula>$Z108</formula>
    </cfRule>
    <cfRule type="cellIs" dxfId="751" priority="1225" operator="equal">
      <formula>0</formula>
    </cfRule>
  </conditionalFormatting>
  <conditionalFormatting sqref="Z108">
    <cfRule type="cellIs" dxfId="750" priority="1223" operator="equal">
      <formula>0</formula>
    </cfRule>
  </conditionalFormatting>
  <conditionalFormatting sqref="Z115">
    <cfRule type="cellIs" dxfId="749" priority="1214" operator="equal">
      <formula>0</formula>
    </cfRule>
    <cfRule type="cellIs" dxfId="748" priority="1216" operator="lessThan">
      <formula>$Z114</formula>
    </cfRule>
    <cfRule type="cellIs" dxfId="747" priority="1217" operator="equal">
      <formula>0</formula>
    </cfRule>
  </conditionalFormatting>
  <conditionalFormatting sqref="Z114">
    <cfRule type="cellIs" dxfId="746" priority="1215" operator="equal">
      <formula>0</formula>
    </cfRule>
  </conditionalFormatting>
  <conditionalFormatting sqref="Z121">
    <cfRule type="cellIs" dxfId="745" priority="1206" operator="equal">
      <formula>0</formula>
    </cfRule>
    <cfRule type="cellIs" dxfId="744" priority="1208" operator="lessThan">
      <formula>$Z120</formula>
    </cfRule>
    <cfRule type="cellIs" dxfId="743" priority="1209" operator="equal">
      <formula>0</formula>
    </cfRule>
  </conditionalFormatting>
  <conditionalFormatting sqref="Z120">
    <cfRule type="cellIs" dxfId="742" priority="1207" operator="equal">
      <formula>0</formula>
    </cfRule>
  </conditionalFormatting>
  <conditionalFormatting sqref="Z127">
    <cfRule type="cellIs" dxfId="741" priority="1198" operator="equal">
      <formula>0</formula>
    </cfRule>
    <cfRule type="cellIs" dxfId="740" priority="1200" operator="lessThan">
      <formula>$Z126</formula>
    </cfRule>
    <cfRule type="cellIs" dxfId="739" priority="1201" operator="equal">
      <formula>0</formula>
    </cfRule>
  </conditionalFormatting>
  <conditionalFormatting sqref="Z126">
    <cfRule type="cellIs" dxfId="738" priority="1199" operator="equal">
      <formula>0</formula>
    </cfRule>
  </conditionalFormatting>
  <conditionalFormatting sqref="Z133">
    <cfRule type="cellIs" dxfId="737" priority="1190" operator="equal">
      <formula>0</formula>
    </cfRule>
    <cfRule type="cellIs" dxfId="736" priority="1192" operator="lessThan">
      <formula>$Z132</formula>
    </cfRule>
    <cfRule type="cellIs" dxfId="735" priority="1193" operator="equal">
      <formula>0</formula>
    </cfRule>
  </conditionalFormatting>
  <conditionalFormatting sqref="Z132">
    <cfRule type="cellIs" dxfId="734" priority="1191" operator="equal">
      <formula>0</formula>
    </cfRule>
  </conditionalFormatting>
  <conditionalFormatting sqref="Z139">
    <cfRule type="cellIs" dxfId="733" priority="1182" operator="equal">
      <formula>0</formula>
    </cfRule>
    <cfRule type="cellIs" dxfId="732" priority="1184" operator="lessThan">
      <formula>$Z138</formula>
    </cfRule>
    <cfRule type="cellIs" dxfId="731" priority="1185" operator="equal">
      <formula>0</formula>
    </cfRule>
  </conditionalFormatting>
  <conditionalFormatting sqref="Z138">
    <cfRule type="cellIs" dxfId="730" priority="1183" operator="equal">
      <formula>0</formula>
    </cfRule>
  </conditionalFormatting>
  <conditionalFormatting sqref="Z50 Z56 Z62 Z68 Z74 Z80 Z86 Z92 Z98 Z104 Z110 Z116 Z122 Z128 Z134 Z140">
    <cfRule type="colorScale" priority="1181">
      <colorScale>
        <cfvo type="min"/>
        <cfvo type="percentile" val="50"/>
        <cfvo type="max"/>
        <color rgb="FF63BE7B"/>
        <color rgb="FFFFEB84"/>
        <color rgb="FFF8696B"/>
      </colorScale>
    </cfRule>
  </conditionalFormatting>
  <conditionalFormatting sqref="Z47">
    <cfRule type="cellIs" dxfId="729" priority="1178" operator="equal">
      <formula>0</formula>
    </cfRule>
    <cfRule type="cellIs" dxfId="728" priority="1179" operator="lessThan">
      <formula>$Z46</formula>
    </cfRule>
    <cfRule type="cellIs" dxfId="727" priority="1180" operator="equal">
      <formula>0</formula>
    </cfRule>
  </conditionalFormatting>
  <conditionalFormatting sqref="Z95">
    <cfRule type="cellIs" dxfId="726" priority="1120" operator="equal">
      <formula>0</formula>
    </cfRule>
    <cfRule type="cellIs" dxfId="725" priority="1121" operator="lessThan">
      <formula>$Z94</formula>
    </cfRule>
    <cfRule type="cellIs" dxfId="724" priority="1122" operator="equal">
      <formula>0</formula>
    </cfRule>
  </conditionalFormatting>
  <conditionalFormatting sqref="Z101">
    <cfRule type="cellIs" dxfId="723" priority="1113" operator="equal">
      <formula>0</formula>
    </cfRule>
    <cfRule type="cellIs" dxfId="722" priority="1114" operator="lessThan">
      <formula>$Z100</formula>
    </cfRule>
    <cfRule type="cellIs" dxfId="721" priority="1115" operator="equal">
      <formula>0</formula>
    </cfRule>
  </conditionalFormatting>
  <conditionalFormatting sqref="Z107">
    <cfRule type="cellIs" dxfId="720" priority="1106" operator="equal">
      <formula>0</formula>
    </cfRule>
    <cfRule type="cellIs" dxfId="719" priority="1107" operator="lessThan">
      <formula>$Z106</formula>
    </cfRule>
    <cfRule type="cellIs" dxfId="718" priority="1108" operator="equal">
      <formula>0</formula>
    </cfRule>
  </conditionalFormatting>
  <conditionalFormatting sqref="Z113">
    <cfRule type="cellIs" dxfId="717" priority="1099" operator="equal">
      <formula>0</formula>
    </cfRule>
    <cfRule type="cellIs" dxfId="716" priority="1100" operator="lessThan">
      <formula>$Z112</formula>
    </cfRule>
    <cfRule type="cellIs" dxfId="715" priority="1101" operator="equal">
      <formula>0</formula>
    </cfRule>
  </conditionalFormatting>
  <conditionalFormatting sqref="Z119">
    <cfRule type="cellIs" dxfId="714" priority="1092" operator="equal">
      <formula>0</formula>
    </cfRule>
    <cfRule type="cellIs" dxfId="713" priority="1093" operator="lessThan">
      <formula>$Z118</formula>
    </cfRule>
    <cfRule type="cellIs" dxfId="712" priority="1094" operator="equal">
      <formula>0</formula>
    </cfRule>
  </conditionalFormatting>
  <conditionalFormatting sqref="Z125">
    <cfRule type="cellIs" dxfId="711" priority="1085" operator="equal">
      <formula>0</formula>
    </cfRule>
    <cfRule type="cellIs" dxfId="710" priority="1086" operator="lessThan">
      <formula>$Z124</formula>
    </cfRule>
    <cfRule type="cellIs" dxfId="709" priority="1087" operator="equal">
      <formula>0</formula>
    </cfRule>
  </conditionalFormatting>
  <conditionalFormatting sqref="Z131">
    <cfRule type="cellIs" dxfId="708" priority="1078" operator="equal">
      <formula>0</formula>
    </cfRule>
    <cfRule type="cellIs" dxfId="707" priority="1079" operator="lessThan">
      <formula>$Z130</formula>
    </cfRule>
    <cfRule type="cellIs" dxfId="706" priority="1080" operator="equal">
      <formula>0</formula>
    </cfRule>
  </conditionalFormatting>
  <conditionalFormatting sqref="Z137">
    <cfRule type="cellIs" dxfId="705" priority="1071" operator="equal">
      <formula>0</formula>
    </cfRule>
    <cfRule type="cellIs" dxfId="704" priority="1072" operator="lessThan">
      <formula>$Z136</formula>
    </cfRule>
    <cfRule type="cellIs" dxfId="703" priority="1073" operator="equal">
      <formula>0</formula>
    </cfRule>
  </conditionalFormatting>
  <conditionalFormatting sqref="Z55">
    <cfRule type="cellIs" dxfId="702" priority="1053" operator="lessThan">
      <formula>Z54</formula>
    </cfRule>
    <cfRule type="cellIs" dxfId="701" priority="1058" operator="equal">
      <formula>0</formula>
    </cfRule>
    <cfRule type="cellIs" dxfId="700" priority="1060" operator="lessThan">
      <formula>$Z54</formula>
    </cfRule>
    <cfRule type="cellIs" dxfId="699" priority="1061" operator="equal">
      <formula>0</formula>
    </cfRule>
  </conditionalFormatting>
  <conditionalFormatting sqref="Z54">
    <cfRule type="cellIs" dxfId="698" priority="1054" operator="lessThan">
      <formula>Z55</formula>
    </cfRule>
    <cfRule type="cellIs" dxfId="697" priority="1059" operator="equal">
      <formula>0</formula>
    </cfRule>
  </conditionalFormatting>
  <conditionalFormatting sqref="Z53">
    <cfRule type="cellIs" dxfId="696" priority="1055" operator="equal">
      <formula>0</formula>
    </cfRule>
    <cfRule type="cellIs" dxfId="695" priority="1056" operator="lessThan">
      <formula>$Z52</formula>
    </cfRule>
    <cfRule type="cellIs" dxfId="694" priority="1057" operator="equal">
      <formula>0</formula>
    </cfRule>
  </conditionalFormatting>
  <conditionalFormatting sqref="Z61">
    <cfRule type="cellIs" dxfId="693" priority="1043" operator="lessThan">
      <formula>Z60</formula>
    </cfRule>
    <cfRule type="cellIs" dxfId="692" priority="1048" operator="equal">
      <formula>0</formula>
    </cfRule>
    <cfRule type="cellIs" dxfId="691" priority="1050" operator="lessThan">
      <formula>$Z60</formula>
    </cfRule>
    <cfRule type="cellIs" dxfId="690" priority="1051" operator="equal">
      <formula>0</formula>
    </cfRule>
  </conditionalFormatting>
  <conditionalFormatting sqref="Z60">
    <cfRule type="cellIs" dxfId="689" priority="1044" operator="lessThan">
      <formula>Z61</formula>
    </cfRule>
    <cfRule type="cellIs" dxfId="688" priority="1049" operator="equal">
      <formula>0</formula>
    </cfRule>
  </conditionalFormatting>
  <conditionalFormatting sqref="Z59">
    <cfRule type="cellIs" dxfId="687" priority="1045" operator="equal">
      <formula>0</formula>
    </cfRule>
    <cfRule type="cellIs" dxfId="686" priority="1046" operator="lessThan">
      <formula>$Z58</formula>
    </cfRule>
    <cfRule type="cellIs" dxfId="685" priority="1047" operator="equal">
      <formula>0</formula>
    </cfRule>
  </conditionalFormatting>
  <conditionalFormatting sqref="Z67">
    <cfRule type="cellIs" dxfId="684" priority="1033" operator="lessThan">
      <formula>Z66</formula>
    </cfRule>
    <cfRule type="cellIs" dxfId="683" priority="1038" operator="equal">
      <formula>0</formula>
    </cfRule>
    <cfRule type="cellIs" dxfId="682" priority="1040" operator="lessThan">
      <formula>$Z66</formula>
    </cfRule>
    <cfRule type="cellIs" dxfId="681" priority="1041" operator="equal">
      <formula>0</formula>
    </cfRule>
  </conditionalFormatting>
  <conditionalFormatting sqref="Z66">
    <cfRule type="cellIs" dxfId="680" priority="1034" operator="lessThan">
      <formula>Z67</formula>
    </cfRule>
    <cfRule type="cellIs" dxfId="679" priority="1039" operator="equal">
      <formula>0</formula>
    </cfRule>
  </conditionalFormatting>
  <conditionalFormatting sqref="Z65">
    <cfRule type="cellIs" dxfId="678" priority="1035" operator="equal">
      <formula>0</formula>
    </cfRule>
    <cfRule type="cellIs" dxfId="677" priority="1036" operator="lessThan">
      <formula>$Z64</formula>
    </cfRule>
    <cfRule type="cellIs" dxfId="676" priority="1037" operator="equal">
      <formula>0</formula>
    </cfRule>
  </conditionalFormatting>
  <conditionalFormatting sqref="Z73">
    <cfRule type="cellIs" dxfId="675" priority="1023" operator="lessThan">
      <formula>Z72</formula>
    </cfRule>
    <cfRule type="cellIs" dxfId="674" priority="1028" operator="equal">
      <formula>0</formula>
    </cfRule>
    <cfRule type="cellIs" dxfId="673" priority="1030" operator="lessThan">
      <formula>$Z72</formula>
    </cfRule>
    <cfRule type="cellIs" dxfId="672" priority="1031" operator="equal">
      <formula>0</formula>
    </cfRule>
  </conditionalFormatting>
  <conditionalFormatting sqref="Z72">
    <cfRule type="cellIs" dxfId="671" priority="1024" operator="lessThan">
      <formula>Z73</formula>
    </cfRule>
    <cfRule type="cellIs" dxfId="670" priority="1029" operator="equal">
      <formula>0</formula>
    </cfRule>
  </conditionalFormatting>
  <conditionalFormatting sqref="Z71">
    <cfRule type="cellIs" dxfId="669" priority="1025" operator="equal">
      <formula>0</formula>
    </cfRule>
    <cfRule type="cellIs" dxfId="668" priority="1026" operator="lessThan">
      <formula>$Z70</formula>
    </cfRule>
    <cfRule type="cellIs" dxfId="667" priority="1027" operator="equal">
      <formula>0</formula>
    </cfRule>
  </conditionalFormatting>
  <conditionalFormatting sqref="Z79">
    <cfRule type="cellIs" dxfId="666" priority="1013" operator="lessThan">
      <formula>Z78</formula>
    </cfRule>
    <cfRule type="cellIs" dxfId="665" priority="1018" operator="equal">
      <formula>0</formula>
    </cfRule>
    <cfRule type="cellIs" dxfId="664" priority="1020" operator="lessThan">
      <formula>$Z78</formula>
    </cfRule>
    <cfRule type="cellIs" dxfId="663" priority="1021" operator="equal">
      <formula>0</formula>
    </cfRule>
  </conditionalFormatting>
  <conditionalFormatting sqref="Z78">
    <cfRule type="cellIs" dxfId="662" priority="1014" operator="lessThan">
      <formula>Z79</formula>
    </cfRule>
    <cfRule type="cellIs" dxfId="661" priority="1019" operator="equal">
      <formula>0</formula>
    </cfRule>
  </conditionalFormatting>
  <conditionalFormatting sqref="Z77">
    <cfRule type="cellIs" dxfId="660" priority="1015" operator="equal">
      <formula>0</formula>
    </cfRule>
    <cfRule type="cellIs" dxfId="659" priority="1016" operator="lessThan">
      <formula>$Z76</formula>
    </cfRule>
    <cfRule type="cellIs" dxfId="658" priority="1017" operator="equal">
      <formula>0</formula>
    </cfRule>
  </conditionalFormatting>
  <conditionalFormatting sqref="Z85">
    <cfRule type="cellIs" dxfId="657" priority="1003" operator="lessThan">
      <formula>Z84</formula>
    </cfRule>
    <cfRule type="cellIs" dxfId="656" priority="1008" operator="equal">
      <formula>0</formula>
    </cfRule>
    <cfRule type="cellIs" dxfId="655" priority="1010" operator="lessThan">
      <formula>$Z84</formula>
    </cfRule>
    <cfRule type="cellIs" dxfId="654" priority="1011" operator="equal">
      <formula>0</formula>
    </cfRule>
  </conditionalFormatting>
  <conditionalFormatting sqref="Z84">
    <cfRule type="cellIs" dxfId="653" priority="1004" operator="lessThan">
      <formula>Z85</formula>
    </cfRule>
    <cfRule type="cellIs" dxfId="652" priority="1009" operator="equal">
      <formula>0</formula>
    </cfRule>
  </conditionalFormatting>
  <conditionalFormatting sqref="Z83">
    <cfRule type="cellIs" dxfId="651" priority="1005" operator="equal">
      <formula>0</formula>
    </cfRule>
    <cfRule type="cellIs" dxfId="650" priority="1006" operator="lessThan">
      <formula>$Z82</formula>
    </cfRule>
    <cfRule type="cellIs" dxfId="649" priority="1007" operator="equal">
      <formula>0</formula>
    </cfRule>
  </conditionalFormatting>
  <conditionalFormatting sqref="Z91">
    <cfRule type="cellIs" dxfId="648" priority="993" operator="lessThan">
      <formula>Z90</formula>
    </cfRule>
    <cfRule type="cellIs" dxfId="647" priority="998" operator="equal">
      <formula>0</formula>
    </cfRule>
    <cfRule type="cellIs" dxfId="646" priority="1000" operator="lessThan">
      <formula>$Z90</formula>
    </cfRule>
    <cfRule type="cellIs" dxfId="645" priority="1001" operator="equal">
      <formula>0</formula>
    </cfRule>
  </conditionalFormatting>
  <conditionalFormatting sqref="Z90">
    <cfRule type="cellIs" dxfId="644" priority="994" operator="lessThan">
      <formula>Z91</formula>
    </cfRule>
    <cfRule type="cellIs" dxfId="643" priority="999" operator="equal">
      <formula>0</formula>
    </cfRule>
  </conditionalFormatting>
  <conditionalFormatting sqref="Z89">
    <cfRule type="cellIs" dxfId="642" priority="995" operator="equal">
      <formula>0</formula>
    </cfRule>
    <cfRule type="cellIs" dxfId="641" priority="996" operator="lessThan">
      <formula>$Z88</formula>
    </cfRule>
    <cfRule type="cellIs" dxfId="640" priority="997" operator="equal">
      <formula>0</formula>
    </cfRule>
  </conditionalFormatting>
  <conditionalFormatting sqref="Z52">
    <cfRule type="cellIs" dxfId="639" priority="991" operator="equal">
      <formula>0</formula>
    </cfRule>
  </conditionalFormatting>
  <conditionalFormatting sqref="Y46:Y47">
    <cfRule type="cellIs" dxfId="638" priority="976" operator="greaterThan">
      <formula>Z46</formula>
    </cfRule>
  </conditionalFormatting>
  <conditionalFormatting sqref="Y52">
    <cfRule type="cellIs" dxfId="637" priority="974" operator="lessThanOrEqual">
      <formula>0</formula>
    </cfRule>
  </conditionalFormatting>
  <conditionalFormatting sqref="Y52">
    <cfRule type="expression" dxfId="636" priority="975">
      <formula>Y53&gt;$AE$1*$AD$1</formula>
    </cfRule>
  </conditionalFormatting>
  <conditionalFormatting sqref="Y52:Y53">
    <cfRule type="cellIs" dxfId="635" priority="973" operator="greaterThan">
      <formula>Z52</formula>
    </cfRule>
  </conditionalFormatting>
  <conditionalFormatting sqref="Y58">
    <cfRule type="cellIs" dxfId="634" priority="971" operator="lessThanOrEqual">
      <formula>0</formula>
    </cfRule>
  </conditionalFormatting>
  <conditionalFormatting sqref="Y58">
    <cfRule type="expression" dxfId="633" priority="972">
      <formula>Y59&gt;$AE$1*$AD$1</formula>
    </cfRule>
  </conditionalFormatting>
  <conditionalFormatting sqref="Y58:Y59">
    <cfRule type="cellIs" dxfId="632" priority="970" operator="greaterThan">
      <formula>Z58</formula>
    </cfRule>
  </conditionalFormatting>
  <conditionalFormatting sqref="Y64">
    <cfRule type="cellIs" dxfId="631" priority="968" operator="lessThanOrEqual">
      <formula>0</formula>
    </cfRule>
  </conditionalFormatting>
  <conditionalFormatting sqref="Y64">
    <cfRule type="expression" dxfId="630" priority="969">
      <formula>Y65&gt;$AE$1*$AD$1</formula>
    </cfRule>
  </conditionalFormatting>
  <conditionalFormatting sqref="Y64:Y65">
    <cfRule type="cellIs" dxfId="629" priority="967" operator="greaterThan">
      <formula>Z64</formula>
    </cfRule>
  </conditionalFormatting>
  <conditionalFormatting sqref="Y70">
    <cfRule type="cellIs" dxfId="628" priority="965" operator="lessThanOrEqual">
      <formula>0</formula>
    </cfRule>
  </conditionalFormatting>
  <conditionalFormatting sqref="Y70">
    <cfRule type="expression" dxfId="627" priority="966">
      <formula>Y71&gt;$AE$1*$AD$1</formula>
    </cfRule>
  </conditionalFormatting>
  <conditionalFormatting sqref="Y70:Y71">
    <cfRule type="cellIs" dxfId="626" priority="964" operator="greaterThan">
      <formula>Z70</formula>
    </cfRule>
  </conditionalFormatting>
  <conditionalFormatting sqref="Y76">
    <cfRule type="cellIs" dxfId="625" priority="962" operator="lessThanOrEqual">
      <formula>0</formula>
    </cfRule>
  </conditionalFormatting>
  <conditionalFormatting sqref="Y76">
    <cfRule type="expression" dxfId="624" priority="963">
      <formula>Y77&gt;$AE$1*$AD$1</formula>
    </cfRule>
  </conditionalFormatting>
  <conditionalFormatting sqref="Y76:Y77">
    <cfRule type="cellIs" dxfId="623" priority="961" operator="greaterThan">
      <formula>Z76</formula>
    </cfRule>
  </conditionalFormatting>
  <conditionalFormatting sqref="Y82">
    <cfRule type="cellIs" dxfId="622" priority="959" operator="lessThanOrEqual">
      <formula>0</formula>
    </cfRule>
  </conditionalFormatting>
  <conditionalFormatting sqref="Y82">
    <cfRule type="expression" dxfId="621" priority="960">
      <formula>Y83&gt;$AE$1*$AD$1</formula>
    </cfRule>
  </conditionalFormatting>
  <conditionalFormatting sqref="Y82:Y83">
    <cfRule type="cellIs" dxfId="620" priority="958" operator="greaterThan">
      <formula>Z82</formula>
    </cfRule>
  </conditionalFormatting>
  <conditionalFormatting sqref="Y88">
    <cfRule type="cellIs" dxfId="619" priority="956" operator="lessThanOrEqual">
      <formula>0</formula>
    </cfRule>
  </conditionalFormatting>
  <conditionalFormatting sqref="Y88">
    <cfRule type="expression" dxfId="618" priority="957">
      <formula>Y89&gt;$AE$1*$AD$1</formula>
    </cfRule>
  </conditionalFormatting>
  <conditionalFormatting sqref="Y88:Y89">
    <cfRule type="cellIs" dxfId="617" priority="955" operator="greaterThan">
      <formula>Z88</formula>
    </cfRule>
  </conditionalFormatting>
  <conditionalFormatting sqref="Y94">
    <cfRule type="cellIs" dxfId="616" priority="953" operator="lessThanOrEqual">
      <formula>0</formula>
    </cfRule>
  </conditionalFormatting>
  <conditionalFormatting sqref="Y94">
    <cfRule type="expression" dxfId="615" priority="954">
      <formula>Y95&gt;$AE$1*$AD$1</formula>
    </cfRule>
  </conditionalFormatting>
  <conditionalFormatting sqref="Y94:Y95">
    <cfRule type="cellIs" dxfId="614" priority="952" operator="greaterThan">
      <formula>Z94</formula>
    </cfRule>
  </conditionalFormatting>
  <conditionalFormatting sqref="Y100">
    <cfRule type="cellIs" dxfId="613" priority="950" operator="lessThanOrEqual">
      <formula>0</formula>
    </cfRule>
  </conditionalFormatting>
  <conditionalFormatting sqref="Y100">
    <cfRule type="expression" dxfId="612" priority="951">
      <formula>Y101&gt;$AE$1*$AD$1</formula>
    </cfRule>
  </conditionalFormatting>
  <conditionalFormatting sqref="Y100:Y101">
    <cfRule type="cellIs" dxfId="611" priority="949" operator="greaterThan">
      <formula>Z100</formula>
    </cfRule>
  </conditionalFormatting>
  <conditionalFormatting sqref="Y106">
    <cfRule type="cellIs" dxfId="610" priority="947" operator="lessThanOrEqual">
      <formula>0</formula>
    </cfRule>
  </conditionalFormatting>
  <conditionalFormatting sqref="Y106">
    <cfRule type="expression" dxfId="609" priority="948">
      <formula>Y107&gt;$AE$1*$AD$1</formula>
    </cfRule>
  </conditionalFormatting>
  <conditionalFormatting sqref="Y106:Y107">
    <cfRule type="cellIs" dxfId="608" priority="946" operator="greaterThan">
      <formula>Z106</formula>
    </cfRule>
  </conditionalFormatting>
  <conditionalFormatting sqref="Y112">
    <cfRule type="cellIs" dxfId="607" priority="944" operator="lessThanOrEqual">
      <formula>0</formula>
    </cfRule>
  </conditionalFormatting>
  <conditionalFormatting sqref="Y112">
    <cfRule type="expression" dxfId="606" priority="945">
      <formula>Y113&gt;$AE$1*$AD$1</formula>
    </cfRule>
  </conditionalFormatting>
  <conditionalFormatting sqref="Y112:Y113">
    <cfRule type="cellIs" dxfId="605" priority="943" operator="greaterThan">
      <formula>Z112</formula>
    </cfRule>
  </conditionalFormatting>
  <conditionalFormatting sqref="Y118">
    <cfRule type="cellIs" dxfId="604" priority="941" operator="lessThanOrEqual">
      <formula>0</formula>
    </cfRule>
  </conditionalFormatting>
  <conditionalFormatting sqref="Y118">
    <cfRule type="expression" dxfId="603" priority="942">
      <formula>Y119&gt;$AE$1*$AD$1</formula>
    </cfRule>
  </conditionalFormatting>
  <conditionalFormatting sqref="Y118:Y119">
    <cfRule type="cellIs" dxfId="602" priority="940" operator="greaterThan">
      <formula>Z118</formula>
    </cfRule>
  </conditionalFormatting>
  <conditionalFormatting sqref="Y124">
    <cfRule type="cellIs" dxfId="601" priority="938" operator="lessThanOrEqual">
      <formula>0</formula>
    </cfRule>
  </conditionalFormatting>
  <conditionalFormatting sqref="Y124">
    <cfRule type="expression" dxfId="600" priority="939">
      <formula>Y125&gt;$AE$1*$AD$1</formula>
    </cfRule>
  </conditionalFormatting>
  <conditionalFormatting sqref="Y124:Y125">
    <cfRule type="cellIs" dxfId="599" priority="937" operator="greaterThan">
      <formula>Z124</formula>
    </cfRule>
  </conditionalFormatting>
  <conditionalFormatting sqref="Y130">
    <cfRule type="cellIs" dxfId="598" priority="935" operator="lessThanOrEqual">
      <formula>0</formula>
    </cfRule>
  </conditionalFormatting>
  <conditionalFormatting sqref="Y130">
    <cfRule type="expression" dxfId="597" priority="936">
      <formula>Y131&gt;$AE$1*$AD$1</formula>
    </cfRule>
  </conditionalFormatting>
  <conditionalFormatting sqref="Y130:Y131">
    <cfRule type="cellIs" dxfId="596" priority="934" operator="greaterThan">
      <formula>Z130</formula>
    </cfRule>
  </conditionalFormatting>
  <conditionalFormatting sqref="Y136">
    <cfRule type="cellIs" dxfId="595" priority="932" operator="lessThanOrEqual">
      <formula>0</formula>
    </cfRule>
  </conditionalFormatting>
  <conditionalFormatting sqref="Y136">
    <cfRule type="expression" dxfId="594" priority="933">
      <formula>Y137&gt;$AE$1*$AD$1</formula>
    </cfRule>
  </conditionalFormatting>
  <conditionalFormatting sqref="Y136:Y137">
    <cfRule type="cellIs" dxfId="593" priority="931" operator="greaterThan">
      <formula>Z136</formula>
    </cfRule>
  </conditionalFormatting>
  <conditionalFormatting sqref="G46:G51">
    <cfRule type="cellIs" dxfId="592" priority="929" operator="lessThan">
      <formula>0</formula>
    </cfRule>
  </conditionalFormatting>
  <conditionalFormatting sqref="G22">
    <cfRule type="cellIs" dxfId="591" priority="928" operator="equal">
      <formula>0</formula>
    </cfRule>
  </conditionalFormatting>
  <conditionalFormatting sqref="G23">
    <cfRule type="cellIs" dxfId="590" priority="927" operator="equal">
      <formula>0</formula>
    </cfRule>
  </conditionalFormatting>
  <conditionalFormatting sqref="G24">
    <cfRule type="cellIs" dxfId="589" priority="926" operator="equal">
      <formula>0</formula>
    </cfRule>
  </conditionalFormatting>
  <conditionalFormatting sqref="G25">
    <cfRule type="cellIs" dxfId="588" priority="925" operator="equal">
      <formula>0</formula>
    </cfRule>
  </conditionalFormatting>
  <conditionalFormatting sqref="G26">
    <cfRule type="cellIs" dxfId="587" priority="924" operator="equal">
      <formula>0</formula>
    </cfRule>
  </conditionalFormatting>
  <conditionalFormatting sqref="G27">
    <cfRule type="cellIs" dxfId="586" priority="923" operator="equal">
      <formula>0</formula>
    </cfRule>
  </conditionalFormatting>
  <conditionalFormatting sqref="G28">
    <cfRule type="cellIs" dxfId="585" priority="922" operator="equal">
      <formula>0</formula>
    </cfRule>
  </conditionalFormatting>
  <conditionalFormatting sqref="G29">
    <cfRule type="cellIs" dxfId="584" priority="921" operator="equal">
      <formula>0</formula>
    </cfRule>
  </conditionalFormatting>
  <conditionalFormatting sqref="G2">
    <cfRule type="cellIs" dxfId="583" priority="920" operator="equal">
      <formula>0</formula>
    </cfRule>
  </conditionalFormatting>
  <conditionalFormatting sqref="G3">
    <cfRule type="cellIs" dxfId="582" priority="919" operator="equal">
      <formula>0</formula>
    </cfRule>
  </conditionalFormatting>
  <conditionalFormatting sqref="G4">
    <cfRule type="cellIs" dxfId="581" priority="918" operator="equal">
      <formula>0</formula>
    </cfRule>
  </conditionalFormatting>
  <conditionalFormatting sqref="G5">
    <cfRule type="cellIs" dxfId="580" priority="917" operator="equal">
      <formula>0</formula>
    </cfRule>
  </conditionalFormatting>
  <conditionalFormatting sqref="G6">
    <cfRule type="cellIs" dxfId="579" priority="916" operator="equal">
      <formula>0</formula>
    </cfRule>
  </conditionalFormatting>
  <conditionalFormatting sqref="G7">
    <cfRule type="cellIs" dxfId="578" priority="915" operator="equal">
      <formula>0</formula>
    </cfRule>
  </conditionalFormatting>
  <conditionalFormatting sqref="G8">
    <cfRule type="cellIs" dxfId="577" priority="914" operator="equal">
      <formula>0</formula>
    </cfRule>
  </conditionalFormatting>
  <conditionalFormatting sqref="G9">
    <cfRule type="cellIs" dxfId="576" priority="913" operator="equal">
      <formula>0</formula>
    </cfRule>
  </conditionalFormatting>
  <conditionalFormatting sqref="G10">
    <cfRule type="cellIs" dxfId="575" priority="912" operator="equal">
      <formula>0</formula>
    </cfRule>
  </conditionalFormatting>
  <conditionalFormatting sqref="G11">
    <cfRule type="cellIs" dxfId="574" priority="911" operator="equal">
      <formula>0</formula>
    </cfRule>
  </conditionalFormatting>
  <conditionalFormatting sqref="G12">
    <cfRule type="cellIs" dxfId="573" priority="910" operator="equal">
      <formula>0</formula>
    </cfRule>
  </conditionalFormatting>
  <conditionalFormatting sqref="G13">
    <cfRule type="cellIs" dxfId="572" priority="909" operator="equal">
      <formula>0</formula>
    </cfRule>
  </conditionalFormatting>
  <conditionalFormatting sqref="G14 G18">
    <cfRule type="cellIs" dxfId="571" priority="908" operator="equal">
      <formula>0</formula>
    </cfRule>
  </conditionalFormatting>
  <conditionalFormatting sqref="G15 G19">
    <cfRule type="cellIs" dxfId="570" priority="907" operator="equal">
      <formula>0</formula>
    </cfRule>
  </conditionalFormatting>
  <conditionalFormatting sqref="G16 G20">
    <cfRule type="cellIs" dxfId="569" priority="906" operator="equal">
      <formula>0</formula>
    </cfRule>
  </conditionalFormatting>
  <conditionalFormatting sqref="G17 G21">
    <cfRule type="cellIs" dxfId="568" priority="905" operator="equal">
      <formula>0</formula>
    </cfRule>
  </conditionalFormatting>
  <conditionalFormatting sqref="Z58">
    <cfRule type="cellIs" dxfId="567" priority="900" operator="equal">
      <formula>0</formula>
    </cfRule>
  </conditionalFormatting>
  <conditionalFormatting sqref="Z64">
    <cfRule type="cellIs" dxfId="566" priority="899" operator="equal">
      <formula>0</formula>
    </cfRule>
  </conditionalFormatting>
  <conditionalFormatting sqref="Z70">
    <cfRule type="cellIs" dxfId="565" priority="898" operator="equal">
      <formula>0</formula>
    </cfRule>
  </conditionalFormatting>
  <conditionalFormatting sqref="Z76">
    <cfRule type="cellIs" dxfId="564" priority="897" operator="equal">
      <formula>0</formula>
    </cfRule>
  </conditionalFormatting>
  <conditionalFormatting sqref="Z82">
    <cfRule type="cellIs" dxfId="563" priority="896" operator="equal">
      <formula>0</formula>
    </cfRule>
  </conditionalFormatting>
  <conditionalFormatting sqref="Z88">
    <cfRule type="cellIs" dxfId="562" priority="895" operator="equal">
      <formula>0</formula>
    </cfRule>
  </conditionalFormatting>
  <conditionalFormatting sqref="Z94">
    <cfRule type="cellIs" dxfId="561" priority="894" operator="equal">
      <formula>0</formula>
    </cfRule>
  </conditionalFormatting>
  <conditionalFormatting sqref="Z100">
    <cfRule type="cellIs" dxfId="560" priority="893" operator="equal">
      <formula>0</formula>
    </cfRule>
  </conditionalFormatting>
  <conditionalFormatting sqref="Z106">
    <cfRule type="cellIs" dxfId="559" priority="892" operator="equal">
      <formula>0</formula>
    </cfRule>
  </conditionalFormatting>
  <conditionalFormatting sqref="Z112">
    <cfRule type="cellIs" dxfId="558" priority="891" operator="equal">
      <formula>0</formula>
    </cfRule>
  </conditionalFormatting>
  <conditionalFormatting sqref="Z118">
    <cfRule type="cellIs" dxfId="557" priority="890" operator="equal">
      <formula>0</formula>
    </cfRule>
  </conditionalFormatting>
  <conditionalFormatting sqref="Z124">
    <cfRule type="cellIs" dxfId="556" priority="889" operator="equal">
      <formula>0</formula>
    </cfRule>
  </conditionalFormatting>
  <conditionalFormatting sqref="Z130">
    <cfRule type="cellIs" dxfId="555" priority="888" operator="equal">
      <formula>0</formula>
    </cfRule>
  </conditionalFormatting>
  <conditionalFormatting sqref="Z136">
    <cfRule type="cellIs" dxfId="554" priority="887" operator="equal">
      <formula>0</formula>
    </cfRule>
  </conditionalFormatting>
  <conditionalFormatting sqref="Y5">
    <cfRule type="cellIs" dxfId="553" priority="848" operator="equal">
      <formula>0</formula>
    </cfRule>
    <cfRule type="cellIs" dxfId="552" priority="851" operator="greaterThan">
      <formula>Y2</formula>
    </cfRule>
  </conditionalFormatting>
  <conditionalFormatting sqref="Y3">
    <cfRule type="cellIs" dxfId="551" priority="850" operator="equal">
      <formula>0</formula>
    </cfRule>
  </conditionalFormatting>
  <conditionalFormatting sqref="Y4">
    <cfRule type="cellIs" dxfId="550" priority="849" operator="equal">
      <formula>0</formula>
    </cfRule>
  </conditionalFormatting>
  <conditionalFormatting sqref="Y9">
    <cfRule type="cellIs" dxfId="549" priority="842" operator="equal">
      <formula>0</formula>
    </cfRule>
    <cfRule type="cellIs" dxfId="548" priority="845" operator="greaterThan">
      <formula>Y6</formula>
    </cfRule>
  </conditionalFormatting>
  <conditionalFormatting sqref="Y7">
    <cfRule type="cellIs" dxfId="547" priority="844" operator="equal">
      <formula>0</formula>
    </cfRule>
  </conditionalFormatting>
  <conditionalFormatting sqref="Y8">
    <cfRule type="cellIs" dxfId="546" priority="843" operator="equal">
      <formula>0</formula>
    </cfRule>
  </conditionalFormatting>
  <conditionalFormatting sqref="Y13 Y17">
    <cfRule type="cellIs" dxfId="545" priority="836" operator="equal">
      <formula>0</formula>
    </cfRule>
    <cfRule type="cellIs" dxfId="544" priority="839" operator="greaterThan">
      <formula>Y10</formula>
    </cfRule>
  </conditionalFormatting>
  <conditionalFormatting sqref="Y11 Y15">
    <cfRule type="cellIs" dxfId="543" priority="838" operator="equal">
      <formula>0</formula>
    </cfRule>
  </conditionalFormatting>
  <conditionalFormatting sqref="Y12 Y16">
    <cfRule type="cellIs" dxfId="542" priority="837" operator="equal">
      <formula>0</formula>
    </cfRule>
  </conditionalFormatting>
  <conditionalFormatting sqref="A22">
    <cfRule type="expression" dxfId="541" priority="494">
      <formula>$V2&lt;&gt;0</formula>
    </cfRule>
  </conditionalFormatting>
  <conditionalFormatting sqref="A25">
    <cfRule type="expression" dxfId="540" priority="491">
      <formula>$V5&lt;&gt;0</formula>
    </cfRule>
  </conditionalFormatting>
  <conditionalFormatting sqref="AA48 AA54 AA60 AA66 AA72 AA78 AA84 AA90 AA96 AA102 AA108 AA114 AA120 AA126 AA132 AA138">
    <cfRule type="colorScale" priority="434">
      <colorScale>
        <cfvo type="min"/>
        <cfvo type="percentile" val="50"/>
        <cfvo type="max"/>
        <color rgb="FFF8696B"/>
        <color rgb="FFFFEB84"/>
        <color rgb="FF63BE7B"/>
      </colorScale>
    </cfRule>
  </conditionalFormatting>
  <conditionalFormatting sqref="Z54 Z48 Z60 Z66 Z72 Z78 Z84 Z90 Z96 Z102 Z108 Z114 Z120 Z126 Z132 Z138">
    <cfRule type="colorScale" priority="433">
      <colorScale>
        <cfvo type="min"/>
        <cfvo type="percentile" val="50"/>
        <cfvo type="max"/>
        <color rgb="FF63BE7B"/>
        <color rgb="FFFFEB84"/>
        <color rgb="FFF8696B"/>
      </colorScale>
    </cfRule>
  </conditionalFormatting>
  <conditionalFormatting sqref="A23">
    <cfRule type="expression" dxfId="539" priority="251">
      <formula>$V3&lt;&gt;0</formula>
    </cfRule>
  </conditionalFormatting>
  <conditionalFormatting sqref="A24">
    <cfRule type="expression" dxfId="538" priority="247">
      <formula>$V4&lt;&gt;0</formula>
    </cfRule>
  </conditionalFormatting>
  <conditionalFormatting sqref="A26">
    <cfRule type="expression" dxfId="537" priority="18">
      <formula>$V6&lt;&gt;0</formula>
    </cfRule>
  </conditionalFormatting>
  <conditionalFormatting sqref="A29">
    <cfRule type="expression" dxfId="536" priority="17">
      <formula>$V9&lt;&gt;0</formula>
    </cfRule>
  </conditionalFormatting>
  <conditionalFormatting sqref="A27">
    <cfRule type="expression" dxfId="535" priority="16">
      <formula>$V7&lt;&gt;0</formula>
    </cfRule>
  </conditionalFormatting>
  <conditionalFormatting sqref="A28">
    <cfRule type="expression" dxfId="534" priority="15">
      <formula>$V8&lt;&gt;0</formula>
    </cfRule>
  </conditionalFormatting>
  <conditionalFormatting sqref="AA22">
    <cfRule type="cellIs" dxfId="533" priority="14" operator="equal">
      <formula>0</formula>
    </cfRule>
  </conditionalFormatting>
  <conditionalFormatting sqref="AA23">
    <cfRule type="cellIs" dxfId="532" priority="13" operator="equal">
      <formula>0</formula>
    </cfRule>
  </conditionalFormatting>
  <conditionalFormatting sqref="AA24">
    <cfRule type="cellIs" dxfId="531" priority="12" operator="equal">
      <formula>0</formula>
    </cfRule>
  </conditionalFormatting>
  <conditionalFormatting sqref="AA25">
    <cfRule type="cellIs" dxfId="530" priority="11" operator="equal">
      <formula>0</formula>
    </cfRule>
  </conditionalFormatting>
  <conditionalFormatting sqref="AA26">
    <cfRule type="cellIs" dxfId="529" priority="10" operator="equal">
      <formula>0</formula>
    </cfRule>
  </conditionalFormatting>
  <conditionalFormatting sqref="AA27">
    <cfRule type="cellIs" dxfId="528" priority="9" operator="equal">
      <formula>0</formula>
    </cfRule>
  </conditionalFormatting>
  <conditionalFormatting sqref="AA28">
    <cfRule type="cellIs" dxfId="527" priority="8" operator="equal">
      <formula>0</formula>
    </cfRule>
  </conditionalFormatting>
  <conditionalFormatting sqref="AA29">
    <cfRule type="cellIs" dxfId="526" priority="7" operator="equal">
      <formula>0</formula>
    </cfRule>
  </conditionalFormatting>
  <conditionalFormatting sqref="Y5 Y9 Y13 Y17">
    <cfRule type="expression" dxfId="525" priority="9991">
      <formula>IF($Y5&gt;$Y2,AND(MID($A5,5,1)="D"))</formula>
    </cfRule>
    <cfRule type="expression" dxfId="524" priority="9992">
      <formula>IF($Y5&gt;$Y2,AND(MID($A5,5,1)="C"))</formula>
    </cfRule>
  </conditionalFormatting>
  <conditionalFormatting sqref="AA2:AA3 AA6:AA7 AA10:AA11 AA14:AA15">
    <cfRule type="expression" dxfId="523" priority="9999">
      <formula>IF($Y5&gt;$Y2,AND(MID($A2,5,1)="D"))</formula>
    </cfRule>
    <cfRule type="expression" dxfId="522" priority="10000">
      <formula>IF($Y5&gt;$Y2,AND(MID($A2,5,1)="C"))</formula>
    </cfRule>
    <cfRule type="cellIs" dxfId="521" priority="10001" operator="equal">
      <formula>0</formula>
    </cfRule>
  </conditionalFormatting>
  <conditionalFormatting sqref="AA4:AA5 AA8:AA9 AA12:AA13 AA16:AA17">
    <cfRule type="expression" dxfId="520" priority="10011">
      <formula>IF($Y5&gt;$Y2,AND(MID($A5,5,1)="D"))</formula>
    </cfRule>
    <cfRule type="expression" dxfId="519" priority="10012">
      <formula>IF($Y5&gt;$Y2,AND(MID($A5,5,1)="C"))</formula>
    </cfRule>
    <cfRule type="cellIs" dxfId="518" priority="10013" operator="equal">
      <formula>0</formula>
    </cfRule>
  </conditionalFormatting>
  <conditionalFormatting sqref="Z18:AA18 Z20:AA20">
    <cfRule type="expression" dxfId="517" priority="10023">
      <formula>IF($AA18&gt;$Y19,AND(MID($A18,5,1)=" "))</formula>
    </cfRule>
    <cfRule type="expression" dxfId="516" priority="10024">
      <formula>IF($AA18&gt;$Y19,AND(MID($A18,5,1)="C"))</formula>
    </cfRule>
    <cfRule type="expression" dxfId="515" priority="10025">
      <formula>IF($AA18&gt;$Y19,AND(MID($A18,5,1)="D"))</formula>
    </cfRule>
  </conditionalFormatting>
  <conditionalFormatting sqref="Z19:AA19 Z21:AA21">
    <cfRule type="expression" dxfId="514" priority="10029">
      <formula>IF($AA19&gt;$Y18,AND(MID($A19,5,1)=" "))</formula>
    </cfRule>
    <cfRule type="expression" dxfId="513" priority="10030">
      <formula>IF($AA19&gt;$Y18,AND(MID($A19,5,1)="C"))</formula>
    </cfRule>
    <cfRule type="expression" dxfId="512" priority="10031">
      <formula>IF($AA19&gt;$Y18,AND(MID($A19,5,1)="D"))</formula>
    </cfRule>
  </conditionalFormatting>
  <conditionalFormatting sqref="B2 B6 B10 B14 B18">
    <cfRule type="expression" dxfId="511" priority="10035">
      <formula>IF($Y5&gt;$Y2,AND(MID($A2,5,1)=" "))</formula>
    </cfRule>
    <cfRule type="expression" dxfId="510" priority="10036">
      <formula>IF($Y5&gt;$Y2,AND(MID($A2,5,1)="C"))</formula>
    </cfRule>
    <cfRule type="expression" dxfId="509" priority="10037">
      <formula>IF($Y5&gt;$Y2,AND(MID($A2,5,1)="D"))</formula>
    </cfRule>
  </conditionalFormatting>
  <conditionalFormatting sqref="E3 E7 E11 E15 E19">
    <cfRule type="expression" dxfId="508" priority="10050">
      <formula>IF($Y5&gt;$Y2,AND(MID($A3,5,1)=" "))</formula>
    </cfRule>
    <cfRule type="expression" dxfId="507" priority="10051">
      <formula>IF($Y5&gt;$Y2,AND(MID($A3,5,1)="C"))</formula>
    </cfRule>
    <cfRule type="expression" dxfId="506" priority="10052">
      <formula>IF($Y5&gt;$Y2,AND(MID($A3,5,1)="D"))</formula>
    </cfRule>
  </conditionalFormatting>
  <conditionalFormatting sqref="B4 B8 B12 B16 B20">
    <cfRule type="expression" dxfId="505" priority="10065">
      <formula>IF($Y5&gt;$Y2,AND(MID($A4,5,1)=" "))</formula>
    </cfRule>
    <cfRule type="expression" dxfId="504" priority="10066">
      <formula>IF($Y5&gt;$Y2,AND(MID($A4,5,1)="C"))</formula>
    </cfRule>
    <cfRule type="expression" dxfId="503" priority="10067">
      <formula>IF($Y5&gt;$Y2,AND(MID($A4,5,1)="D"))</formula>
    </cfRule>
  </conditionalFormatting>
  <conditionalFormatting sqref="E5 E9 E13 E17 E21">
    <cfRule type="expression" dxfId="502" priority="10080">
      <formula>IF($Y5&gt;$Y2,AND(MID($A5,5,1)=" "))</formula>
    </cfRule>
    <cfRule type="expression" dxfId="501" priority="10081">
      <formula>IF($Y5&gt;$Y2,AND(MID($A5,5,1)="C"))</formula>
    </cfRule>
    <cfRule type="expression" dxfId="500" priority="10082">
      <formula>IF($Y5&gt;$Y2,AND(MID($A5,5,1)="D"))</formula>
    </cfRule>
  </conditionalFormatting>
  <conditionalFormatting sqref="C2 C6 C10 C14 C18">
    <cfRule type="expression" dxfId="499" priority="10095">
      <formula>IF($Y5&gt;$Y2,AND(MID($A2,5,1)=" "))</formula>
    </cfRule>
    <cfRule type="expression" dxfId="498" priority="10096">
      <formula>IF($Y5&gt;$Y2,AND(MID($A2,5,1)="C"))</formula>
    </cfRule>
    <cfRule type="expression" dxfId="497" priority="10097">
      <formula>IF($Y5&gt;$Y2,AND(MID($A2,5,1)="D"))</formula>
    </cfRule>
  </conditionalFormatting>
  <conditionalFormatting sqref="D3 D7 D11 D15 D19">
    <cfRule type="expression" dxfId="496" priority="10110">
      <formula>IF($Y5&gt;$Y2,AND(MID($A3,5,1)=" "))</formula>
    </cfRule>
    <cfRule type="expression" dxfId="495" priority="10111">
      <formula>IF($Y5&gt;$Y2,AND(MID($A3,5,1)="C"))</formula>
    </cfRule>
    <cfRule type="expression" dxfId="494" priority="10112">
      <formula>IF($Y5&gt;$Y2,AND(MID($A3,5,1)="D"))</formula>
    </cfRule>
  </conditionalFormatting>
  <conditionalFormatting sqref="D5 D9 D13 D17 D21">
    <cfRule type="expression" dxfId="493" priority="10125">
      <formula>IF($Y5&gt;$Y2,AND(MID($A5,5,1)=" "))</formula>
    </cfRule>
    <cfRule type="expression" dxfId="492" priority="10126">
      <formula>IF($Y5&gt;$Y2,AND(MID($A5,5,1)="C"))</formula>
    </cfRule>
    <cfRule type="expression" dxfId="491" priority="10127">
      <formula>IF($Y5&gt;$Y2,AND(MID($A5,5,1)="D"))</formula>
    </cfRule>
  </conditionalFormatting>
  <conditionalFormatting sqref="C4 C8 C12 C16 C20">
    <cfRule type="expression" dxfId="490" priority="10140">
      <formula>IF($Y5&gt;$Y2,AND(MID($A4,5,1)=" "))</formula>
    </cfRule>
    <cfRule type="expression" dxfId="489" priority="10141">
      <formula>IF($Y5&gt;$Y2,AND(MID($A4,5,1)="C"))</formula>
    </cfRule>
    <cfRule type="expression" dxfId="488" priority="10142">
      <formula>IF($Y5&gt;$Y2,AND(MID($A4,5,1)="D"))</formula>
    </cfRule>
  </conditionalFormatting>
  <conditionalFormatting sqref="A6 A14 A18 A2 A10">
    <cfRule type="expression" dxfId="487" priority="10155">
      <formula>$V10&lt;&gt;0</formula>
    </cfRule>
    <cfRule type="expression" dxfId="486" priority="10156">
      <formula>IF($Y5&gt;$Y2,AND(MID($A2,5,1)=" "))</formula>
    </cfRule>
    <cfRule type="expression" dxfId="485" priority="10157">
      <formula>IF($Y5&gt;$Y2,AND(MID($A2,5,1)="C"))</formula>
    </cfRule>
    <cfRule type="expression" dxfId="484" priority="10158">
      <formula>IF($Y5&gt;$Y2,AND(MID($A2,5,1)="D"))</formula>
    </cfRule>
  </conditionalFormatting>
  <conditionalFormatting sqref="A9 A17 A21 A5 A13">
    <cfRule type="expression" dxfId="483" priority="10175">
      <formula>$V13&lt;&gt;0</formula>
    </cfRule>
    <cfRule type="expression" dxfId="482" priority="10176">
      <formula>IF($Y5&gt;$Y2,AND(MID($A5,5,1)=" "))</formula>
    </cfRule>
    <cfRule type="expression" dxfId="481" priority="10177">
      <formula>IF($Y5&gt;$Y2,AND(MID($A5,5,1)="C"))</formula>
    </cfRule>
    <cfRule type="expression" dxfId="480" priority="10178">
      <formula>IF($Y5&gt;$Y2,AND(MID($A5,5,1)="D"))</formula>
    </cfRule>
  </conditionalFormatting>
  <conditionalFormatting sqref="A7 A15 A19 A3 A11">
    <cfRule type="expression" dxfId="479" priority="10195">
      <formula>$V11&lt;&gt;0</formula>
    </cfRule>
    <cfRule type="expression" dxfId="478" priority="10196">
      <formula>IF($Y5&gt;$Y2,AND(MID($A3,5,1)=" "))</formula>
    </cfRule>
    <cfRule type="expression" dxfId="477" priority="10197">
      <formula>IF($Y5&gt;$Y2,AND(MID($A3,5,1)="C"))</formula>
    </cfRule>
    <cfRule type="expression" dxfId="476" priority="10198">
      <formula>IF($Y5&gt;$Y2,AND(MID($A3,5,1)="D"))</formula>
    </cfRule>
  </conditionalFormatting>
  <conditionalFormatting sqref="A8 A16 A20 A4 A12">
    <cfRule type="expression" dxfId="475" priority="10215">
      <formula>$V12&lt;&gt;0</formula>
    </cfRule>
    <cfRule type="expression" dxfId="474" priority="10216">
      <formula>IF($Y5&gt;$Y2,AND(MID($A4,5,1)=" "))</formula>
    </cfRule>
    <cfRule type="expression" dxfId="473" priority="10217">
      <formula>IF($Y5&gt;$Y2,AND(MID($A4,5,1)="C"))</formula>
    </cfRule>
    <cfRule type="expression" dxfId="472" priority="10218">
      <formula>IF($Y5&gt;$Y2,AND(MID($A4,5,1)="D"))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W3" sqref="W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customWidth="1"/>
    <col min="24" max="24" width="12"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44">
        <f>I76</f>
        <v>1136.8976000000002</v>
      </c>
      <c r="M2" s="745"/>
      <c r="N2" s="82" t="s">
        <v>350</v>
      </c>
      <c r="O2" s="83" t="s">
        <v>351</v>
      </c>
      <c r="P2" s="84" t="s">
        <v>352</v>
      </c>
      <c r="Q2" s="85" t="s">
        <v>353</v>
      </c>
      <c r="R2" s="86"/>
      <c r="S2" s="87" t="s">
        <v>354</v>
      </c>
      <c r="T2" s="313" t="s">
        <v>340</v>
      </c>
      <c r="U2" s="313" t="s">
        <v>341</v>
      </c>
      <c r="V2" s="313" t="s">
        <v>355</v>
      </c>
      <c r="W2" s="313"/>
      <c r="X2" s="313" t="s">
        <v>356</v>
      </c>
      <c r="Y2" s="368" t="s">
        <v>357</v>
      </c>
      <c r="Z2" s="368" t="s">
        <v>358</v>
      </c>
      <c r="AA2" s="368" t="s">
        <v>359</v>
      </c>
      <c r="AB2" s="368" t="s">
        <v>360</v>
      </c>
      <c r="AC2" s="368" t="s">
        <v>361</v>
      </c>
      <c r="AD2" s="369" t="s">
        <v>362</v>
      </c>
      <c r="AE2" s="241" t="s">
        <v>363</v>
      </c>
      <c r="AF2" s="314" t="s">
        <v>340</v>
      </c>
      <c r="AG2" s="315" t="s">
        <v>341</v>
      </c>
      <c r="AH2" s="314" t="s">
        <v>364</v>
      </c>
      <c r="AI2" s="314"/>
      <c r="AJ2" s="314" t="s">
        <v>356</v>
      </c>
      <c r="AK2" s="368" t="s">
        <v>357</v>
      </c>
      <c r="AL2" s="368" t="s">
        <v>358</v>
      </c>
      <c r="AM2" s="368" t="s">
        <v>359</v>
      </c>
      <c r="AN2" s="368" t="s">
        <v>360</v>
      </c>
      <c r="AO2" s="368" t="s">
        <v>361</v>
      </c>
      <c r="AP2" s="36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IFERROR(VLOOKUP($X3,HomeBroker!$A$22:$F$103,2,0),0)</f>
        <v>0</v>
      </c>
      <c r="Z3" s="242">
        <f>IFERROR(VLOOKUP($X3,HomeBroker!$A$22:$F$103,3,0),0)</f>
        <v>0</v>
      </c>
      <c r="AA3" s="243">
        <f>IFERROR(VLOOKUP($X3,HomeBroker!$A$22:$F$103,6,0),0)</f>
        <v>0</v>
      </c>
      <c r="AB3" s="242">
        <f>IFERROR(VLOOKUP($X3,HomeBroker!$A$22:$F$103,4,0),0)</f>
        <v>0</v>
      </c>
      <c r="AC3" s="242">
        <f>IFERROR(VLOOKUP($X3,HomeBroker!$A$22:$F$103,5,0),0)</f>
        <v>0</v>
      </c>
      <c r="AD3" s="305">
        <f>IFERROR(VLOOKUP($X3,HomeBroker!$A$22:$N$103,14,0),0)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IFERROR(VLOOKUP($AJ3,HomeBroker!$A$22:$F$103,2,0),0)</f>
        <v>0</v>
      </c>
      <c r="AL3" s="242">
        <f>IFERROR(VLOOKUP($AJ3,HomeBroker!$A$22:$F$103,3,0),0)</f>
        <v>0</v>
      </c>
      <c r="AM3" s="243">
        <f>IFERROR(VLOOKUP($AJ3,HomeBroker!$A$22:$F$103,6,0),0)</f>
        <v>0</v>
      </c>
      <c r="AN3" s="242">
        <f>IFERROR(VLOOKUP($AJ3,HomeBroker!$A$22:$F$103,4,0),0)</f>
        <v>0</v>
      </c>
      <c r="AO3" s="237">
        <f>IFERROR(VLOOKUP($AJ3,HomeBroker!$A$22:$F$103,5,0),0)</f>
        <v>0</v>
      </c>
      <c r="AP3" s="115">
        <f>IFERROR(VLOOKUP($AJ3,HomeBroker!$A$22:$N$103,14,0),0)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IFERROR(VLOOKUP($X4,HomeBroker!$A$22:$F$103,2,0),0)</f>
        <v>0</v>
      </c>
      <c r="Z4" s="242">
        <f>IFERROR(VLOOKUP($X4,HomeBroker!$A$22:$F$103,3,0),0)</f>
        <v>0</v>
      </c>
      <c r="AA4" s="243">
        <f>IFERROR(VLOOKUP($X4,HomeBroker!$A$22:$F$103,6,0),0)</f>
        <v>0</v>
      </c>
      <c r="AB4" s="242">
        <f>IFERROR(VLOOKUP($X4,HomeBroker!$A$22:$F$103,4,0),0)</f>
        <v>0</v>
      </c>
      <c r="AC4" s="242">
        <f>IFERROR(VLOOKUP($X4,HomeBroker!$A$22:$F$103,5,0),0)</f>
        <v>0</v>
      </c>
      <c r="AD4" s="305">
        <f>IFERROR(VLOOKUP($X4,HomeBroker!$A$22:$N$103,14,0),0)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IFERROR(VLOOKUP($AJ4,HomeBroker!$A$22:$F$103,2,0),0)</f>
        <v>0</v>
      </c>
      <c r="AL4" s="242">
        <f>IFERROR(VLOOKUP($AJ4,HomeBroker!$A$22:$F$103,3,0),0)</f>
        <v>0</v>
      </c>
      <c r="AM4" s="243">
        <f>IFERROR(VLOOKUP($AJ4,HomeBroker!$A$22:$F$103,6,0),0)</f>
        <v>0</v>
      </c>
      <c r="AN4" s="242">
        <f>IFERROR(VLOOKUP($AJ4,HomeBroker!$A$22:$F$103,4,0),0)</f>
        <v>0</v>
      </c>
      <c r="AO4" s="237">
        <f>IFERROR(VLOOKUP($AJ4,HomeBroker!$A$22:$F$103,5,0),0)</f>
        <v>0</v>
      </c>
      <c r="AP4" s="115">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IFERROR(VLOOKUP($X5,HomeBroker!$A$22:$F$103,2,0),0)</f>
        <v>0</v>
      </c>
      <c r="Z5" s="242">
        <f>IFERROR(VLOOKUP($X5,HomeBroker!$A$22:$F$103,3,0),0)</f>
        <v>0</v>
      </c>
      <c r="AA5" s="243">
        <f>IFERROR(VLOOKUP($X5,HomeBroker!$A$22:$F$103,6,0),0)</f>
        <v>0</v>
      </c>
      <c r="AB5" s="242">
        <f>IFERROR(VLOOKUP($X5,HomeBroker!$A$22:$F$103,4,0),0)</f>
        <v>0</v>
      </c>
      <c r="AC5" s="242">
        <f>IFERROR(VLOOKUP($X5,HomeBroker!$A$22:$F$103,5,0),0)</f>
        <v>0</v>
      </c>
      <c r="AD5" s="305">
        <f>IFERROR(VLOOKUP($X5,HomeBroker!$A$22:$N$103,14,0),0)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IFERROR(VLOOKUP($AJ5,HomeBroker!$A$22:$F$103,2,0),0)</f>
        <v>0</v>
      </c>
      <c r="AL5" s="242">
        <f>IFERROR(VLOOKUP($AJ5,HomeBroker!$A$22:$F$103,3,0),0)</f>
        <v>0</v>
      </c>
      <c r="AM5" s="243">
        <f>IFERROR(VLOOKUP($AJ5,HomeBroker!$A$22:$F$103,6,0),0)</f>
        <v>0</v>
      </c>
      <c r="AN5" s="242">
        <f>IFERROR(VLOOKUP($AJ5,HomeBroker!$A$22:$F$103,4,0),0)</f>
        <v>0</v>
      </c>
      <c r="AO5" s="237">
        <f>IFERROR(VLOOKUP($AJ5,HomeBroker!$A$22:$F$103,5,0),0)</f>
        <v>0</v>
      </c>
      <c r="AP5" s="115">
        <f>IFERROR(VLOOKUP($AJ5,HomeBroker!$A$22:$N$103,14,0),0)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IFERROR(VLOOKUP($X6,HomeBroker!$A$22:$F$103,2,0),0)</f>
        <v>0</v>
      </c>
      <c r="Z6" s="242">
        <f>IFERROR(VLOOKUP($X6,HomeBroker!$A$22:$F$103,3,0),0)</f>
        <v>0</v>
      </c>
      <c r="AA6" s="243">
        <f>IFERROR(VLOOKUP($X6,HomeBroker!$A$22:$F$103,6,0),0)</f>
        <v>0</v>
      </c>
      <c r="AB6" s="242">
        <f>IFERROR(VLOOKUP($X6,HomeBroker!$A$22:$F$103,4,0),0)</f>
        <v>0</v>
      </c>
      <c r="AC6" s="242">
        <f>IFERROR(VLOOKUP($X6,HomeBroker!$A$22:$F$103,5,0),0)</f>
        <v>0</v>
      </c>
      <c r="AD6" s="305">
        <f>IFERROR(VLOOKUP($X6,HomeBroker!$A$22:$N$103,14,0),0)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IFERROR(VLOOKUP($AJ6,HomeBroker!$A$22:$F$103,2,0),0)</f>
        <v>0</v>
      </c>
      <c r="AL6" s="242">
        <f>IFERROR(VLOOKUP($AJ6,HomeBroker!$A$22:$F$103,3,0),0)</f>
        <v>0</v>
      </c>
      <c r="AM6" s="243">
        <f>IFERROR(VLOOKUP($AJ6,HomeBroker!$A$22:$F$103,6,0),0)</f>
        <v>0</v>
      </c>
      <c r="AN6" s="242">
        <f>IFERROR(VLOOKUP($AJ6,HomeBroker!$A$22:$F$103,4,0),0)</f>
        <v>0</v>
      </c>
      <c r="AO6" s="237">
        <f>IFERROR(VLOOKUP($AJ6,HomeBroker!$A$22:$F$103,5,0),0)</f>
        <v>0</v>
      </c>
      <c r="AP6" s="115">
        <f>IFERROR(VLOOKUP($AJ6,HomeBroker!$A$22:$N$103,14,0),0)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IFERROR(VLOOKUP($X7,HomeBroker!$A$22:$F$103,2,0),0)</f>
        <v>0</v>
      </c>
      <c r="Z7" s="242">
        <f>IFERROR(VLOOKUP($X7,HomeBroker!$A$22:$F$103,3,0),0)</f>
        <v>0</v>
      </c>
      <c r="AA7" s="243">
        <f>IFERROR(VLOOKUP($X7,HomeBroker!$A$22:$F$103,6,0),0)</f>
        <v>0</v>
      </c>
      <c r="AB7" s="242">
        <f>IFERROR(VLOOKUP($X7,HomeBroker!$A$22:$F$103,4,0),0)</f>
        <v>0</v>
      </c>
      <c r="AC7" s="242">
        <f>IFERROR(VLOOKUP($X7,HomeBroker!$A$22:$F$103,5,0),0)</f>
        <v>0</v>
      </c>
      <c r="AD7" s="305">
        <f>IFERROR(VLOOKUP($X7,HomeBroker!$A$22:$N$103,14,0),0)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IFERROR(VLOOKUP($AJ7,HomeBroker!$A$22:$F$103,2,0),0)</f>
        <v>0</v>
      </c>
      <c r="AL7" s="242">
        <f>IFERROR(VLOOKUP($AJ7,HomeBroker!$A$22:$F$103,3,0),0)</f>
        <v>0</v>
      </c>
      <c r="AM7" s="243">
        <f>IFERROR(VLOOKUP($AJ7,HomeBroker!$A$22:$F$103,6,0),0)</f>
        <v>0</v>
      </c>
      <c r="AN7" s="242">
        <f>IFERROR(VLOOKUP($AJ7,HomeBroker!$A$22:$F$103,4,0),0)</f>
        <v>0</v>
      </c>
      <c r="AO7" s="237">
        <f>IFERROR(VLOOKUP($AJ7,HomeBroker!$A$22:$F$103,5,0),0)</f>
        <v>0</v>
      </c>
      <c r="AP7" s="115">
        <f>IFERROR(VLOOKUP($AJ7,HomeBroker!$A$22:$N$103,14,0),0)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IFERROR(VLOOKUP($X8,HomeBroker!$A$22:$F$103,2,0),0)</f>
        <v>0</v>
      </c>
      <c r="Z8" s="242">
        <f>IFERROR(VLOOKUP($X8,HomeBroker!$A$22:$F$103,3,0),0)</f>
        <v>0</v>
      </c>
      <c r="AA8" s="243">
        <f>IFERROR(VLOOKUP($X8,HomeBroker!$A$22:$F$103,6,0),0)</f>
        <v>0</v>
      </c>
      <c r="AB8" s="242">
        <f>IFERROR(VLOOKUP($X8,HomeBroker!$A$22:$F$103,4,0),0)</f>
        <v>0</v>
      </c>
      <c r="AC8" s="242">
        <f>IFERROR(VLOOKUP($X8,HomeBroker!$A$22:$F$103,5,0),0)</f>
        <v>0</v>
      </c>
      <c r="AD8" s="305">
        <f>IFERROR(VLOOKUP($X8,HomeBroker!$A$22:$N$103,14,0),0)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IFERROR(VLOOKUP($AJ8,HomeBroker!$A$22:$F$103,2,0),0)</f>
        <v>0</v>
      </c>
      <c r="AL8" s="242">
        <f>IFERROR(VLOOKUP($AJ8,HomeBroker!$A$22:$F$103,3,0),0)</f>
        <v>0</v>
      </c>
      <c r="AM8" s="243">
        <f>IFERROR(VLOOKUP($AJ8,HomeBroker!$A$22:$F$103,6,0),0)</f>
        <v>0</v>
      </c>
      <c r="AN8" s="242">
        <f>IFERROR(VLOOKUP($AJ8,HomeBroker!$A$22:$F$103,4,0),0)</f>
        <v>0</v>
      </c>
      <c r="AO8" s="237">
        <f>IFERROR(VLOOKUP($AJ8,HomeBroker!$A$22:$F$103,5,0),0)</f>
        <v>0</v>
      </c>
      <c r="AP8" s="115">
        <f>IFERROR(VLOOKUP($AJ8,HomeBroker!$A$22:$N$103,14,0),0)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2"/>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46" t="s">
        <v>450</v>
      </c>
      <c r="O36" s="723"/>
      <c r="P36" s="724"/>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46" t="s">
        <v>451</v>
      </c>
      <c r="O37" s="723"/>
      <c r="P37" s="724"/>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47" t="s">
        <v>452</v>
      </c>
      <c r="O38" s="723"/>
      <c r="P38" s="724"/>
      <c r="Q38" s="174">
        <f>SUM(T3:T42)</f>
        <v>-1</v>
      </c>
      <c r="R38" s="62"/>
      <c r="S38" s="246" t="str">
        <f t="shared" si="69"/>
        <v/>
      </c>
      <c r="T38" s="110">
        <f t="shared" si="74"/>
        <v>0</v>
      </c>
      <c r="U38" s="111"/>
      <c r="V38" s="112">
        <f t="shared" ca="1" si="59"/>
        <v>0</v>
      </c>
      <c r="W38" s="113" t="str">
        <f t="shared" si="81"/>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48" t="s">
        <v>453</v>
      </c>
      <c r="O39" s="723"/>
      <c r="P39" s="724"/>
      <c r="Q39" s="180">
        <f>SUM(AF3:AF42)</f>
        <v>0</v>
      </c>
      <c r="R39" s="62"/>
      <c r="S39" s="246" t="str">
        <f t="shared" si="69"/>
        <v/>
      </c>
      <c r="T39" s="110">
        <f t="shared" si="74"/>
        <v>0</v>
      </c>
      <c r="U39" s="111"/>
      <c r="V39" s="112">
        <f t="shared" ca="1" si="59"/>
        <v>0</v>
      </c>
      <c r="W39" s="113" t="str">
        <f t="shared" si="81"/>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43" t="s">
        <v>0</v>
      </c>
      <c r="O40" s="723"/>
      <c r="P40" s="724"/>
      <c r="Q40" s="182">
        <f>AE43+SUM(B73:B75)</f>
        <v>0</v>
      </c>
      <c r="R40" s="62"/>
      <c r="S40" s="246" t="str">
        <f t="shared" si="69"/>
        <v/>
      </c>
      <c r="T40" s="110">
        <f t="shared" si="74"/>
        <v>0</v>
      </c>
      <c r="U40" s="111"/>
      <c r="V40" s="112">
        <f t="shared" ca="1" si="59"/>
        <v>0</v>
      </c>
      <c r="W40" s="113" t="str">
        <f t="shared" si="81"/>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27" t="s">
        <v>454</v>
      </c>
      <c r="O42" s="723"/>
      <c r="P42" s="724"/>
      <c r="Q42" s="184">
        <v>0.05</v>
      </c>
      <c r="R42" s="62"/>
      <c r="S42" s="246" t="str">
        <f t="shared" si="69"/>
        <v/>
      </c>
      <c r="T42" s="110">
        <f t="shared" si="74"/>
        <v>0</v>
      </c>
      <c r="U42" s="111"/>
      <c r="V42" s="112">
        <f t="shared" ca="1" si="59"/>
        <v>0</v>
      </c>
      <c r="W42" s="113" t="str">
        <f t="shared" si="81"/>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728" t="s">
        <v>409</v>
      </c>
      <c r="T43" s="729"/>
      <c r="U43" s="729"/>
      <c r="V43" s="729"/>
      <c r="W43" s="729"/>
      <c r="X43" s="729"/>
      <c r="Y43" s="729"/>
      <c r="Z43" s="729"/>
      <c r="AA43" s="729"/>
      <c r="AB43" s="729"/>
      <c r="AC43" s="729"/>
      <c r="AD43" s="730"/>
      <c r="AE43" s="734">
        <f>SUMIFS(BJ:BJ,BI:BI,S43)</f>
        <v>0</v>
      </c>
      <c r="AF43" s="734"/>
      <c r="AG43" s="734"/>
      <c r="AH43" s="734"/>
      <c r="AI43" s="734"/>
      <c r="AJ43" s="734"/>
      <c r="AK43" s="734"/>
      <c r="AL43" s="734"/>
      <c r="AM43" s="734"/>
      <c r="AN43" s="734"/>
      <c r="AO43" s="734"/>
      <c r="AP43" s="735"/>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25" t="s">
        <v>458</v>
      </c>
      <c r="O44" s="723"/>
      <c r="P44" s="724"/>
      <c r="Q44" s="188"/>
      <c r="R44" s="62"/>
      <c r="S44" s="731"/>
      <c r="T44" s="732"/>
      <c r="U44" s="732"/>
      <c r="V44" s="732"/>
      <c r="W44" s="732"/>
      <c r="X44" s="732"/>
      <c r="Y44" s="732"/>
      <c r="Z44" s="732"/>
      <c r="AA44" s="732"/>
      <c r="AB44" s="732"/>
      <c r="AC44" s="732"/>
      <c r="AD44" s="733"/>
      <c r="AE44" s="736"/>
      <c r="AF44" s="736"/>
      <c r="AG44" s="736"/>
      <c r="AH44" s="736"/>
      <c r="AI44" s="736"/>
      <c r="AJ44" s="736"/>
      <c r="AK44" s="736"/>
      <c r="AL44" s="736"/>
      <c r="AM44" s="736"/>
      <c r="AN44" s="736"/>
      <c r="AO44" s="736"/>
      <c r="AP44" s="737"/>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38" t="s">
        <v>459</v>
      </c>
      <c r="O45" s="723"/>
      <c r="P45" s="724"/>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42" t="s">
        <v>460</v>
      </c>
      <c r="O46" s="723"/>
      <c r="P46" s="724"/>
      <c r="Q46" s="193">
        <f>Q48</f>
        <v>0.85499999999999998</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22" t="s">
        <v>461</v>
      </c>
      <c r="O47" s="723"/>
      <c r="P47" s="724"/>
      <c r="Q47" s="193">
        <f>Q46</f>
        <v>0.85499999999999998</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25" t="s">
        <v>462</v>
      </c>
      <c r="O48" s="723"/>
      <c r="P48" s="724"/>
      <c r="Q48" s="193">
        <f>HomeBroker!AE1*365</f>
        <v>0.85499999999999998</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26" t="s">
        <v>463</v>
      </c>
      <c r="O49" s="723"/>
      <c r="P49" s="724"/>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26" t="s">
        <v>464</v>
      </c>
      <c r="O50" s="723"/>
      <c r="P50" s="724"/>
      <c r="Q50" s="195">
        <f ca="1">Q49-TODAY()-Q44</f>
        <v>-16</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26" t="s">
        <v>465</v>
      </c>
      <c r="O51" s="723"/>
      <c r="P51" s="724"/>
      <c r="Q51" s="196">
        <f ca="1">Q50/365</f>
        <v>-4.3835616438356165E-2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27" t="s">
        <v>0</v>
      </c>
      <c r="O52" s="723"/>
      <c r="P52" s="724"/>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39" t="s">
        <v>1</v>
      </c>
      <c r="O53" s="740"/>
      <c r="P53" s="741"/>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19"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20"/>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21"/>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A20" sqref="A2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'epgb-ggal'!X5</f>
        <v>GFGC1640DI</v>
      </c>
      <c r="B2" s="20"/>
      <c r="C2" s="19"/>
      <c r="D2" s="20"/>
      <c r="E2" s="19" t="s">
        <v>335</v>
      </c>
      <c r="F2" s="20"/>
      <c r="G2" s="19"/>
      <c r="H2" s="20"/>
      <c r="I2" s="41"/>
      <c r="J2" s="20"/>
      <c r="K2" s="21"/>
      <c r="L2" s="20"/>
      <c r="M2" s="21"/>
      <c r="N2" s="18"/>
      <c r="O2"/>
      <c r="Q2" s="51"/>
    </row>
    <row r="3" spans="1:18" s="4" customFormat="1">
      <c r="A3" s="19" t="str">
        <f>'epgb-ggal'!X6</f>
        <v>GFGC17715D</v>
      </c>
      <c r="B3" s="20"/>
      <c r="C3" s="19"/>
      <c r="D3" s="20"/>
      <c r="E3" s="19" t="s">
        <v>336</v>
      </c>
      <c r="F3" s="20"/>
      <c r="G3" s="19"/>
      <c r="H3" s="20"/>
      <c r="I3" s="41"/>
      <c r="J3" s="20"/>
      <c r="K3" s="21"/>
      <c r="L3" s="20"/>
      <c r="M3" s="21"/>
      <c r="N3" s="18"/>
      <c r="O3"/>
      <c r="Q3" s="51"/>
    </row>
    <row r="4" spans="1:18" s="4" customFormat="1">
      <c r="A4" s="19" t="str">
        <f>'epgb-ggal'!X7</f>
        <v>GFGC18515D</v>
      </c>
      <c r="B4" s="20"/>
      <c r="C4" s="19"/>
      <c r="D4" s="20"/>
      <c r="E4" s="19" t="s">
        <v>615</v>
      </c>
      <c r="F4" s="20"/>
      <c r="G4" s="19"/>
      <c r="H4" s="20"/>
      <c r="I4" s="41"/>
      <c r="J4" s="20"/>
      <c r="K4" s="21"/>
      <c r="L4" s="20"/>
      <c r="M4" s="21"/>
      <c r="N4" s="18"/>
      <c r="O4"/>
      <c r="Q4" s="51"/>
    </row>
    <row r="5" spans="1:18" s="4" customFormat="1">
      <c r="A5" s="19" t="str">
        <f>'epgb-ggal'!X8</f>
        <v>GFGC19315D</v>
      </c>
      <c r="B5" s="20"/>
      <c r="C5" s="19"/>
      <c r="D5" s="20"/>
      <c r="E5" s="19" t="s">
        <v>616</v>
      </c>
      <c r="F5" s="20"/>
      <c r="G5" s="19"/>
      <c r="H5" s="20"/>
      <c r="I5" s="41"/>
      <c r="J5" s="20"/>
      <c r="K5" s="21"/>
      <c r="L5" s="20"/>
      <c r="M5" s="21"/>
      <c r="N5" s="18"/>
      <c r="O5"/>
      <c r="Q5" s="51"/>
    </row>
    <row r="6" spans="1:18" s="4" customFormat="1">
      <c r="A6" s="19" t="str">
        <f>'epgb-ggal'!X9</f>
        <v>GFGC2020DI</v>
      </c>
      <c r="B6" s="20"/>
      <c r="C6" s="19"/>
      <c r="D6" s="20"/>
      <c r="E6" s="19" t="s">
        <v>13</v>
      </c>
      <c r="F6" s="20"/>
      <c r="G6" s="19"/>
      <c r="H6" s="20"/>
      <c r="I6" s="41"/>
      <c r="J6" s="20"/>
      <c r="K6" s="21"/>
      <c r="L6" s="20"/>
      <c r="M6" s="21"/>
      <c r="N6" s="18"/>
      <c r="O6"/>
      <c r="Q6" s="51"/>
    </row>
    <row r="7" spans="1:18" s="4" customFormat="1">
      <c r="A7" s="311" t="str">
        <f>'epgb-ggal'!X10</f>
        <v>GFGC20915D</v>
      </c>
      <c r="B7" s="20"/>
      <c r="C7" s="19"/>
      <c r="D7" s="20"/>
      <c r="E7" s="19" t="s">
        <v>2</v>
      </c>
      <c r="F7" s="20"/>
      <c r="G7" s="19"/>
      <c r="H7" s="20"/>
      <c r="I7" s="41"/>
      <c r="J7" s="20"/>
      <c r="K7" s="21"/>
      <c r="L7" s="20"/>
      <c r="M7" s="21"/>
      <c r="N7" s="18"/>
      <c r="O7"/>
      <c r="Q7" s="51"/>
    </row>
    <row r="8" spans="1:18" s="4" customFormat="1">
      <c r="A8" s="19" t="str">
        <f>'epgb-ggal'!AJ5</f>
        <v>GFGV90152D</v>
      </c>
      <c r="B8" s="20"/>
      <c r="C8" s="19"/>
      <c r="D8" s="20"/>
      <c r="E8" s="19" t="s">
        <v>15</v>
      </c>
      <c r="F8" s="20"/>
      <c r="G8" s="19"/>
      <c r="H8" s="20"/>
      <c r="I8" s="41"/>
      <c r="J8" s="20"/>
      <c r="K8" s="21"/>
      <c r="L8" s="20"/>
      <c r="M8" s="21"/>
      <c r="N8" s="18"/>
      <c r="O8"/>
      <c r="Q8" s="51"/>
    </row>
    <row r="9" spans="1:18" s="4" customFormat="1">
      <c r="A9" s="19" t="str">
        <f>'epgb-ggal'!AJ6</f>
        <v>GFGV94152D</v>
      </c>
      <c r="B9" s="20"/>
      <c r="C9" s="19"/>
      <c r="D9" s="20"/>
      <c r="E9" s="19" t="s">
        <v>3</v>
      </c>
      <c r="F9" s="20"/>
      <c r="G9" s="19"/>
      <c r="H9" s="20"/>
      <c r="I9" s="41"/>
      <c r="J9" s="20"/>
      <c r="K9" s="21"/>
      <c r="L9" s="20"/>
      <c r="M9" s="21"/>
      <c r="N9" s="18"/>
      <c r="Q9" s="51"/>
    </row>
    <row r="10" spans="1:18" s="4" customFormat="1">
      <c r="A10" s="19" t="str">
        <f>'epgb-ggal'!AJ7</f>
        <v>GFGV990.DI</v>
      </c>
      <c r="B10" s="20"/>
      <c r="C10" s="19"/>
      <c r="D10" s="20"/>
      <c r="E10" s="19" t="s">
        <v>14</v>
      </c>
      <c r="F10" s="20"/>
      <c r="G10" s="19"/>
      <c r="H10" s="20"/>
      <c r="I10" s="41"/>
      <c r="J10" s="20"/>
      <c r="K10" s="21"/>
      <c r="L10" s="20"/>
      <c r="M10" s="21"/>
      <c r="N10" s="18"/>
      <c r="Q10" s="51"/>
    </row>
    <row r="11" spans="1:18" s="4" customFormat="1">
      <c r="A11" s="19" t="str">
        <f>'epgb-ggal'!AJ8</f>
        <v>GFGV1033DI</v>
      </c>
      <c r="B11" s="20"/>
      <c r="C11" s="19"/>
      <c r="D11" s="20"/>
      <c r="E11" s="19" t="s">
        <v>4</v>
      </c>
      <c r="F11" s="20"/>
      <c r="G11" s="19"/>
      <c r="H11" s="20"/>
      <c r="I11" s="41"/>
      <c r="J11" s="20"/>
      <c r="K11" s="21"/>
      <c r="L11" s="20"/>
      <c r="M11" s="21"/>
      <c r="N11" s="18"/>
      <c r="Q11" s="51"/>
    </row>
    <row r="12" spans="1:18" s="4" customFormat="1">
      <c r="A12" s="19" t="str">
        <f>'epgb-ggal'!AJ9</f>
        <v>GFGV10915D</v>
      </c>
      <c r="B12" s="20"/>
      <c r="C12" s="19"/>
      <c r="D12" s="20"/>
      <c r="E12" s="19" t="s">
        <v>16</v>
      </c>
      <c r="F12" s="20"/>
      <c r="G12" s="19"/>
      <c r="H12" s="20"/>
      <c r="I12" s="41"/>
      <c r="J12" s="20"/>
      <c r="K12" s="21"/>
      <c r="L12" s="20"/>
      <c r="M12" s="21"/>
      <c r="N12" s="18"/>
      <c r="Q12" s="51"/>
    </row>
    <row r="13" spans="1:18" s="4" customFormat="1">
      <c r="A13" s="19" t="str">
        <f>'epgb-ggal'!AJ10</f>
        <v>GFGV1150DI</v>
      </c>
      <c r="B13" s="20"/>
      <c r="C13" s="19"/>
      <c r="D13" s="20"/>
      <c r="E13" s="19" t="s">
        <v>5</v>
      </c>
      <c r="F13" s="20"/>
      <c r="G13" s="19"/>
      <c r="H13" s="20"/>
      <c r="I13" s="45"/>
      <c r="J13" s="20"/>
      <c r="K13" s="21"/>
      <c r="L13" s="20"/>
      <c r="M13" s="21"/>
      <c r="N13" s="18"/>
      <c r="Q13" s="51"/>
    </row>
    <row r="14" spans="1:18" s="4" customFormat="1">
      <c r="A14" s="19"/>
      <c r="B14" s="20"/>
      <c r="C14" s="19"/>
      <c r="D14" s="20"/>
      <c r="E14" s="19" t="s">
        <v>17</v>
      </c>
      <c r="F14" s="20"/>
      <c r="G14" s="19"/>
      <c r="H14" s="20"/>
      <c r="I14" s="21"/>
      <c r="J14" s="20"/>
      <c r="K14" s="21"/>
      <c r="L14" s="20"/>
      <c r="M14" s="21"/>
      <c r="N14" s="18"/>
      <c r="Q14" s="51"/>
    </row>
    <row r="15" spans="1:18" s="4" customFormat="1">
      <c r="A15" s="19"/>
      <c r="B15" s="20"/>
      <c r="C15" s="19"/>
      <c r="D15" s="20"/>
      <c r="E15" s="19" t="s">
        <v>6</v>
      </c>
      <c r="F15" s="20"/>
      <c r="G15" s="19"/>
      <c r="H15" s="20"/>
      <c r="I15" s="21"/>
      <c r="J15" s="20"/>
      <c r="K15" s="21"/>
      <c r="L15" s="20"/>
      <c r="M15" s="21"/>
      <c r="N15" s="18"/>
      <c r="Q15" s="51"/>
    </row>
    <row r="16" spans="1:18" s="4" customFormat="1">
      <c r="A16" s="19"/>
      <c r="B16" s="20"/>
      <c r="C16" s="19"/>
      <c r="D16" s="20"/>
      <c r="E16" s="19" t="s">
        <v>18</v>
      </c>
      <c r="F16" s="20"/>
      <c r="G16" s="19"/>
      <c r="H16" s="20"/>
      <c r="I16" s="21"/>
      <c r="J16" s="20"/>
      <c r="K16" s="21"/>
      <c r="L16" s="20"/>
      <c r="M16" s="21"/>
      <c r="N16" s="18"/>
      <c r="Q16" s="51"/>
    </row>
    <row r="17" spans="1:17" s="4" customFormat="1">
      <c r="A17" s="19"/>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624</v>
      </c>
      <c r="F24" s="20"/>
      <c r="G24" s="19"/>
      <c r="H24" s="20"/>
      <c r="I24" s="21"/>
      <c r="J24" s="20"/>
      <c r="K24" s="21"/>
      <c r="L24" s="20"/>
      <c r="M24" s="21"/>
      <c r="Q24" s="51"/>
    </row>
    <row r="25" spans="1:17" s="4" customFormat="1">
      <c r="A25" s="19"/>
      <c r="B25" s="20"/>
      <c r="C25" s="19"/>
      <c r="D25" s="20"/>
      <c r="E25" s="19" t="s">
        <v>625</v>
      </c>
      <c r="F25" s="20"/>
      <c r="G25" s="19"/>
      <c r="H25" s="20"/>
      <c r="I25" s="21"/>
      <c r="J25" s="20"/>
      <c r="K25" s="21"/>
      <c r="L25" s="20"/>
      <c r="M25" s="21"/>
      <c r="Q25" s="50"/>
    </row>
    <row r="26" spans="1:17" s="4" customFormat="1">
      <c r="A26" s="19"/>
      <c r="B26" s="20"/>
      <c r="C26" s="19"/>
      <c r="D26" s="20"/>
      <c r="E26" s="19" t="s">
        <v>626</v>
      </c>
      <c r="F26" s="20"/>
      <c r="G26" s="41"/>
      <c r="H26" s="20"/>
      <c r="I26" s="21"/>
      <c r="J26" s="20"/>
      <c r="K26" s="21"/>
      <c r="L26" s="20"/>
      <c r="M26" s="21"/>
      <c r="Q26" s="50"/>
    </row>
    <row r="27" spans="1:17" s="4" customFormat="1">
      <c r="A27" s="19"/>
      <c r="B27" s="20"/>
      <c r="C27" s="19"/>
      <c r="D27" s="20"/>
      <c r="E27" s="19" t="s">
        <v>627</v>
      </c>
      <c r="F27" s="20"/>
      <c r="G27" s="41"/>
      <c r="H27" s="20"/>
      <c r="I27" s="21"/>
      <c r="J27" s="20"/>
      <c r="K27" s="21"/>
      <c r="L27" s="20"/>
      <c r="M27" s="21"/>
      <c r="Q27" s="50"/>
    </row>
    <row r="28" spans="1:17" s="4" customFormat="1">
      <c r="A28" s="19"/>
      <c r="B28" s="20"/>
      <c r="C28" s="19"/>
      <c r="D28" s="20"/>
      <c r="E28" s="19" t="s">
        <v>628</v>
      </c>
      <c r="F28" s="20"/>
      <c r="G28" s="41"/>
      <c r="H28" s="20"/>
      <c r="I28" s="21"/>
      <c r="J28" s="20"/>
      <c r="K28" s="21"/>
      <c r="L28" s="20"/>
      <c r="M28" s="21"/>
      <c r="Q28" s="50"/>
    </row>
    <row r="29" spans="1:17" s="4" customFormat="1">
      <c r="A29" s="19"/>
      <c r="B29" s="20"/>
      <c r="C29" s="19"/>
      <c r="D29" s="20"/>
      <c r="E29" s="19" t="s">
        <v>629</v>
      </c>
      <c r="F29" s="20"/>
      <c r="G29" s="41"/>
      <c r="H29" s="20"/>
      <c r="I29" s="21"/>
      <c r="J29" s="20"/>
      <c r="K29" s="21"/>
      <c r="L29" s="20"/>
      <c r="M29" s="21"/>
      <c r="Q29" s="50"/>
    </row>
    <row r="30" spans="1:17" s="4" customFormat="1">
      <c r="A30" s="19"/>
      <c r="B30" s="20"/>
      <c r="C30" s="19"/>
      <c r="D30" s="20"/>
      <c r="E30" s="559" t="s">
        <v>609</v>
      </c>
      <c r="F30" s="20"/>
      <c r="G30" s="41"/>
      <c r="H30" s="20"/>
      <c r="I30" s="21"/>
      <c r="J30" s="20"/>
      <c r="K30" s="21"/>
      <c r="L30" s="20"/>
      <c r="M30" s="21"/>
      <c r="Q30" s="50"/>
    </row>
    <row r="31" spans="1:17" s="4" customFormat="1">
      <c r="A31" s="19"/>
      <c r="B31" s="20"/>
      <c r="C31" s="19"/>
      <c r="D31" s="20"/>
      <c r="E31" s="19" t="s">
        <v>610</v>
      </c>
      <c r="F31" s="20"/>
      <c r="G31" s="41"/>
      <c r="H31" s="20"/>
      <c r="I31" s="21"/>
      <c r="J31" s="20"/>
      <c r="K31" s="21"/>
      <c r="L31" s="20"/>
      <c r="M31" s="21"/>
      <c r="Q31" s="50"/>
    </row>
    <row r="32" spans="1:17" s="4" customFormat="1">
      <c r="A32" s="19"/>
      <c r="B32" s="20"/>
      <c r="C32" s="19"/>
      <c r="D32" s="20"/>
      <c r="E32" s="19" t="s">
        <v>611</v>
      </c>
      <c r="F32" s="20"/>
      <c r="G32" s="41"/>
      <c r="H32" s="20"/>
      <c r="I32" s="21"/>
      <c r="J32" s="20"/>
      <c r="K32" s="21"/>
      <c r="L32" s="20"/>
      <c r="M32" s="21"/>
      <c r="Q32" s="50"/>
    </row>
    <row r="33" spans="1:17" s="4" customFormat="1">
      <c r="A33" s="19"/>
      <c r="B33" s="20"/>
      <c r="C33" s="19"/>
      <c r="D33" s="20"/>
      <c r="E33" s="19" t="s">
        <v>612</v>
      </c>
      <c r="F33" s="20"/>
      <c r="G33" s="41"/>
      <c r="H33" s="20"/>
      <c r="I33" s="21"/>
      <c r="J33" s="20"/>
      <c r="K33" s="21"/>
      <c r="L33" s="20"/>
      <c r="M33" s="21"/>
      <c r="Q33" s="50"/>
    </row>
    <row r="34" spans="1:17" s="4" customFormat="1">
      <c r="A34" s="19"/>
      <c r="B34" s="20"/>
      <c r="C34" s="19"/>
      <c r="D34" s="20"/>
      <c r="E34" s="19" t="s">
        <v>613</v>
      </c>
      <c r="F34" s="20"/>
      <c r="G34" s="19"/>
      <c r="H34" s="20"/>
      <c r="I34" s="21"/>
      <c r="J34" s="20"/>
      <c r="K34" s="21"/>
      <c r="L34" s="20"/>
      <c r="M34" s="21"/>
      <c r="Q34" s="50"/>
    </row>
    <row r="35" spans="1:17" s="4" customFormat="1">
      <c r="A35" s="19"/>
      <c r="B35" s="20"/>
      <c r="C35" s="19"/>
      <c r="D35" s="20"/>
      <c r="E35" s="19" t="s">
        <v>614</v>
      </c>
      <c r="F35" s="20"/>
      <c r="G35" s="41"/>
      <c r="H35" s="20"/>
      <c r="I35" s="21"/>
      <c r="J35" s="20"/>
      <c r="K35" s="21"/>
      <c r="L35" s="20"/>
      <c r="M35" s="21"/>
      <c r="Q35" s="50"/>
    </row>
    <row r="36" spans="1:17" s="4" customFormat="1">
      <c r="A36" s="19"/>
      <c r="B36" s="20"/>
      <c r="C36" s="19"/>
      <c r="D36" s="20"/>
      <c r="E36" s="19" t="s">
        <v>617</v>
      </c>
      <c r="F36" s="20"/>
      <c r="G36" s="41"/>
      <c r="H36" s="20"/>
      <c r="I36" s="21"/>
      <c r="J36" s="20"/>
      <c r="K36" s="21"/>
      <c r="L36" s="20"/>
      <c r="M36" s="21"/>
      <c r="Q36" s="50"/>
    </row>
    <row r="37" spans="1:17" s="4" customFormat="1">
      <c r="A37" s="19"/>
      <c r="B37" s="20"/>
      <c r="C37" s="19"/>
      <c r="D37" s="20"/>
      <c r="E37" s="19" t="s">
        <v>618</v>
      </c>
      <c r="F37" s="20"/>
      <c r="G37" s="19"/>
      <c r="H37" s="20"/>
      <c r="I37" s="21"/>
      <c r="J37" s="20"/>
      <c r="K37" s="21"/>
      <c r="L37" s="20"/>
      <c r="M37" s="21"/>
      <c r="Q37" s="50"/>
    </row>
    <row r="38" spans="1:17" s="4" customFormat="1">
      <c r="A38" s="19"/>
      <c r="B38" s="20"/>
      <c r="C38" s="19"/>
      <c r="D38" s="20"/>
      <c r="E38" s="19" t="s">
        <v>619</v>
      </c>
      <c r="F38" s="20"/>
      <c r="G38" s="19"/>
      <c r="H38" s="20"/>
      <c r="I38" s="21"/>
      <c r="J38" s="20"/>
      <c r="K38" s="21"/>
      <c r="L38" s="20"/>
      <c r="M38" s="21"/>
      <c r="Q38" s="50"/>
    </row>
    <row r="39" spans="1:17" s="4" customFormat="1">
      <c r="A39" s="19"/>
      <c r="B39" s="20"/>
      <c r="C39" s="19"/>
      <c r="D39" s="20"/>
      <c r="E39" s="19" t="s">
        <v>620</v>
      </c>
      <c r="F39" s="20"/>
      <c r="G39" s="19"/>
      <c r="H39" s="20"/>
      <c r="I39" s="21"/>
      <c r="J39" s="20"/>
      <c r="K39" s="21"/>
      <c r="L39" s="20"/>
      <c r="M39" s="21"/>
      <c r="Q39" s="50"/>
    </row>
    <row r="40" spans="1:17" s="4" customFormat="1">
      <c r="A40" s="19"/>
      <c r="B40" s="20"/>
      <c r="C40" s="19"/>
      <c r="D40" s="20"/>
      <c r="E40" s="19" t="s">
        <v>621</v>
      </c>
      <c r="F40" s="20"/>
      <c r="G40" s="19"/>
      <c r="H40" s="20"/>
      <c r="I40" s="21"/>
      <c r="J40" s="20"/>
      <c r="K40" s="21"/>
      <c r="L40" s="20"/>
      <c r="M40" s="21"/>
      <c r="Q40" s="50"/>
    </row>
    <row r="41" spans="1:17" s="4" customFormat="1">
      <c r="A41" s="19"/>
      <c r="B41" s="20"/>
      <c r="C41" s="19"/>
      <c r="D41" s="20"/>
      <c r="E41" s="19" t="s">
        <v>622</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588</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589</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590</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582</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583</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584</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585</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586</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587</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591</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592</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593</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594</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595</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596</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597</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598</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599</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603</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604</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605</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600</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601</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602</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606</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5"/>
      <c r="B98" s="6"/>
      <c r="C98" s="19"/>
      <c r="D98" s="20"/>
      <c r="E98" s="19" t="s">
        <v>607</v>
      </c>
      <c r="F98" s="20"/>
      <c r="G98" s="21" t="s">
        <v>559</v>
      </c>
      <c r="H98" s="20"/>
      <c r="I98" s="21"/>
      <c r="J98" s="20"/>
      <c r="K98" s="21"/>
      <c r="L98" s="20"/>
      <c r="M98" s="21"/>
    </row>
    <row r="99" spans="1:13" s="4" customFormat="1">
      <c r="A99" s="5"/>
      <c r="B99" s="6"/>
      <c r="C99" s="19"/>
      <c r="D99" s="20"/>
      <c r="E99" s="19" t="s">
        <v>276</v>
      </c>
      <c r="F99" s="20"/>
      <c r="G99" s="21" t="s">
        <v>560</v>
      </c>
      <c r="H99" s="20"/>
      <c r="I99" s="21"/>
      <c r="J99" s="20"/>
      <c r="K99" s="21"/>
      <c r="L99" s="20"/>
      <c r="M99" s="21"/>
    </row>
    <row r="100" spans="1:13" s="4" customFormat="1">
      <c r="A100" s="5"/>
      <c r="B100" s="6"/>
      <c r="C100" s="19"/>
      <c r="D100" s="20"/>
      <c r="E100" s="19" t="s">
        <v>608</v>
      </c>
      <c r="F100" s="20"/>
      <c r="G100" s="21" t="s">
        <v>561</v>
      </c>
      <c r="H100" s="20"/>
      <c r="I100" s="21"/>
      <c r="J100" s="20"/>
      <c r="K100" s="21"/>
      <c r="L100" s="20"/>
      <c r="M100" s="21"/>
    </row>
    <row r="101" spans="1:13" s="4" customFormat="1">
      <c r="A101" s="5"/>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580</v>
      </c>
      <c r="H108" s="20"/>
      <c r="I108" s="21"/>
      <c r="J108" s="20"/>
      <c r="K108" s="21"/>
      <c r="L108" s="20"/>
      <c r="M108" s="21"/>
    </row>
    <row r="109" spans="1:13" s="4" customFormat="1">
      <c r="A109" s="5"/>
      <c r="B109" s="6"/>
      <c r="C109" s="19"/>
      <c r="D109" s="20"/>
      <c r="E109" s="19"/>
      <c r="F109" s="20"/>
      <c r="G109" s="21" t="s">
        <v>581</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2024-01-05T20:37:33Z</dcterms:modified>
</cp:coreProperties>
</file>