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B4ED6C2-F889-468B-9DCB-F8262AB98655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" i="38" l="1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Y172" i="38"/>
  <c r="W173" i="38"/>
  <c r="W174" i="38"/>
  <c r="Y174" i="38"/>
  <c r="Z174" i="38"/>
  <c r="AA174" i="38"/>
  <c r="W175" i="38"/>
  <c r="Y175" i="38"/>
  <c r="Z175" i="38"/>
  <c r="AA175" i="38"/>
  <c r="W176" i="38"/>
  <c r="Y176" i="38"/>
  <c r="Z176" i="38"/>
  <c r="AA176" i="38"/>
  <c r="W177" i="38"/>
  <c r="Y177" i="38"/>
  <c r="Z177" i="38"/>
  <c r="AA177" i="38"/>
  <c r="W178" i="38"/>
  <c r="Y178" i="38"/>
  <c r="W179" i="38"/>
  <c r="W180" i="38"/>
  <c r="Y180" i="38"/>
  <c r="Z180" i="38"/>
  <c r="AA180" i="38"/>
  <c r="W181" i="38"/>
  <c r="Y181" i="38"/>
  <c r="Z181" i="38"/>
  <c r="AA181" i="38"/>
  <c r="W182" i="38"/>
  <c r="Y182" i="38"/>
  <c r="Z182" i="38"/>
  <c r="AA182" i="38"/>
  <c r="W183" i="38"/>
  <c r="Y183" i="38"/>
  <c r="Z183" i="38"/>
  <c r="AA183" i="38"/>
  <c r="W184" i="38"/>
  <c r="Y184" i="38"/>
  <c r="W185" i="38"/>
  <c r="W186" i="38"/>
  <c r="Y186" i="38"/>
  <c r="Z186" i="38"/>
  <c r="AA186" i="38"/>
  <c r="W187" i="38"/>
  <c r="Y187" i="38"/>
  <c r="Z187" i="38"/>
  <c r="AA187" i="38"/>
  <c r="W188" i="38"/>
  <c r="Y188" i="38"/>
  <c r="Z188" i="38"/>
  <c r="AA188" i="38"/>
  <c r="W189" i="38"/>
  <c r="Y189" i="38"/>
  <c r="Z189" i="38"/>
  <c r="AA189" i="38"/>
  <c r="W190" i="38"/>
  <c r="Y190" i="38"/>
  <c r="W191" i="38"/>
  <c r="W192" i="38"/>
  <c r="Y192" i="38"/>
  <c r="Z192" i="38"/>
  <c r="AA192" i="38"/>
  <c r="W193" i="38"/>
  <c r="Y193" i="38"/>
  <c r="Z193" i="38"/>
  <c r="AA193" i="38"/>
  <c r="W194" i="38"/>
  <c r="Y194" i="38"/>
  <c r="Z194" i="38"/>
  <c r="AA194" i="38"/>
  <c r="W195" i="38"/>
  <c r="Y195" i="38"/>
  <c r="Z195" i="38"/>
  <c r="AA195" i="38"/>
  <c r="W196" i="38"/>
  <c r="Y196" i="38"/>
  <c r="W197" i="38"/>
  <c r="W198" i="38"/>
  <c r="Y198" i="38"/>
  <c r="Z198" i="38"/>
  <c r="AA198" i="38"/>
  <c r="W199" i="38"/>
  <c r="Y199" i="38"/>
  <c r="Z199" i="38"/>
  <c r="AA199" i="38"/>
  <c r="W200" i="38"/>
  <c r="Y200" i="38"/>
  <c r="Z200" i="38"/>
  <c r="AA200" i="38"/>
  <c r="W201" i="38"/>
  <c r="Y201" i="38"/>
  <c r="Z201" i="38"/>
  <c r="AA201" i="38"/>
  <c r="AJ4" i="46"/>
  <c r="AJ5" i="46"/>
  <c r="AJ6" i="46"/>
  <c r="AJ7" i="46"/>
  <c r="AJ8" i="46"/>
  <c r="AJ9" i="46"/>
  <c r="AJ10" i="46"/>
  <c r="AJ11" i="46"/>
  <c r="AJ12" i="46"/>
  <c r="AH5" i="46"/>
  <c r="AI5" i="46"/>
  <c r="AK5" i="46"/>
  <c r="AL5" i="46"/>
  <c r="AM5" i="46"/>
  <c r="AH6" i="46"/>
  <c r="AI6" i="46"/>
  <c r="AK6" i="46"/>
  <c r="AL6" i="46"/>
  <c r="AM6" i="46"/>
  <c r="AH7" i="46"/>
  <c r="AI7" i="46"/>
  <c r="AK7" i="46"/>
  <c r="AL7" i="46"/>
  <c r="AM7" i="46"/>
  <c r="AH8" i="46"/>
  <c r="AI8" i="46"/>
  <c r="AK8" i="46"/>
  <c r="AL8" i="46"/>
  <c r="AM8" i="46"/>
  <c r="AH9" i="46"/>
  <c r="AI9" i="46"/>
  <c r="AK9" i="46"/>
  <c r="AL9" i="46"/>
  <c r="AM9" i="46"/>
  <c r="AH10" i="46"/>
  <c r="AI10" i="46"/>
  <c r="AK10" i="46"/>
  <c r="AL10" i="46"/>
  <c r="AM10" i="46"/>
  <c r="AH11" i="46"/>
  <c r="AI11" i="46"/>
  <c r="AK11" i="46"/>
  <c r="AL11" i="46"/>
  <c r="AM11" i="46"/>
  <c r="AH12" i="46"/>
  <c r="AI12" i="46"/>
  <c r="AK12" i="46"/>
  <c r="AL12" i="46"/>
  <c r="AM12" i="46"/>
  <c r="AH13" i="46"/>
  <c r="AI13" i="46"/>
  <c r="AJ13" i="46"/>
  <c r="AK13" i="46"/>
  <c r="AL13" i="46"/>
  <c r="AM13" i="46"/>
  <c r="AH14" i="46"/>
  <c r="AI14" i="46"/>
  <c r="AJ14" i="46"/>
  <c r="AK14" i="46"/>
  <c r="AL14" i="46"/>
  <c r="AM14" i="46"/>
  <c r="AH15" i="46"/>
  <c r="AI15" i="46"/>
  <c r="AJ15" i="46"/>
  <c r="AK15" i="46"/>
  <c r="AL15" i="46"/>
  <c r="AM15" i="46"/>
  <c r="AH16" i="46"/>
  <c r="AI16" i="46"/>
  <c r="AJ16" i="46"/>
  <c r="AK16" i="46"/>
  <c r="AL16" i="46"/>
  <c r="AM16" i="46"/>
  <c r="AH17" i="46"/>
  <c r="AI17" i="46"/>
  <c r="AJ17" i="46"/>
  <c r="AK17" i="46"/>
  <c r="AL17" i="46"/>
  <c r="AM17" i="46"/>
  <c r="AH18" i="46"/>
  <c r="AI18" i="46"/>
  <c r="AJ18" i="46"/>
  <c r="AK18" i="46"/>
  <c r="AL18" i="46"/>
  <c r="AM18" i="46"/>
  <c r="AH19" i="46"/>
  <c r="AI19" i="46"/>
  <c r="AJ19" i="46"/>
  <c r="AK19" i="46"/>
  <c r="AL19" i="46"/>
  <c r="AM19" i="46"/>
  <c r="AH20" i="46"/>
  <c r="AI20" i="46"/>
  <c r="AJ20" i="46"/>
  <c r="AK20" i="46"/>
  <c r="AL20" i="46"/>
  <c r="AM20" i="46"/>
  <c r="AH21" i="46"/>
  <c r="AI21" i="46"/>
  <c r="AJ21" i="46"/>
  <c r="AK21" i="46"/>
  <c r="AL21" i="46"/>
  <c r="AM21" i="46"/>
  <c r="AH22" i="46"/>
  <c r="AI22" i="46"/>
  <c r="AJ22" i="46"/>
  <c r="AK22" i="46"/>
  <c r="AL22" i="46"/>
  <c r="AM22" i="46"/>
  <c r="AH23" i="46"/>
  <c r="AI23" i="46"/>
  <c r="AJ23" i="46"/>
  <c r="AK23" i="46"/>
  <c r="AL23" i="46"/>
  <c r="AM23" i="46"/>
  <c r="AH24" i="46"/>
  <c r="AI24" i="46"/>
  <c r="AJ24" i="46"/>
  <c r="AK24" i="46"/>
  <c r="AL24" i="46"/>
  <c r="AM24" i="46"/>
  <c r="AH25" i="46"/>
  <c r="AI25" i="46"/>
  <c r="AJ25" i="46"/>
  <c r="AK25" i="46"/>
  <c r="AL25" i="46"/>
  <c r="AM25" i="46"/>
  <c r="AH26" i="46"/>
  <c r="AI26" i="46"/>
  <c r="AJ26" i="46"/>
  <c r="AK26" i="46"/>
  <c r="AL26" i="46"/>
  <c r="AM26" i="46"/>
  <c r="AH27" i="46"/>
  <c r="AI27" i="46"/>
  <c r="AJ27" i="46"/>
  <c r="AK27" i="46"/>
  <c r="AL27" i="46"/>
  <c r="AM27" i="46"/>
  <c r="AH28" i="46"/>
  <c r="AI28" i="46"/>
  <c r="AJ28" i="46"/>
  <c r="AK28" i="46"/>
  <c r="AL28" i="46"/>
  <c r="AM28" i="46"/>
  <c r="AH29" i="46"/>
  <c r="AI29" i="46"/>
  <c r="AJ29" i="46"/>
  <c r="AK29" i="46"/>
  <c r="AL29" i="46"/>
  <c r="AM29" i="46"/>
  <c r="AH30" i="46"/>
  <c r="AI30" i="46"/>
  <c r="AJ30" i="46"/>
  <c r="AK30" i="46"/>
  <c r="AL30" i="46"/>
  <c r="AM30" i="46"/>
  <c r="AH31" i="46"/>
  <c r="AI31" i="46"/>
  <c r="AJ31" i="46"/>
  <c r="AK31" i="46"/>
  <c r="AL31" i="46"/>
  <c r="AM31" i="46"/>
  <c r="AH32" i="46"/>
  <c r="AI32" i="46"/>
  <c r="AJ32" i="46"/>
  <c r="AK32" i="46"/>
  <c r="AL32" i="46"/>
  <c r="AM32" i="46"/>
  <c r="AH33" i="46"/>
  <c r="AI33" i="46"/>
  <c r="AJ33" i="46"/>
  <c r="AK33" i="46"/>
  <c r="AL33" i="46"/>
  <c r="AM33" i="46"/>
  <c r="AH34" i="46"/>
  <c r="AI34" i="46"/>
  <c r="AJ34" i="46"/>
  <c r="AK34" i="46"/>
  <c r="AL34" i="46"/>
  <c r="AM34" i="46"/>
  <c r="AH35" i="46"/>
  <c r="AI35" i="46"/>
  <c r="AJ35" i="46"/>
  <c r="AK35" i="46"/>
  <c r="AL35" i="46"/>
  <c r="AM35" i="46"/>
  <c r="AH36" i="46"/>
  <c r="AI36" i="46"/>
  <c r="AJ36" i="46"/>
  <c r="AK36" i="46"/>
  <c r="AL36" i="46"/>
  <c r="AM36" i="46"/>
  <c r="AH37" i="46"/>
  <c r="AI37" i="46"/>
  <c r="AJ37" i="46"/>
  <c r="AK37" i="46"/>
  <c r="AL37" i="46"/>
  <c r="AM37" i="46"/>
  <c r="AH38" i="46"/>
  <c r="AI38" i="46"/>
  <c r="AJ38" i="46"/>
  <c r="AK38" i="46"/>
  <c r="AL38" i="46"/>
  <c r="AM38" i="46"/>
  <c r="AH39" i="46"/>
  <c r="AI39" i="46"/>
  <c r="AJ39" i="46"/>
  <c r="AK39" i="46"/>
  <c r="AL39" i="46"/>
  <c r="AM39" i="46"/>
  <c r="AH40" i="46"/>
  <c r="AI40" i="46"/>
  <c r="AJ40" i="46"/>
  <c r="AK40" i="46"/>
  <c r="AL40" i="46"/>
  <c r="AM40" i="46"/>
  <c r="AH41" i="46"/>
  <c r="AI41" i="46"/>
  <c r="AJ41" i="46"/>
  <c r="AK41" i="46"/>
  <c r="AL41" i="46"/>
  <c r="AM41" i="46"/>
  <c r="AH42" i="46"/>
  <c r="AI42" i="46"/>
  <c r="AJ42" i="46"/>
  <c r="AK42" i="46"/>
  <c r="AL42" i="46"/>
  <c r="AM42" i="46"/>
  <c r="AM4" i="46"/>
  <c r="AL4" i="46"/>
  <c r="AK4" i="46"/>
  <c r="AI4" i="46"/>
  <c r="AH4" i="46"/>
  <c r="AL3" i="46"/>
  <c r="AM3" i="46"/>
  <c r="AK3" i="46"/>
  <c r="AJ3" i="46"/>
  <c r="AI3" i="46"/>
  <c r="AH3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V23" i="46"/>
  <c r="W23" i="46"/>
  <c r="X23" i="46"/>
  <c r="Y23" i="46"/>
  <c r="Z23" i="46"/>
  <c r="AA23" i="46"/>
  <c r="V24" i="46"/>
  <c r="W24" i="46"/>
  <c r="X24" i="46"/>
  <c r="Y24" i="46"/>
  <c r="Z24" i="46"/>
  <c r="AA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V27" i="46"/>
  <c r="W27" i="46"/>
  <c r="X27" i="46"/>
  <c r="Y27" i="46"/>
  <c r="Z27" i="46"/>
  <c r="AA27" i="46"/>
  <c r="V28" i="46"/>
  <c r="W28" i="46"/>
  <c r="X28" i="46"/>
  <c r="Y28" i="46"/>
  <c r="Z28" i="46"/>
  <c r="AA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V31" i="46"/>
  <c r="W31" i="46"/>
  <c r="X31" i="46"/>
  <c r="Y31" i="46"/>
  <c r="Z31" i="46"/>
  <c r="AA31" i="46"/>
  <c r="V32" i="46"/>
  <c r="W32" i="46"/>
  <c r="X32" i="46"/>
  <c r="Y32" i="46"/>
  <c r="Z32" i="46"/>
  <c r="AA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V35" i="46"/>
  <c r="W35" i="46"/>
  <c r="X35" i="46"/>
  <c r="Y35" i="46"/>
  <c r="Z35" i="46"/>
  <c r="AA35" i="46"/>
  <c r="V36" i="46"/>
  <c r="W36" i="46"/>
  <c r="X36" i="46"/>
  <c r="Y36" i="46"/>
  <c r="Z36" i="46"/>
  <c r="AA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W40" i="46"/>
  <c r="X40" i="46"/>
  <c r="Y40" i="46"/>
  <c r="Z40" i="46"/>
  <c r="AA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4" i="46"/>
  <c r="W4" i="46"/>
  <c r="X4" i="46"/>
  <c r="Y4" i="46"/>
  <c r="Z4" i="46"/>
  <c r="AA4" i="46"/>
  <c r="V5" i="46"/>
  <c r="W5" i="46"/>
  <c r="X5" i="46"/>
  <c r="Y5" i="46"/>
  <c r="Z5" i="46"/>
  <c r="AA5" i="46"/>
  <c r="V6" i="46"/>
  <c r="W6" i="46"/>
  <c r="X6" i="46"/>
  <c r="Y6" i="46"/>
  <c r="Z6" i="46"/>
  <c r="AA6" i="46"/>
  <c r="V7" i="46"/>
  <c r="W7" i="46"/>
  <c r="X7" i="46"/>
  <c r="Y7" i="46"/>
  <c r="Z7" i="46"/>
  <c r="AA7" i="46"/>
  <c r="V8" i="46"/>
  <c r="W8" i="46"/>
  <c r="X8" i="46"/>
  <c r="Y8" i="46"/>
  <c r="Z8" i="46"/>
  <c r="AA8" i="46"/>
  <c r="V9" i="46"/>
  <c r="W9" i="46"/>
  <c r="X9" i="46"/>
  <c r="Y9" i="46"/>
  <c r="Z9" i="46"/>
  <c r="AA9" i="46"/>
  <c r="V10" i="46"/>
  <c r="W10" i="46"/>
  <c r="X10" i="46"/>
  <c r="Y10" i="46"/>
  <c r="Z10" i="46"/>
  <c r="AA10" i="46"/>
  <c r="V11" i="46"/>
  <c r="W11" i="46"/>
  <c r="X11" i="46"/>
  <c r="Y11" i="46"/>
  <c r="Z11" i="46"/>
  <c r="AA11" i="46"/>
  <c r="V12" i="46"/>
  <c r="W12" i="46"/>
  <c r="X12" i="46"/>
  <c r="Y12" i="46"/>
  <c r="Z12" i="46"/>
  <c r="AA1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V16" i="46"/>
  <c r="W16" i="46"/>
  <c r="X16" i="46"/>
  <c r="Y16" i="46"/>
  <c r="Z16" i="46"/>
  <c r="AA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V20" i="46"/>
  <c r="W20" i="46"/>
  <c r="X20" i="46"/>
  <c r="Y20" i="46"/>
  <c r="Z20" i="46"/>
  <c r="AA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AA3" i="46"/>
  <c r="Z3" i="46"/>
  <c r="Y3" i="46"/>
  <c r="W3" i="46"/>
  <c r="V3" i="46"/>
  <c r="X3" i="46"/>
  <c r="Y171" i="38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Y22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Y44" i="38"/>
  <c r="Y43" i="38"/>
  <c r="Y42" i="38"/>
  <c r="Y41" i="38"/>
  <c r="Y40" i="38"/>
  <c r="Y39" i="38"/>
  <c r="Y38" i="38"/>
  <c r="Y37" i="38"/>
  <c r="Y36" i="38"/>
  <c r="Y35" i="38"/>
  <c r="Y34" i="38"/>
  <c r="Y33" i="38"/>
  <c r="Y32" i="38"/>
  <c r="Y31" i="38"/>
  <c r="Y30" i="38"/>
  <c r="Y29" i="38"/>
  <c r="Y28" i="38"/>
  <c r="Y27" i="38"/>
  <c r="Y26" i="38"/>
  <c r="Y25" i="38"/>
  <c r="Y24" i="38"/>
  <c r="Y23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Z18" i="38"/>
  <c r="Y60" i="38"/>
  <c r="Y68" i="38"/>
  <c r="Y66" i="38"/>
  <c r="AA60" i="38"/>
  <c r="N50" i="46"/>
  <c r="N51" i="46" s="1"/>
  <c r="W76" i="38"/>
  <c r="W81" i="38"/>
  <c r="Z26" i="38"/>
  <c r="AF4" i="46"/>
  <c r="AG4" i="46"/>
  <c r="AF5" i="46"/>
  <c r="AG5" i="46"/>
  <c r="AF6" i="46"/>
  <c r="AG6" i="46"/>
  <c r="AF7" i="46"/>
  <c r="AG7" i="46"/>
  <c r="AF8" i="46"/>
  <c r="AG8" i="46"/>
  <c r="AF9" i="46"/>
  <c r="AG9" i="46"/>
  <c r="AF10" i="46"/>
  <c r="AG10" i="46"/>
  <c r="AF11" i="46"/>
  <c r="AG11" i="46"/>
  <c r="AF12" i="46"/>
  <c r="AG12" i="46"/>
  <c r="AF13" i="46"/>
  <c r="AG13" i="46"/>
  <c r="AF14" i="46"/>
  <c r="AG14" i="46"/>
  <c r="AF15" i="46"/>
  <c r="AG15" i="46"/>
  <c r="AF16" i="46"/>
  <c r="AG16" i="46"/>
  <c r="AF17" i="46"/>
  <c r="AG17" i="46"/>
  <c r="AF18" i="46"/>
  <c r="AG18" i="46"/>
  <c r="AF19" i="46"/>
  <c r="AG19" i="46"/>
  <c r="AF20" i="46"/>
  <c r="AG20" i="46"/>
  <c r="AF21" i="46"/>
  <c r="AG21" i="46"/>
  <c r="AF22" i="46"/>
  <c r="AG22" i="46"/>
  <c r="AF23" i="46"/>
  <c r="AG23" i="46"/>
  <c r="AF24" i="46"/>
  <c r="AG24" i="46"/>
  <c r="AF25" i="46"/>
  <c r="AG25" i="46"/>
  <c r="AF26" i="46"/>
  <c r="AG26" i="46"/>
  <c r="T4" i="46"/>
  <c r="U4" i="46"/>
  <c r="T5" i="46"/>
  <c r="U5" i="46"/>
  <c r="T6" i="46"/>
  <c r="U6" i="46"/>
  <c r="T7" i="46"/>
  <c r="U7" i="46"/>
  <c r="T8" i="46"/>
  <c r="U8" i="46"/>
  <c r="T9" i="46"/>
  <c r="U9" i="46"/>
  <c r="T10" i="46"/>
  <c r="U10" i="46"/>
  <c r="T11" i="46"/>
  <c r="U11" i="46"/>
  <c r="T12" i="46"/>
  <c r="U12" i="46"/>
  <c r="T13" i="46"/>
  <c r="T14" i="46"/>
  <c r="T15" i="46"/>
  <c r="T16" i="46"/>
  <c r="T17" i="46"/>
  <c r="T18" i="46"/>
  <c r="T19" i="46"/>
  <c r="T20" i="46"/>
  <c r="T21" i="46"/>
  <c r="T22" i="46"/>
  <c r="T23" i="46"/>
  <c r="U23" i="46"/>
  <c r="T24" i="46"/>
  <c r="U24" i="46"/>
  <c r="T25" i="46"/>
  <c r="U25" i="46"/>
  <c r="T26" i="46"/>
  <c r="U26" i="46"/>
  <c r="AG3" i="46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9" i="38"/>
  <c r="Z168" i="38"/>
  <c r="Z163" i="38"/>
  <c r="Z162" i="38"/>
  <c r="Z157" i="38"/>
  <c r="Z9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AA169" i="38"/>
  <c r="W82" i="38"/>
  <c r="W70" i="38"/>
  <c r="W68" i="38"/>
  <c r="W64" i="38"/>
  <c r="AA171" i="38"/>
  <c r="AA170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25" i="38"/>
  <c r="Z25" i="38"/>
  <c r="AA24" i="38"/>
  <c r="Z24" i="38"/>
  <c r="AA23" i="38"/>
  <c r="Z23" i="38"/>
  <c r="AA22" i="38"/>
  <c r="Z22" i="38"/>
  <c r="AA29" i="38"/>
  <c r="Z29" i="38"/>
  <c r="AA28" i="38"/>
  <c r="Z28" i="38"/>
  <c r="AA27" i="38"/>
  <c r="Z27" i="38"/>
  <c r="AA26" i="38"/>
  <c r="AA139" i="38"/>
  <c r="Y64" i="38"/>
  <c r="AA68" i="38"/>
  <c r="AA141" i="38"/>
  <c r="AA140" i="38"/>
  <c r="AA138" i="38"/>
  <c r="AA69" i="38"/>
  <c r="Y1" i="38" s="1"/>
  <c r="Y167" i="38" s="1"/>
  <c r="AA62" i="38"/>
  <c r="U3" i="46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G28" i="46"/>
  <c r="AG29" i="46"/>
  <c r="AG30" i="46"/>
  <c r="AG31" i="46"/>
  <c r="AG32" i="46"/>
  <c r="AG33" i="46"/>
  <c r="AG34" i="46"/>
  <c r="AG35" i="46"/>
  <c r="AG36" i="46"/>
  <c r="AG37" i="46"/>
  <c r="AG38" i="46"/>
  <c r="AG39" i="46"/>
  <c r="AG40" i="46"/>
  <c r="AG41" i="46"/>
  <c r="AG42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U27" i="46"/>
  <c r="T28" i="46"/>
  <c r="U28" i="46"/>
  <c r="T29" i="46"/>
  <c r="U29" i="46"/>
  <c r="T30" i="46"/>
  <c r="U30" i="46"/>
  <c r="T31" i="46"/>
  <c r="U31" i="46"/>
  <c r="T32" i="46"/>
  <c r="U32" i="46"/>
  <c r="T33" i="46"/>
  <c r="U33" i="46"/>
  <c r="T34" i="46"/>
  <c r="U34" i="46"/>
  <c r="T35" i="46"/>
  <c r="U35" i="46"/>
  <c r="T36" i="46"/>
  <c r="U36" i="46"/>
  <c r="T37" i="46"/>
  <c r="U37" i="46"/>
  <c r="T38" i="46"/>
  <c r="U38" i="46"/>
  <c r="T39" i="46"/>
  <c r="U39" i="46"/>
  <c r="T40" i="46"/>
  <c r="U40" i="46"/>
  <c r="T41" i="46"/>
  <c r="U41" i="46"/>
  <c r="T42" i="46"/>
  <c r="U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Y197" i="38" l="1"/>
  <c r="Y191" i="38"/>
  <c r="Y185" i="38"/>
  <c r="Y179" i="38"/>
  <c r="Y17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71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70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AA168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Z19" i="38" l="1"/>
  <c r="AA18" i="38" s="1"/>
  <c r="Y21" i="38"/>
  <c r="Z21" i="38" s="1"/>
  <c r="AA20" i="38" s="1"/>
  <c r="Z93" i="38"/>
  <c r="Z158" i="38"/>
  <c r="Z67" i="38"/>
  <c r="Z72" i="38"/>
  <c r="Z78" i="38"/>
  <c r="Z79" i="38"/>
  <c r="N36" i="46"/>
  <c r="Y2" i="38" l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20" i="46" l="1"/>
  <c r="P21" i="46"/>
  <c r="P18" i="46"/>
  <c r="P22" i="46"/>
  <c r="P19" i="46"/>
  <c r="AO19" i="46"/>
  <c r="AB9" i="46"/>
  <c r="AB5" i="46"/>
  <c r="P16" i="46"/>
  <c r="P12" i="46"/>
  <c r="P8" i="46"/>
  <c r="P4" i="46"/>
  <c r="AB12" i="46"/>
  <c r="AB8" i="46"/>
  <c r="AB4" i="46"/>
  <c r="P15" i="46"/>
  <c r="P11" i="46"/>
  <c r="P7" i="46"/>
  <c r="P3" i="46"/>
  <c r="AB11" i="46"/>
  <c r="AB7" i="46"/>
  <c r="AB3" i="46"/>
  <c r="P14" i="46"/>
  <c r="P10" i="46"/>
  <c r="P6" i="46"/>
  <c r="AB10" i="46"/>
  <c r="AB6" i="46"/>
  <c r="P17" i="46"/>
  <c r="P13" i="46"/>
  <c r="P9" i="46"/>
  <c r="P5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<sst xmlns="http://schemas.openxmlformats.org/spreadsheetml/2006/main" count="1546" uniqueCount="675">
  <si>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</si>
  <si>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</si>
  <si>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</si>
  <si>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</si>
  <si>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</si>
  <si>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</si>
  <si>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</si>
  <si>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</si>
  <si>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</si>
  <si>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</si>
  <si>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</si>
  <si>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</si>
  <si>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</si>
  <si>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</si>
  <si>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</si>
  <si>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</si>
  <si>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</si>
  <si>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</si>
  <si>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</si>
  <si>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</si>
  <si>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</si>
  <si>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</si>
  <si>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</si>
  <si>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</si>
  <si>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</si>
  <si>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</si>
  <si>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</si>
  <si>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</si>
  <si>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</si>
  <si>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</si>
  <si>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</si>
  <si>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</si>
  <si>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</si>
  <si>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</si>
  <si>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</si>
  <si>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</si>
  <si>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</si>
  <si>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</si>
  <si>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</si>
  <si>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</si>
  <si>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</si>
  <si>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</si>
  <si>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</si>
  <si>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</si>
  <si>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</si>
  <si>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</si>
  <si>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</si>
  <si>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</si>
  <si>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</si>
  <si>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</si>
  <si>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</si>
  <si>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</si>
  <si>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</si>
  <si>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</si>
  <si>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</si>
  <si>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</si>
  <si>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</si>
  <si>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</si>
  <si>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</si>
  <si>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</si>
  <si>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</si>
  <si>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</si>
  <si>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</si>
  <si>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</si>
  <si>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</si>
  <si>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</si>
  <si>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</si>
  <si>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</si>
  <si>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</si>
  <si>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</si>
  <si>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</si>
  <si>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</si>
  <si>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</si>
  <si>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</si>
  <si>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</si>
  <si>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</si>
  <si>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</si>
  <si>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</si>
  <si>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</si>
  <si>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</si>
  <si>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</si>
  <si>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</si>
  <si>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</si>
  <si>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</si>
  <si>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</si>
  <si>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</si>
  <si>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</si>
  <si>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</si>
  <si>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</si>
  <si>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</si>
  <si>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</si>
  <si>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</si>
  <si>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</si>
  <si>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</si>
  <si>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</si>
  <si>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</si>
  <si>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</si>
  <si>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</si>
  <si>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</si>
  <si>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</si>
  <si>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</si>
  <si>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</si>
  <si>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</si>
  <si>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</si>
  <si>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</si>
  <si>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</si>
  <si>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</si>
  <si>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</si>
  <si>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</si>
  <si>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</si>
  <si>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</si>
  <si>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</si>
  <si>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</si>
  <si>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</si>
  <si>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</si>
  <si>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</si>
  <si>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</si>
  <si>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</si>
  <si>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</si>
  <si>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</si>
  <si>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</si>
  <si>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</si>
  <si>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</si>
  <si>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</si>
  <si>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</si>
  <si>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</si>
  <si>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</si>
  <si>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</si>
  <si>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</si>
  <si>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</si>
  <si>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</si>
  <si>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</si>
  <si>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</si>
  <si>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</si>
  <si>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</si>
  <si>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</si>
  <si>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</si>
  <si>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</si>
  <si>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</si>
  <si>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</si>
  <si>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</si>
  <si>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</si>
  <si>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</si>
  <si>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</si>
  <si>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</si>
  <si>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</si>
  <si>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</si>
  <si>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</si>
  <si>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</si>
  <si>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</si>
  <si>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</si>
  <si>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</si>
  <si>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</si>
  <si>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</si>
  <si>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</si>
  <si>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</si>
  <si>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</si>
  <si>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</si>
  <si>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</si>
  <si>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</si>
  <si>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</si>
  <si>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</si>
  <si>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</si>
  <si>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</si>
  <si>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</si>
  <si>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</si>
  <si>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</si>
  <si>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</si>
  <si>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</si>
  <si>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</si>
  <si>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</si>
  <si>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</si>
  <si>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</si>
  <si>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</si>
  <si>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</si>
  <si>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</si>
  <si>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</si>
  <si>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</si>
  <si>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</si>
  <si>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</si>
  <si>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</si>
  <si>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</si>
  <si>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</si>
  <si>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</si>
  <si>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</si>
  <si>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</si>
  <si>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</si>
  <si>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</si>
  <si>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</si>
  <si>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</si>
  <si>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</si>
  <si>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</si>
  <si>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</si>
  <si>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</si>
  <si>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</si>
  <si>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</si>
  <si>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</si>
  <si>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</si>
  <si>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</si>
  <si>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</si>
  <si>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</si>
  <si>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</si>
  <si>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</si>
  <si>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</si>
  <si>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</si>
  <si>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</si>
  <si>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</si>
  <si>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</si>
  <si>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</si>
  <si>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</si>
  <si>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</si>
  <si>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</si>
  <si>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</si>
  <si>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</si>
  <si>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</si>
  <si>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</si>
  <si>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</si>
  <si>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</si>
  <si>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</si>
  <si>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</si>
  <si>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</si>
  <si>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</si>
  <si>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</si>
  <si>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</si>
  <si>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</si>
  <si>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</si>
  <si>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</si>
  <si>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</si>
  <si>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</si>
  <si>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</si>
  <si>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</si>
  <si>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</si>
  <si>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</si>
  <si>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</si>
  <si>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</si>
  <si>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</si>
  <si>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</si>
  <si>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</si>
  <si>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</si>
  <si>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</si>
  <si>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</si>
  <si>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</si>
  <si>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</si>
  <si>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</si>
  <si>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</si>
  <si>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</si>
  <si>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</si>
  <si>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</si>
  <si>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</si>
  <si>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</si>
  <si>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</si>
  <si>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</si>
  <si>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</si>
  <si>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</si>
  <si>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</si>
  <si>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</si>
  <si>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</si>
  <si>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</si>
  <si>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</si>
  <si>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</si>
  <si>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</si>
  <si>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</si>
  <si>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</si>
  <si>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</si>
  <si>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</si>
  <si>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</si>
  <si>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</si>
  <si>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</si>
  <si>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</si>
  <si>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</si>
  <si>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</si>
  <si>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</si>
  <si>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</si>
  <si>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</si>
  <si>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</si>
  <si>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</si>
  <si>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</si>
  <si>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</si>
  <si>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</si>
  <si>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</si>
  <si>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</si>
  <si>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</si>
  <si>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</si>
  <si>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</si>
  <si>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</si>
  <si>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</si>
  <si>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</si>
  <si>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</si>
  <si>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</si>
  <si>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</si>
  <si>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</si>
  <si>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</si>
  <si>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</si>
  <si>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</si>
  <si>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</si>
  <si>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</si>
  <si>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</si>
  <si>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</si>
  <si>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</si>
  <si>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</si>
  <si>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</si>
  <si>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</si>
  <si>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</si>
  <si>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</si>
  <si>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</si>
  <si>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</si>
  <si>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</si>
  <si>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</si>
  <si>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</si>
  <si>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</si>
  <si>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</si>
  <si>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</si>
  <si>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</si>
  <si>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</si>
  <si>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</si>
  <si>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</si>
  <si>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</si>
  <si>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</si>
  <si>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</si>
  <si>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</si>
  <si>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</si>
  <si>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</si>
  <si>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</si>
  <si>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</si>
  <si>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</si>
  <si>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</si>
  <si>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</si>
  <si>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</si>
  <si>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</si>
  <si>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</si>
  <si>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</si>
  <si>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</si>
  <si>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</si>
  <si>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</si>
  <si>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</si>
  <si>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</si>
  <si>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</si>
  <si>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</si>
  <si>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</si>
  <si>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</si>
  <si>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</si>
  <si>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</si>
  <si>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</si>
  <si>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</si>
  <si>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</si>
  <si>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</si>
  <si>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</si>
  <si>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</si>
  <si>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</si>
  <si>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</si>
  <si>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</si>
  <si>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</si>
  <si>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</si>
  <si>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</si>
  <si>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</si>
  <si>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</si>
  <si>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</si>
  <si>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</si>
  <si>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</si>
  <si>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</si>
  <si>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</si>
  <si>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</si>
  <si>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</si>
  <si>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</si>
  <si>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</si>
  <si>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</si>
  <si>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</si>
  <si>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</si>
  <si>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</si>
  <si>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</si>
  <si>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</si>
  <si>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</si>
  <si>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</si>
  <si>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</si>
  <si>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</si>
  <si>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</si>
  <si>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</si>
  <si>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</si>
  <si>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</si>
  <si>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</si>
  <si>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</si>
  <si>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</si>
  <si>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</si>
  <si>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</si>
  <si>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</si>
  <si>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</si>
  <si>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</si>
  <si>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</si>
  <si>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</si>
  <si>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</si>
  <si>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</si>
  <si>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</si>
  <si>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</si>
  <si>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</si>
  <si>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</si>
  <si>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</si>
  <si>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</si>
  <si>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</si>
  <si>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</si>
  <si>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</si>
  <si>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</si>
  <si>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</si>
  <si>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</si>
  <si>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</si>
  <si>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</si>
  <si>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</si>
  <si>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</si>
  <si>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</si>
  <si>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</si>
  <si>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</si>
  <si>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</si>
  <si>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</si>
  <si>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</si>
  <si>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</si>
  <si>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</si>
  <si>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</si>
  <si>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</si>
  <si>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</si>
  <si>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</si>
  <si>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</si>
  <si>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</si>
  <si>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</si>
  <si>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</si>
  <si>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</si>
  <si>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</si>
  <si>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</si>
  <si>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</si>
  <si>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</si>
  <si>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</si>
  <si>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</si>
  <si>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</si>
  <si>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</si>
  <si>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</si>
  <si>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</si>
  <si>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</si>
  <si>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</si>
  <si>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</si>
  <si>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</si>
  <si>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</si>
  <si>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</si>
  <si>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</si>
  <si>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</si>
  <si>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</si>
  <si>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</si>
  <si>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</si>
  <si>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</si>
  <si>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</si>
  <si>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</si>
  <si>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</si>
  <si>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</si>
  <si>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</si>
  <si>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</si>
  <si>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</si>
  <si>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</si>
  <si>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</si>
  <si>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</si>
  <si>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</si>
  <si>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</si>
  <si>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</si>
  <si>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</si>
  <si>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</si>
  <si>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</si>
  <si>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</si>
  <si>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</si>
  <si>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</si>
  <si>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</si>
  <si>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</si>
  <si>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</si>
  <si>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</si>
  <si>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</si>
  <si>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</si>
  <si>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</si>
  <si>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</si>
  <si>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</si>
  <si>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</si>
  <si>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</si>
  <si>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</si>
  <si>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</si>
  <si>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</si>
  <si>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</si>
  <si>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</si>
  <si>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</si>
  <si>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</si>
  <si>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</si>
  <si>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</si>
  <si>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</si>
  <si>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</si>
  <si>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</si>
  <si>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</si>
  <si>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</si>
  <si>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</si>
  <si>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</si>
  <si>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</si>
  <si>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</si>
  <si>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</si>
  <si>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</si>
  <si>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</si>
  <si>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</si>
  <si>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</si>
  <si>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</si>
  <si>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</si>
  <si>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</si>
  <si>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</si>
  <si>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</si>
  <si>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</si>
  <si>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</si>
  <si>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</si>
  <si>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</si>
  <si>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</si>
  <si>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</si>
  <si>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</si>
  <si>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</si>
  <si>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</si>
  <si>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</si>
  <si>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</si>
  <si>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</si>
  <si>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</si>
  <si>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</si>
  <si>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</si>
  <si>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</si>
  <si>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</si>
  <si>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</si>
  <si>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</si>
  <si>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</si>
  <si>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</si>
  <si>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</si>
  <si>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</si>
  <si>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</si>
  <si>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</si>
  <si>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</si>
  <si>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</si>
  <si>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</si>
  <si>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</si>
  <si>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</si>
  <si>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</si>
  <si>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</si>
  <si>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</si>
  <si>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</si>
  <si>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</si>
  <si>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</si>
  <si>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</si>
  <si>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</si>
  <si>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</si>
  <si>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</si>
  <si>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</si>
  <si>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</si>
  <si>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</si>
  <si>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</si>
  <si>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</si>
  <si>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</si>
  <si>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</si>
  <si>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</si>
  <si>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</si>
  <si>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</si>
  <si>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</si>
  <si>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</si>
  <si>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</si>
  <si>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</si>
  <si>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</si>
  <si>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</si>
  <si>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</si>
  <si>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</si>
  <si>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</si>
  <si>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</si>
  <si>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</si>
  <si>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</si>
  <si>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</si>
  <si>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</si>
  <si>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</si>
  <si>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</si>
  <si>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</si>
  <si>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</si>
  <si>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</si>
  <si>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</si>
  <si>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</si>
  <si>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</si>
  <si>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</si>
  <si>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</si>
  <si>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</si>
  <si>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</si>
  <si>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</si>
  <si>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</si>
  <si>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</si>
  <si>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</si>
  <si>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</si>
  <si>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</si>
  <si>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</si>
  <si>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</si>
  <si>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</si>
  <si>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AB</t>
  </si>
  <si>
    <t>GFGC2900AB</t>
  </si>
  <si>
    <t>GFGC3000AB</t>
  </si>
  <si>
    <t>GFGC3150AB</t>
  </si>
  <si>
    <t>GFGC3300AB</t>
  </si>
  <si>
    <t>GFGC3450AB</t>
  </si>
  <si>
    <t>GFGC3600AB</t>
  </si>
  <si>
    <t>GFGC3750AB</t>
  </si>
  <si>
    <t>GFGC3900AB</t>
  </si>
  <si>
    <t>GFGC4050AB</t>
  </si>
  <si>
    <t>GFGC4200AB</t>
  </si>
  <si>
    <t>GFGV2020AB</t>
  </si>
  <si>
    <t>GFGV2100AB</t>
  </si>
  <si>
    <t>GFGV2200AB</t>
  </si>
  <si>
    <t>GFGV2300AB</t>
  </si>
  <si>
    <t>GFGV2400AB</t>
  </si>
  <si>
    <t>GFGV2500AB</t>
  </si>
  <si>
    <t>GFGV2600AB</t>
  </si>
  <si>
    <t>GFGV2700AB</t>
  </si>
  <si>
    <t>GFGV2900AB</t>
  </si>
  <si>
    <t>GFGV3000AB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</si>
  <si>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</si>
  <si>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</si>
  <si>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</si>
  <si>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</si>
  <si>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</si>
  <si>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</si>
  <si>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</si>
  <si>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STOP</t>
  </si>
  <si>
    <t>S31E5 - spot</t>
  </si>
  <si>
    <t>S31E5 - 48hs</t>
  </si>
  <si>
    <t>SE5C - spot</t>
  </si>
  <si>
    <t>SE5C - 48hs</t>
  </si>
  <si>
    <t>SE5D - spot</t>
  </si>
  <si>
    <t>SE5D - 48hs</t>
  </si>
  <si>
    <t>TRAIL</t>
  </si>
  <si>
    <t>8 días</t>
  </si>
  <si>
    <t>9 días</t>
  </si>
  <si>
    <t>10 días</t>
  </si>
  <si>
    <t>PRC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</si>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</sst>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#,##0.000"/>
  </numFmts>
  <fonts count="12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rgb="FF970E0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0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3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4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91" fillId="39" borderId="0" applyNumberFormat="0" applyBorder="0" applyAlignment="0" applyProtection="0"/>
    <xf numFmtId="0" fontId="91" fillId="40" borderId="0" applyNumberFormat="0" applyBorder="0" applyAlignment="0" applyProtection="0"/>
    <xf numFmtId="0" fontId="91" fillId="41" borderId="0" applyNumberFormat="0" applyBorder="0" applyAlignment="0" applyProtection="0"/>
  </cellStyleXfs>
  <cellXfs count="80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6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40" fillId="0" borderId="5" xfId="0" applyFont="1" applyBorder="1" applyAlignment="1">
      <alignment horizontal="center"/>
    </xf>
    <xf numFmtId="0" fontId="40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1" fillId="13" borderId="8" xfId="15" applyNumberFormat="1" applyFont="1" applyFill="1" applyBorder="1" applyAlignment="1">
      <alignment horizontal="center" vertical="center"/>
    </xf>
    <xf numFmtId="0" fontId="42" fillId="13" borderId="8" xfId="15" applyFont="1" applyFill="1" applyBorder="1" applyAlignment="1">
      <alignment horizontal="center" vertical="center"/>
    </xf>
    <xf numFmtId="0" fontId="43" fillId="16" borderId="13" xfId="0" applyFont="1" applyFill="1" applyBorder="1" applyAlignment="1">
      <alignment vertical="center"/>
    </xf>
    <xf numFmtId="0" fontId="44" fillId="16" borderId="14" xfId="0" applyFont="1" applyFill="1" applyBorder="1" applyAlignment="1">
      <alignment horizontal="center" vertical="center"/>
    </xf>
    <xf numFmtId="1" fontId="44" fillId="16" borderId="14" xfId="0" applyNumberFormat="1" applyFont="1" applyFill="1" applyBorder="1" applyAlignment="1">
      <alignment horizontal="center" vertical="center"/>
    </xf>
    <xf numFmtId="0" fontId="44" fillId="16" borderId="14" xfId="0" applyFont="1" applyFill="1" applyBorder="1" applyAlignment="1">
      <alignment vertical="center"/>
    </xf>
    <xf numFmtId="164" fontId="44" fillId="16" borderId="14" xfId="0" applyNumberFormat="1" applyFont="1" applyFill="1" applyBorder="1" applyAlignment="1">
      <alignment vertical="center"/>
    </xf>
    <xf numFmtId="2" fontId="44" fillId="16" borderId="14" xfId="0" applyNumberFormat="1" applyFont="1" applyFill="1" applyBorder="1" applyAlignment="1">
      <alignment vertical="center"/>
    </xf>
    <xf numFmtId="0" fontId="45" fillId="16" borderId="15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46" fillId="16" borderId="2" xfId="0" applyFont="1" applyFill="1" applyBorder="1" applyAlignment="1">
      <alignment vertical="center"/>
    </xf>
    <xf numFmtId="0" fontId="47" fillId="16" borderId="2" xfId="0" applyFont="1" applyFill="1" applyBorder="1" applyAlignment="1">
      <alignment horizontal="center" vertical="center"/>
    </xf>
    <xf numFmtId="0" fontId="43" fillId="16" borderId="2" xfId="0" applyFont="1" applyFill="1" applyBorder="1" applyAlignment="1">
      <alignment vertical="center"/>
    </xf>
    <xf numFmtId="0" fontId="44" fillId="16" borderId="2" xfId="0" applyFont="1" applyFill="1" applyBorder="1" applyAlignment="1">
      <alignment vertical="center"/>
    </xf>
    <xf numFmtId="0" fontId="48" fillId="16" borderId="2" xfId="0" applyFont="1" applyFill="1" applyBorder="1" applyAlignment="1">
      <alignment vertical="center"/>
    </xf>
    <xf numFmtId="0" fontId="43" fillId="16" borderId="2" xfId="0" applyFont="1" applyFill="1" applyBorder="1" applyAlignment="1">
      <alignment horizontal="center" vertical="center"/>
    </xf>
    <xf numFmtId="0" fontId="46" fillId="16" borderId="2" xfId="0" applyFont="1" applyFill="1" applyBorder="1" applyAlignment="1">
      <alignment horizontal="center" vertical="center"/>
    </xf>
    <xf numFmtId="1" fontId="46" fillId="16" borderId="2" xfId="0" applyNumberFormat="1" applyFont="1" applyFill="1" applyBorder="1" applyAlignment="1">
      <alignment horizontal="center" vertical="center"/>
    </xf>
    <xf numFmtId="2" fontId="46" fillId="16" borderId="2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vertical="center"/>
    </xf>
    <xf numFmtId="0" fontId="49" fillId="17" borderId="13" xfId="0" applyFont="1" applyFill="1" applyBorder="1" applyAlignment="1">
      <alignment horizontal="center" vertical="center"/>
    </xf>
    <xf numFmtId="0" fontId="50" fillId="17" borderId="16" xfId="0" applyFont="1" applyFill="1" applyBorder="1" applyAlignment="1">
      <alignment horizontal="center" vertical="center"/>
    </xf>
    <xf numFmtId="1" fontId="49" fillId="17" borderId="17" xfId="0" applyNumberFormat="1" applyFont="1" applyFill="1" applyBorder="1" applyAlignment="1">
      <alignment horizontal="center" vertical="center"/>
    </xf>
    <xf numFmtId="0" fontId="49" fillId="17" borderId="18" xfId="0" applyFont="1" applyFill="1" applyBorder="1" applyAlignment="1">
      <alignment horizontal="center" vertical="center"/>
    </xf>
    <xf numFmtId="164" fontId="49" fillId="17" borderId="19" xfId="0" applyNumberFormat="1" applyFont="1" applyFill="1" applyBorder="1" applyAlignment="1">
      <alignment horizontal="center" vertical="center"/>
    </xf>
    <xf numFmtId="164" fontId="49" fillId="17" borderId="20" xfId="0" applyNumberFormat="1" applyFont="1" applyFill="1" applyBorder="1" applyAlignment="1">
      <alignment horizontal="center" vertical="center"/>
    </xf>
    <xf numFmtId="2" fontId="50" fillId="17" borderId="19" xfId="0" applyNumberFormat="1" applyFont="1" applyFill="1" applyBorder="1" applyAlignment="1">
      <alignment horizontal="center" vertical="center"/>
    </xf>
    <xf numFmtId="0" fontId="49" fillId="17" borderId="17" xfId="0" applyFont="1" applyFill="1" applyBorder="1" applyAlignment="1">
      <alignment horizontal="center" vertical="center"/>
    </xf>
    <xf numFmtId="0" fontId="49" fillId="17" borderId="21" xfId="0" applyFont="1" applyFill="1" applyBorder="1" applyAlignment="1">
      <alignment horizontal="center" vertical="center"/>
    </xf>
    <xf numFmtId="2" fontId="49" fillId="17" borderId="16" xfId="0" applyNumberFormat="1" applyFont="1" applyFill="1" applyBorder="1" applyAlignment="1">
      <alignment horizontal="center" vertical="center"/>
    </xf>
    <xf numFmtId="2" fontId="49" fillId="17" borderId="21" xfId="0" applyNumberFormat="1" applyFont="1" applyFill="1" applyBorder="1" applyAlignment="1">
      <alignment horizontal="center" vertical="center"/>
    </xf>
    <xf numFmtId="3" fontId="50" fillId="17" borderId="22" xfId="0" applyNumberFormat="1" applyFont="1" applyFill="1" applyBorder="1" applyAlignment="1">
      <alignment horizontal="center" vertical="center"/>
    </xf>
    <xf numFmtId="3" fontId="50" fillId="17" borderId="23" xfId="0" applyNumberFormat="1" applyFont="1" applyFill="1" applyBorder="1" applyAlignment="1">
      <alignment horizontal="center" vertical="center"/>
    </xf>
    <xf numFmtId="0" fontId="51" fillId="16" borderId="2" xfId="0" applyFont="1" applyFill="1" applyBorder="1" applyAlignment="1">
      <alignment vertical="center"/>
    </xf>
    <xf numFmtId="0" fontId="49" fillId="18" borderId="24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0" fillId="17" borderId="27" xfId="0" applyFont="1" applyFill="1" applyBorder="1" applyAlignment="1">
      <alignment horizontal="center" vertical="center"/>
    </xf>
    <xf numFmtId="0" fontId="49" fillId="17" borderId="28" xfId="0" applyFont="1" applyFill="1" applyBorder="1" applyAlignment="1">
      <alignment horizontal="center" vertical="center"/>
    </xf>
    <xf numFmtId="0" fontId="50" fillId="17" borderId="19" xfId="0" applyFont="1" applyFill="1" applyBorder="1" applyAlignment="1">
      <alignment horizontal="center" vertical="center"/>
    </xf>
    <xf numFmtId="1" fontId="49" fillId="17" borderId="14" xfId="0" applyNumberFormat="1" applyFont="1" applyFill="1" applyBorder="1" applyAlignment="1">
      <alignment horizontal="center" vertical="center"/>
    </xf>
    <xf numFmtId="2" fontId="49" fillId="17" borderId="19" xfId="0" applyNumberFormat="1" applyFont="1" applyFill="1" applyBorder="1" applyAlignment="1">
      <alignment horizontal="center" vertical="center"/>
    </xf>
    <xf numFmtId="2" fontId="49" fillId="17" borderId="18" xfId="0" applyNumberFormat="1" applyFont="1" applyFill="1" applyBorder="1" applyAlignment="1">
      <alignment horizontal="center" vertical="center"/>
    </xf>
    <xf numFmtId="0" fontId="50" fillId="17" borderId="14" xfId="0" applyFont="1" applyFill="1" applyBorder="1" applyAlignment="1">
      <alignment horizontal="center" vertical="center"/>
    </xf>
    <xf numFmtId="0" fontId="50" fillId="17" borderId="18" xfId="0" applyFont="1" applyFill="1" applyBorder="1" applyAlignment="1">
      <alignment horizontal="center" vertical="center"/>
    </xf>
    <xf numFmtId="0" fontId="52" fillId="21" borderId="29" xfId="0" applyFont="1" applyFill="1" applyBorder="1" applyAlignment="1">
      <alignment horizontal="center" vertical="center"/>
    </xf>
    <xf numFmtId="0" fontId="52" fillId="21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2" fillId="22" borderId="30" xfId="0" applyFont="1" applyFill="1" applyBorder="1" applyAlignment="1">
      <alignment horizontal="center" vertical="center"/>
    </xf>
    <xf numFmtId="0" fontId="52" fillId="23" borderId="29" xfId="0" applyFont="1" applyFill="1" applyBorder="1" applyAlignment="1">
      <alignment horizontal="center" vertical="center"/>
    </xf>
    <xf numFmtId="0" fontId="52" fillId="23" borderId="30" xfId="0" applyFont="1" applyFill="1" applyBorder="1" applyAlignment="1">
      <alignment horizontal="center" vertical="center"/>
    </xf>
    <xf numFmtId="0" fontId="52" fillId="23" borderId="31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2" fontId="54" fillId="24" borderId="34" xfId="0" applyNumberFormat="1" applyFont="1" applyFill="1" applyBorder="1" applyAlignment="1">
      <alignment horizontal="center" vertical="center"/>
    </xf>
    <xf numFmtId="9" fontId="46" fillId="26" borderId="33" xfId="0" applyNumberFormat="1" applyFont="1" applyFill="1" applyBorder="1" applyAlignment="1">
      <alignment horizontal="center" vertical="center"/>
    </xf>
    <xf numFmtId="2" fontId="43" fillId="28" borderId="34" xfId="2" applyNumberFormat="1" applyFont="1" applyFill="1" applyBorder="1" applyAlignment="1">
      <alignment horizontal="center" vertical="center"/>
    </xf>
    <xf numFmtId="0" fontId="55" fillId="29" borderId="34" xfId="0" applyFont="1" applyFill="1" applyBorder="1" applyAlignment="1">
      <alignment horizontal="center" vertical="center"/>
    </xf>
    <xf numFmtId="1" fontId="56" fillId="30" borderId="34" xfId="0" applyNumberFormat="1" applyFont="1" applyFill="1" applyBorder="1" applyAlignment="1">
      <alignment horizontal="center" vertical="center"/>
    </xf>
    <xf numFmtId="14" fontId="43" fillId="24" borderId="41" xfId="0" applyNumberFormat="1" applyFont="1" applyFill="1" applyBorder="1" applyAlignment="1">
      <alignment horizontal="center" vertical="center"/>
    </xf>
    <xf numFmtId="0" fontId="43" fillId="21" borderId="42" xfId="0" applyFont="1" applyFill="1" applyBorder="1" applyAlignment="1">
      <alignment horizontal="center" vertical="center"/>
    </xf>
    <xf numFmtId="0" fontId="57" fillId="24" borderId="37" xfId="0" applyFont="1" applyFill="1" applyBorder="1" applyAlignment="1">
      <alignment horizontal="center" vertical="center"/>
    </xf>
    <xf numFmtId="2" fontId="43" fillId="24" borderId="35" xfId="0" applyNumberFormat="1" applyFont="1" applyFill="1" applyBorder="1" applyAlignment="1">
      <alignment horizontal="center" vertical="center"/>
    </xf>
    <xf numFmtId="0" fontId="43" fillId="32" borderId="45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horizontal="center" vertical="center"/>
    </xf>
    <xf numFmtId="0" fontId="43" fillId="33" borderId="45" xfId="0" applyFont="1" applyFill="1" applyBorder="1" applyAlignment="1">
      <alignment horizontal="center" vertical="center"/>
    </xf>
    <xf numFmtId="2" fontId="47" fillId="22" borderId="47" xfId="0" applyNumberFormat="1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vertical="center"/>
    </xf>
    <xf numFmtId="0" fontId="44" fillId="22" borderId="2" xfId="0" applyFont="1" applyFill="1" applyBorder="1" applyAlignment="1">
      <alignment horizontal="center" vertical="center"/>
    </xf>
    <xf numFmtId="1" fontId="44" fillId="22" borderId="2" xfId="0" applyNumberFormat="1" applyFont="1" applyFill="1" applyBorder="1" applyAlignment="1">
      <alignment horizontal="center" vertical="center"/>
    </xf>
    <xf numFmtId="4" fontId="47" fillId="23" borderId="47" xfId="0" applyNumberFormat="1" applyFont="1" applyFill="1" applyBorder="1" applyAlignment="1">
      <alignment horizontal="center" vertical="center"/>
    </xf>
    <xf numFmtId="0" fontId="44" fillId="23" borderId="2" xfId="0" applyFont="1" applyFill="1" applyBorder="1" applyAlignment="1">
      <alignment horizontal="center" vertical="center"/>
    </xf>
    <xf numFmtId="4" fontId="47" fillId="23" borderId="37" xfId="0" applyNumberFormat="1" applyFont="1" applyFill="1" applyBorder="1" applyAlignment="1">
      <alignment horizontal="center" vertical="center"/>
    </xf>
    <xf numFmtId="0" fontId="43" fillId="21" borderId="45" xfId="0" applyFont="1" applyFill="1" applyBorder="1" applyAlignment="1">
      <alignment horizontal="center" vertical="center"/>
    </xf>
    <xf numFmtId="1" fontId="54" fillId="24" borderId="34" xfId="0" applyNumberFormat="1" applyFont="1" applyFill="1" applyBorder="1" applyAlignment="1">
      <alignment horizontal="center" vertical="center"/>
    </xf>
    <xf numFmtId="0" fontId="44" fillId="23" borderId="47" xfId="0" applyFont="1" applyFill="1" applyBorder="1" applyAlignment="1">
      <alignment horizontal="center" vertical="center"/>
    </xf>
    <xf numFmtId="1" fontId="54" fillId="24" borderId="2" xfId="0" applyNumberFormat="1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horizontal="center" vertical="center"/>
    </xf>
    <xf numFmtId="2" fontId="54" fillId="24" borderId="2" xfId="0" applyNumberFormat="1" applyFont="1" applyFill="1" applyBorder="1" applyAlignment="1">
      <alignment horizontal="center" vertical="center"/>
    </xf>
    <xf numFmtId="2" fontId="56" fillId="30" borderId="34" xfId="0" applyNumberFormat="1" applyFont="1" applyFill="1" applyBorder="1" applyAlignment="1">
      <alignment horizontal="center" vertical="center"/>
    </xf>
    <xf numFmtId="9" fontId="57" fillId="35" borderId="51" xfId="0" applyNumberFormat="1" applyFont="1" applyFill="1" applyBorder="1" applyAlignment="1">
      <alignment horizontal="center" vertical="center"/>
    </xf>
    <xf numFmtId="4" fontId="59" fillId="23" borderId="37" xfId="0" applyNumberFormat="1" applyFont="1" applyFill="1" applyBorder="1" applyAlignment="1">
      <alignment horizontal="center" vertical="center"/>
    </xf>
    <xf numFmtId="9" fontId="46" fillId="26" borderId="53" xfId="0" applyNumberFormat="1" applyFont="1" applyFill="1" applyBorder="1" applyAlignment="1">
      <alignment horizontal="center" vertical="center"/>
    </xf>
    <xf numFmtId="0" fontId="61" fillId="16" borderId="2" xfId="0" applyFont="1" applyFill="1" applyBorder="1" applyAlignment="1">
      <alignment vertical="center"/>
    </xf>
    <xf numFmtId="0" fontId="44" fillId="23" borderId="56" xfId="0" applyFont="1" applyFill="1" applyBorder="1" applyAlignment="1">
      <alignment horizontal="center" vertical="center"/>
    </xf>
    <xf numFmtId="0" fontId="44" fillId="23" borderId="1" xfId="0" applyFont="1" applyFill="1" applyBorder="1" applyAlignment="1">
      <alignment horizontal="center" vertical="center"/>
    </xf>
    <xf numFmtId="4" fontId="47" fillId="23" borderId="57" xfId="0" applyNumberFormat="1" applyFont="1" applyFill="1" applyBorder="1" applyAlignment="1">
      <alignment horizontal="center" vertical="center"/>
    </xf>
    <xf numFmtId="0" fontId="45" fillId="36" borderId="0" xfId="0" applyFont="1" applyFill="1" applyAlignment="1">
      <alignment vertical="center"/>
    </xf>
    <xf numFmtId="0" fontId="47" fillId="32" borderId="47" xfId="0" applyFont="1" applyFill="1" applyBorder="1" applyAlignment="1">
      <alignment horizontal="center" vertical="center"/>
    </xf>
    <xf numFmtId="0" fontId="45" fillId="32" borderId="2" xfId="0" applyFont="1" applyFill="1" applyBorder="1" applyAlignment="1">
      <alignment vertical="center"/>
    </xf>
    <xf numFmtId="0" fontId="45" fillId="33" borderId="2" xfId="0" applyFont="1" applyFill="1" applyBorder="1" applyAlignment="1">
      <alignment vertical="center"/>
    </xf>
    <xf numFmtId="0" fontId="55" fillId="32" borderId="37" xfId="0" applyFont="1" applyFill="1" applyBorder="1" applyAlignment="1">
      <alignment horizontal="center" vertical="center"/>
    </xf>
    <xf numFmtId="2" fontId="44" fillId="22" borderId="37" xfId="0" applyNumberFormat="1" applyFont="1" applyFill="1" applyBorder="1" applyAlignment="1">
      <alignment horizontal="center" vertical="center"/>
    </xf>
    <xf numFmtId="0" fontId="57" fillId="24" borderId="33" xfId="0" applyFont="1" applyFill="1" applyBorder="1" applyAlignment="1">
      <alignment horizontal="center" vertical="center"/>
    </xf>
    <xf numFmtId="1" fontId="54" fillId="21" borderId="61" xfId="0" applyNumberFormat="1" applyFont="1" applyFill="1" applyBorder="1" applyAlignment="1">
      <alignment vertical="center"/>
    </xf>
    <xf numFmtId="14" fontId="43" fillId="24" borderId="41" xfId="0" applyNumberFormat="1" applyFont="1" applyFill="1" applyBorder="1" applyAlignment="1">
      <alignment horizontal="center" vertical="center" wrapText="1"/>
    </xf>
    <xf numFmtId="0" fontId="43" fillId="21" borderId="45" xfId="0" applyFont="1" applyFill="1" applyBorder="1" applyAlignment="1">
      <alignment horizontal="center" vertical="center" wrapText="1"/>
    </xf>
    <xf numFmtId="0" fontId="43" fillId="32" borderId="45" xfId="0" applyFont="1" applyFill="1" applyBorder="1" applyAlignment="1">
      <alignment horizontal="center" vertical="center" wrapText="1"/>
    </xf>
    <xf numFmtId="0" fontId="43" fillId="33" borderId="45" xfId="0" applyFont="1" applyFill="1" applyBorder="1" applyAlignment="1">
      <alignment horizontal="center" vertical="center" wrapText="1"/>
    </xf>
    <xf numFmtId="1" fontId="54" fillId="32" borderId="61" xfId="0" applyNumberFormat="1" applyFont="1" applyFill="1" applyBorder="1" applyAlignment="1">
      <alignment vertical="center"/>
    </xf>
    <xf numFmtId="1" fontId="54" fillId="33" borderId="61" xfId="0" applyNumberFormat="1" applyFont="1" applyFill="1" applyBorder="1" applyAlignment="1">
      <alignment vertical="center"/>
    </xf>
    <xf numFmtId="0" fontId="62" fillId="36" borderId="0" xfId="0" applyFont="1" applyFill="1" applyAlignment="1">
      <alignment vertical="center"/>
    </xf>
    <xf numFmtId="9" fontId="54" fillId="24" borderId="60" xfId="0" applyNumberFormat="1" applyFont="1" applyFill="1" applyBorder="1" applyAlignment="1">
      <alignment horizontal="center" vertical="center"/>
    </xf>
    <xf numFmtId="0" fontId="43" fillId="38" borderId="66" xfId="0" applyFont="1" applyFill="1" applyBorder="1" applyAlignment="1">
      <alignment horizontal="center" vertical="center"/>
    </xf>
    <xf numFmtId="0" fontId="54" fillId="25" borderId="61" xfId="0" applyFont="1" applyFill="1" applyBorder="1" applyAlignment="1">
      <alignment horizontal="center" vertical="center"/>
    </xf>
    <xf numFmtId="0" fontId="43" fillId="38" borderId="61" xfId="0" applyFont="1" applyFill="1" applyBorder="1" applyAlignment="1">
      <alignment horizontal="center" vertical="center"/>
    </xf>
    <xf numFmtId="3" fontId="54" fillId="24" borderId="61" xfId="0" applyNumberFormat="1" applyFont="1" applyFill="1" applyBorder="1" applyAlignment="1">
      <alignment horizontal="center" vertical="center"/>
    </xf>
    <xf numFmtId="0" fontId="46" fillId="16" borderId="0" xfId="0" applyFont="1" applyFill="1" applyAlignment="1">
      <alignment vertical="center"/>
    </xf>
    <xf numFmtId="0" fontId="45" fillId="16" borderId="0" xfId="0" applyFont="1" applyFill="1" applyAlignment="1">
      <alignment vertical="center"/>
    </xf>
    <xf numFmtId="0" fontId="48" fillId="16" borderId="0" xfId="0" applyFont="1" applyFill="1" applyAlignment="1">
      <alignment vertical="center"/>
    </xf>
    <xf numFmtId="10" fontId="54" fillId="24" borderId="61" xfId="0" applyNumberFormat="1" applyFont="1" applyFill="1" applyBorder="1" applyAlignment="1">
      <alignment horizontal="center" vertical="center"/>
    </xf>
    <xf numFmtId="14" fontId="43" fillId="37" borderId="61" xfId="0" applyNumberFormat="1" applyFont="1" applyFill="1" applyBorder="1" applyAlignment="1">
      <alignment horizontal="center" vertical="center"/>
    </xf>
    <xf numFmtId="3" fontId="43" fillId="37" borderId="61" xfId="0" applyNumberFormat="1" applyFont="1" applyFill="1" applyBorder="1" applyAlignment="1">
      <alignment horizontal="center" vertical="center"/>
    </xf>
    <xf numFmtId="169" fontId="43" fillId="37" borderId="61" xfId="0" applyNumberFormat="1" applyFont="1" applyFill="1" applyBorder="1" applyAlignment="1">
      <alignment horizontal="center" vertical="center"/>
    </xf>
    <xf numFmtId="10" fontId="54" fillId="24" borderId="70" xfId="0" applyNumberFormat="1" applyFont="1" applyFill="1" applyBorder="1" applyAlignment="1">
      <alignment horizontal="center" vertical="center"/>
    </xf>
    <xf numFmtId="0" fontId="44" fillId="16" borderId="0" xfId="0" applyFont="1" applyFill="1" applyAlignment="1">
      <alignment vertical="center"/>
    </xf>
    <xf numFmtId="2" fontId="47" fillId="22" borderId="56" xfId="0" applyNumberFormat="1" applyFont="1" applyFill="1" applyBorder="1" applyAlignment="1">
      <alignment horizontal="center" vertical="center"/>
    </xf>
    <xf numFmtId="1" fontId="44" fillId="22" borderId="1" xfId="0" applyNumberFormat="1" applyFont="1" applyFill="1" applyBorder="1" applyAlignment="1">
      <alignment vertical="center"/>
    </xf>
    <xf numFmtId="0" fontId="44" fillId="22" borderId="1" xfId="0" applyFont="1" applyFill="1" applyBorder="1" applyAlignment="1">
      <alignment horizontal="center" vertical="center"/>
    </xf>
    <xf numFmtId="2" fontId="44" fillId="22" borderId="5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vertical="center"/>
    </xf>
    <xf numFmtId="0" fontId="47" fillId="21" borderId="29" xfId="0" applyFont="1" applyFill="1" applyBorder="1" applyAlignment="1">
      <alignment horizontal="center" vertical="center"/>
    </xf>
    <xf numFmtId="0" fontId="45" fillId="21" borderId="30" xfId="0" applyFont="1" applyFill="1" applyBorder="1" applyAlignment="1">
      <alignment vertical="center"/>
    </xf>
    <xf numFmtId="0" fontId="63" fillId="21" borderId="30" xfId="0" applyFont="1" applyFill="1" applyBorder="1" applyAlignment="1">
      <alignment vertical="center"/>
    </xf>
    <xf numFmtId="0" fontId="55" fillId="21" borderId="31" xfId="0" applyFont="1" applyFill="1" applyBorder="1" applyAlignment="1">
      <alignment horizontal="center" vertical="center"/>
    </xf>
    <xf numFmtId="0" fontId="64" fillId="16" borderId="0" xfId="0" applyFont="1" applyFill="1" applyAlignment="1">
      <alignment vertical="center"/>
    </xf>
    <xf numFmtId="2" fontId="47" fillId="22" borderId="37" xfId="0" applyNumberFormat="1" applyFont="1" applyFill="1" applyBorder="1" applyAlignment="1">
      <alignment horizontal="center" vertical="center"/>
    </xf>
    <xf numFmtId="0" fontId="57" fillId="24" borderId="53" xfId="0" applyFont="1" applyFill="1" applyBorder="1" applyAlignment="1">
      <alignment horizontal="center" vertical="center"/>
    </xf>
    <xf numFmtId="0" fontId="57" fillId="24" borderId="74" xfId="0" applyFont="1" applyFill="1" applyBorder="1" applyAlignment="1">
      <alignment horizontal="center" vertical="center"/>
    </xf>
    <xf numFmtId="1" fontId="54" fillId="24" borderId="75" xfId="0" applyNumberFormat="1" applyFont="1" applyFill="1" applyBorder="1" applyAlignment="1">
      <alignment horizontal="center" vertical="center"/>
    </xf>
    <xf numFmtId="2" fontId="54" fillId="33" borderId="44" xfId="0" applyNumberFormat="1" applyFont="1" applyFill="1" applyBorder="1" applyAlignment="1">
      <alignment vertical="center"/>
    </xf>
    <xf numFmtId="2" fontId="54" fillId="33" borderId="35" xfId="0" applyNumberFormat="1" applyFont="1" applyFill="1" applyBorder="1" applyAlignment="1">
      <alignment vertical="center"/>
    </xf>
    <xf numFmtId="1" fontId="54" fillId="24" borderId="71" xfId="0" applyNumberFormat="1" applyFont="1" applyFill="1" applyBorder="1" applyAlignment="1">
      <alignment horizontal="center" vertical="center"/>
    </xf>
    <xf numFmtId="2" fontId="54" fillId="33" borderId="78" xfId="0" applyNumberFormat="1" applyFont="1" applyFill="1" applyBorder="1" applyAlignment="1">
      <alignment vertical="center"/>
    </xf>
    <xf numFmtId="0" fontId="54" fillId="37" borderId="80" xfId="0" applyFont="1" applyFill="1" applyBorder="1" applyAlignment="1">
      <alignment horizontal="center" vertical="center"/>
    </xf>
    <xf numFmtId="1" fontId="54" fillId="37" borderId="71" xfId="0" applyNumberFormat="1" applyFont="1" applyFill="1" applyBorder="1" applyAlignment="1">
      <alignment horizontal="center" vertical="center"/>
    </xf>
    <xf numFmtId="0" fontId="54" fillId="37" borderId="72" xfId="0" applyFont="1" applyFill="1" applyBorder="1" applyAlignment="1">
      <alignment horizontal="center" vertical="center"/>
    </xf>
    <xf numFmtId="2" fontId="54" fillId="37" borderId="81" xfId="0" applyNumberFormat="1" applyFont="1" applyFill="1" applyBorder="1" applyAlignment="1">
      <alignment vertical="center"/>
    </xf>
    <xf numFmtId="1" fontId="54" fillId="37" borderId="71" xfId="0" applyNumberFormat="1" applyFont="1" applyFill="1" applyBorder="1" applyAlignment="1">
      <alignment vertical="center"/>
    </xf>
    <xf numFmtId="0" fontId="45" fillId="32" borderId="0" xfId="0" applyFont="1" applyFill="1" applyAlignment="1">
      <alignment vertical="center"/>
    </xf>
    <xf numFmtId="2" fontId="47" fillId="22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6" fillId="30" borderId="34" xfId="55" applyNumberFormat="1" applyFont="1" applyFill="1" applyBorder="1" applyAlignment="1">
      <alignment horizontal="center" vertical="center"/>
    </xf>
    <xf numFmtId="0" fontId="49" fillId="20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3" fillId="28" borderId="34" xfId="2" applyNumberFormat="1" applyFont="1" applyFill="1" applyBorder="1" applyAlignment="1">
      <alignment horizontal="center" vertical="center"/>
    </xf>
    <xf numFmtId="0" fontId="43" fillId="28" borderId="37" xfId="0" applyFont="1" applyFill="1" applyBorder="1" applyAlignment="1">
      <alignment horizontal="center" vertical="center"/>
    </xf>
    <xf numFmtId="0" fontId="54" fillId="24" borderId="34" xfId="0" applyFont="1" applyFill="1" applyBorder="1" applyAlignment="1">
      <alignment horizontal="center" vertical="center"/>
    </xf>
    <xf numFmtId="0" fontId="54" fillId="24" borderId="35" xfId="0" applyFont="1" applyFill="1" applyBorder="1" applyAlignment="1">
      <alignment vertical="center"/>
    </xf>
    <xf numFmtId="0" fontId="54" fillId="25" borderId="37" xfId="0" applyFont="1" applyFill="1" applyBorder="1" applyAlignment="1">
      <alignment vertical="center"/>
    </xf>
    <xf numFmtId="0" fontId="53" fillId="24" borderId="33" xfId="0" applyFont="1" applyFill="1" applyBorder="1" applyAlignment="1">
      <alignment horizontal="center" vertical="center"/>
    </xf>
    <xf numFmtId="0" fontId="58" fillId="24" borderId="33" xfId="0" applyFont="1" applyFill="1" applyBorder="1" applyAlignment="1">
      <alignment horizontal="center" vertical="center"/>
    </xf>
    <xf numFmtId="0" fontId="60" fillId="24" borderId="33" xfId="0" applyFont="1" applyFill="1" applyBorder="1" applyAlignment="1">
      <alignment horizontal="center" vertical="center"/>
    </xf>
    <xf numFmtId="0" fontId="54" fillId="25" borderId="62" xfId="0" applyFont="1" applyFill="1" applyBorder="1" applyAlignment="1">
      <alignment vertical="center"/>
    </xf>
    <xf numFmtId="0" fontId="54" fillId="24" borderId="71" xfId="0" applyFont="1" applyFill="1" applyBorder="1" applyAlignment="1">
      <alignment horizontal="center" vertical="center"/>
    </xf>
    <xf numFmtId="0" fontId="54" fillId="24" borderId="72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5" fillId="15" borderId="3" xfId="55" applyNumberFormat="1" applyFont="1" applyFill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/>
    </xf>
    <xf numFmtId="0" fontId="54" fillId="33" borderId="37" xfId="0" applyFont="1" applyFill="1" applyBorder="1" applyAlignment="1">
      <alignment vertical="center"/>
    </xf>
    <xf numFmtId="0" fontId="54" fillId="33" borderId="62" xfId="0" applyFont="1" applyFill="1" applyBorder="1" applyAlignment="1">
      <alignment vertical="center"/>
    </xf>
    <xf numFmtId="0" fontId="54" fillId="21" borderId="43" xfId="0" applyFont="1" applyFill="1" applyBorder="1" applyAlignment="1">
      <alignment horizontal="right" vertical="center"/>
    </xf>
    <xf numFmtId="0" fontId="54" fillId="21" borderId="44" xfId="0" applyFont="1" applyFill="1" applyBorder="1" applyAlignment="1">
      <alignment horizontal="right" vertical="center"/>
    </xf>
    <xf numFmtId="0" fontId="54" fillId="21" borderId="2" xfId="0" applyFont="1" applyFill="1" applyBorder="1" applyAlignment="1">
      <alignment horizontal="right" vertical="center"/>
    </xf>
    <xf numFmtId="0" fontId="54" fillId="21" borderId="35" xfId="0" applyFont="1" applyFill="1" applyBorder="1" applyAlignment="1">
      <alignment horizontal="right" vertical="center"/>
    </xf>
    <xf numFmtId="0" fontId="54" fillId="32" borderId="2" xfId="0" applyFont="1" applyFill="1" applyBorder="1" applyAlignment="1">
      <alignment horizontal="right" vertical="center"/>
    </xf>
    <xf numFmtId="0" fontId="54" fillId="32" borderId="46" xfId="0" applyFont="1" applyFill="1" applyBorder="1" applyAlignment="1">
      <alignment horizontal="right" vertical="center"/>
    </xf>
    <xf numFmtId="0" fontId="54" fillId="32" borderId="35" xfId="0" applyFont="1" applyFill="1" applyBorder="1" applyAlignment="1">
      <alignment horizontal="right" vertical="center"/>
    </xf>
    <xf numFmtId="0" fontId="54" fillId="33" borderId="2" xfId="0" applyFont="1" applyFill="1" applyBorder="1" applyAlignment="1">
      <alignment horizontal="right" vertical="center"/>
    </xf>
    <xf numFmtId="0" fontId="54" fillId="33" borderId="35" xfId="0" applyFont="1" applyFill="1" applyBorder="1" applyAlignment="1">
      <alignment horizontal="right" vertical="center"/>
    </xf>
    <xf numFmtId="0" fontId="49" fillId="18" borderId="25" xfId="0" applyFont="1" applyFill="1" applyBorder="1" applyAlignment="1">
      <alignment horizontal="center" vertical="center"/>
    </xf>
    <xf numFmtId="0" fontId="50" fillId="20" borderId="25" xfId="0" applyFont="1" applyFill="1" applyBorder="1" applyAlignment="1">
      <alignment horizontal="center" vertical="center"/>
    </xf>
    <xf numFmtId="0" fontId="49" fillId="20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8" fillId="10" borderId="92" xfId="0" applyFont="1" applyFill="1" applyBorder="1" applyAlignment="1">
      <alignment horizontal="right" vertical="center"/>
    </xf>
    <xf numFmtId="0" fontId="38" fillId="10" borderId="96" xfId="0" applyFont="1" applyFill="1" applyBorder="1" applyAlignment="1">
      <alignment horizontal="right" vertical="center"/>
    </xf>
    <xf numFmtId="0" fontId="38" fillId="10" borderId="98" xfId="0" applyFont="1" applyFill="1" applyBorder="1" applyAlignment="1">
      <alignment horizontal="right" vertical="center"/>
    </xf>
    <xf numFmtId="0" fontId="38" fillId="10" borderId="95" xfId="0" applyFont="1" applyFill="1" applyBorder="1" applyAlignment="1">
      <alignment horizontal="right" vertical="center"/>
    </xf>
    <xf numFmtId="0" fontId="36" fillId="10" borderId="92" xfId="0" applyFont="1" applyFill="1" applyBorder="1" applyAlignment="1">
      <alignment horizontal="right" vertical="center"/>
    </xf>
    <xf numFmtId="0" fontId="36" fillId="10" borderId="96" xfId="0" applyFont="1" applyFill="1" applyBorder="1" applyAlignment="1">
      <alignment horizontal="right" vertical="center"/>
    </xf>
    <xf numFmtId="0" fontId="36" fillId="10" borderId="98" xfId="0" applyFont="1" applyFill="1" applyBorder="1" applyAlignment="1">
      <alignment horizontal="right" vertical="center"/>
    </xf>
    <xf numFmtId="0" fontId="36" fillId="10" borderId="95" xfId="0" applyFont="1" applyFill="1" applyBorder="1" applyAlignment="1">
      <alignment horizontal="right" vertical="center"/>
    </xf>
    <xf numFmtId="3" fontId="36" fillId="10" borderId="96" xfId="0" applyNumberFormat="1" applyFont="1" applyFill="1" applyBorder="1" applyAlignment="1">
      <alignment horizontal="right" vertical="center"/>
    </xf>
    <xf numFmtId="0" fontId="38" fillId="10" borderId="93" xfId="0" applyFont="1" applyFill="1" applyBorder="1" applyAlignment="1">
      <alignment horizontal="right" vertical="center"/>
    </xf>
    <xf numFmtId="0" fontId="38" fillId="10" borderId="89" xfId="0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65" fillId="10" borderId="9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6" fillId="10" borderId="101" xfId="0" applyFont="1" applyFill="1" applyBorder="1" applyAlignment="1">
      <alignment horizontal="right" vertical="center"/>
    </xf>
    <xf numFmtId="0" fontId="38" fillId="10" borderId="104" xfId="0" applyFont="1" applyFill="1" applyBorder="1" applyAlignment="1">
      <alignment horizontal="right" vertical="center"/>
    </xf>
    <xf numFmtId="0" fontId="38" fillId="10" borderId="103" xfId="0" applyFont="1" applyFill="1" applyBorder="1" applyAlignment="1">
      <alignment horizontal="right" vertical="center"/>
    </xf>
    <xf numFmtId="0" fontId="36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6" fillId="10" borderId="98" xfId="0" applyNumberFormat="1" applyFont="1" applyFill="1" applyBorder="1" applyAlignment="1">
      <alignment horizontal="right" vertical="center"/>
    </xf>
    <xf numFmtId="0" fontId="36" fillId="10" borderId="91" xfId="55" applyNumberFormat="1" applyFont="1" applyFill="1" applyBorder="1" applyAlignment="1">
      <alignment horizontal="right" vertical="center"/>
    </xf>
    <xf numFmtId="0" fontId="67" fillId="19" borderId="25" xfId="0" applyFont="1" applyFill="1" applyBorder="1" applyAlignment="1">
      <alignment horizontal="center" vertical="center"/>
    </xf>
    <xf numFmtId="0" fontId="65" fillId="10" borderId="95" xfId="0" applyFont="1" applyFill="1" applyBorder="1" applyAlignment="1">
      <alignment horizontal="right" vertical="center"/>
    </xf>
    <xf numFmtId="3" fontId="36" fillId="10" borderId="95" xfId="0" applyNumberFormat="1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0" fontId="38" fillId="10" borderId="110" xfId="0" applyFont="1" applyFill="1" applyBorder="1" applyAlignment="1">
      <alignment horizontal="right" vertical="center"/>
    </xf>
    <xf numFmtId="0" fontId="36" fillId="10" borderId="110" xfId="0" applyFont="1" applyFill="1" applyBorder="1" applyAlignment="1">
      <alignment horizontal="right" vertical="center"/>
    </xf>
    <xf numFmtId="0" fontId="65" fillId="10" borderId="91" xfId="0" applyFont="1" applyFill="1" applyBorder="1" applyAlignment="1">
      <alignment horizontal="right" vertical="center"/>
    </xf>
    <xf numFmtId="3" fontId="36" fillId="10" borderId="110" xfId="0" applyNumberFormat="1" applyFont="1" applyFill="1" applyBorder="1" applyAlignment="1">
      <alignment horizontal="right" vertical="center"/>
    </xf>
    <xf numFmtId="0" fontId="36" fillId="10" borderId="89" xfId="0" applyFont="1" applyFill="1" applyBorder="1" applyAlignment="1">
      <alignment horizontal="right" vertical="center"/>
    </xf>
    <xf numFmtId="3" fontId="36" fillId="10" borderId="92" xfId="0" applyNumberFormat="1" applyFont="1" applyFill="1" applyBorder="1" applyAlignment="1">
      <alignment horizontal="right" vertical="center"/>
    </xf>
    <xf numFmtId="0" fontId="36" fillId="10" borderId="3" xfId="0" applyFont="1" applyFill="1" applyBorder="1" applyAlignment="1">
      <alignment horizontal="right" vertical="center"/>
    </xf>
    <xf numFmtId="0" fontId="36" fillId="10" borderId="100" xfId="0" applyFont="1" applyFill="1" applyBorder="1" applyAlignment="1">
      <alignment horizontal="right" vertical="center"/>
    </xf>
    <xf numFmtId="3" fontId="36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9" fillId="12" borderId="109" xfId="55" applyNumberFormat="1" applyFont="1" applyFill="1" applyBorder="1" applyAlignment="1">
      <alignment horizontal="center" vertical="center"/>
    </xf>
    <xf numFmtId="0" fontId="69" fillId="12" borderId="108" xfId="55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0" borderId="102" xfId="0" applyFont="1" applyFill="1" applyBorder="1" applyAlignment="1">
      <alignment horizontal="left" vertical="center"/>
    </xf>
    <xf numFmtId="0" fontId="73" fillId="13" borderId="8" xfId="15" applyFont="1" applyFill="1" applyBorder="1" applyAlignment="1">
      <alignment horizontal="center" vertical="center"/>
    </xf>
    <xf numFmtId="0" fontId="74" fillId="13" borderId="8" xfId="15" applyFont="1" applyFill="1" applyBorder="1" applyAlignment="1">
      <alignment horizontal="center" vertical="center"/>
    </xf>
    <xf numFmtId="0" fontId="75" fillId="13" borderId="8" xfId="15" applyFont="1" applyFill="1" applyBorder="1" applyAlignment="1">
      <alignment horizontal="center" vertical="center"/>
    </xf>
    <xf numFmtId="166" fontId="36" fillId="10" borderId="90" xfId="0" applyNumberFormat="1" applyFont="1" applyFill="1" applyBorder="1" applyAlignment="1">
      <alignment horizontal="center" vertical="center"/>
    </xf>
    <xf numFmtId="166" fontId="36" fillId="10" borderId="119" xfId="0" applyNumberFormat="1" applyFont="1" applyFill="1" applyBorder="1" applyAlignment="1">
      <alignment horizontal="center" vertical="center"/>
    </xf>
    <xf numFmtId="166" fontId="36" fillId="10" borderId="91" xfId="0" applyNumberFormat="1" applyFont="1" applyFill="1" applyBorder="1" applyAlignment="1">
      <alignment horizontal="center" vertical="center"/>
    </xf>
    <xf numFmtId="166" fontId="36" fillId="10" borderId="120" xfId="0" applyNumberFormat="1" applyFont="1" applyFill="1" applyBorder="1" applyAlignment="1">
      <alignment horizontal="center" vertical="center"/>
    </xf>
    <xf numFmtId="166" fontId="36" fillId="10" borderId="3" xfId="0" applyNumberFormat="1" applyFont="1" applyFill="1" applyBorder="1" applyAlignment="1">
      <alignment horizontal="center" vertical="center"/>
    </xf>
    <xf numFmtId="166" fontId="36" fillId="10" borderId="89" xfId="0" applyNumberFormat="1" applyFont="1" applyFill="1" applyBorder="1" applyAlignment="1">
      <alignment horizontal="center" vertical="center"/>
    </xf>
    <xf numFmtId="166" fontId="36" fillId="10" borderId="100" xfId="0" applyNumberFormat="1" applyFont="1" applyFill="1" applyBorder="1" applyAlignment="1">
      <alignment horizontal="center" vertical="center"/>
    </xf>
    <xf numFmtId="166" fontId="36" fillId="10" borderId="111" xfId="0" applyNumberFormat="1" applyFont="1" applyFill="1" applyBorder="1" applyAlignment="1">
      <alignment horizontal="center" vertical="center"/>
    </xf>
    <xf numFmtId="0" fontId="38" fillId="10" borderId="90" xfId="0" applyFont="1" applyFill="1" applyBorder="1" applyAlignment="1">
      <alignment horizontal="right" vertical="center"/>
    </xf>
    <xf numFmtId="0" fontId="38" fillId="10" borderId="119" xfId="0" applyFont="1" applyFill="1" applyBorder="1" applyAlignment="1">
      <alignment horizontal="right" vertical="center"/>
    </xf>
    <xf numFmtId="0" fontId="38" fillId="10" borderId="91" xfId="0" applyFont="1" applyFill="1" applyBorder="1" applyAlignment="1">
      <alignment horizontal="right" vertical="center"/>
    </xf>
    <xf numFmtId="0" fontId="38" fillId="10" borderId="120" xfId="0" applyFont="1" applyFill="1" applyBorder="1" applyAlignment="1">
      <alignment horizontal="right" vertical="center"/>
    </xf>
    <xf numFmtId="0" fontId="38" fillId="10" borderId="113" xfId="0" applyFont="1" applyFill="1" applyBorder="1" applyAlignment="1">
      <alignment horizontal="right" vertical="center"/>
    </xf>
    <xf numFmtId="0" fontId="38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6" fillId="10" borderId="122" xfId="55" applyNumberFormat="1" applyFont="1" applyFill="1" applyBorder="1" applyAlignment="1">
      <alignment horizontal="right" vertical="center"/>
    </xf>
    <xf numFmtId="10" fontId="30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6" fillId="10" borderId="124" xfId="55" applyNumberFormat="1" applyFont="1" applyFill="1" applyBorder="1" applyAlignment="1">
      <alignment horizontal="right" vertical="center"/>
    </xf>
    <xf numFmtId="10" fontId="30" fillId="10" borderId="124" xfId="114" applyNumberFormat="1" applyFont="1" applyFill="1" applyBorder="1" applyAlignment="1">
      <alignment horizontal="right" vertical="center"/>
    </xf>
    <xf numFmtId="10" fontId="73" fillId="10" borderId="122" xfId="114" applyNumberFormat="1" applyFont="1" applyFill="1" applyBorder="1" applyAlignment="1">
      <alignment horizontal="right" vertical="center"/>
    </xf>
    <xf numFmtId="10" fontId="73" fillId="10" borderId="10" xfId="114" applyNumberFormat="1" applyFont="1" applyFill="1" applyBorder="1" applyAlignment="1">
      <alignment horizontal="right" vertical="center"/>
    </xf>
    <xf numFmtId="10" fontId="73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6" fillId="11" borderId="115" xfId="77" applyNumberFormat="1" applyFont="1" applyFill="1" applyBorder="1" applyAlignment="1">
      <alignment horizontal="center" vertical="center"/>
    </xf>
    <xf numFmtId="1" fontId="76" fillId="11" borderId="114" xfId="77" applyNumberFormat="1" applyFont="1" applyFill="1" applyBorder="1" applyAlignment="1">
      <alignment horizontal="center" vertical="center"/>
    </xf>
    <xf numFmtId="1" fontId="77" fillId="11" borderId="114" xfId="77" applyNumberFormat="1" applyFont="1" applyFill="1" applyBorder="1" applyAlignment="1">
      <alignment horizontal="center" vertical="center"/>
    </xf>
    <xf numFmtId="1" fontId="78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5" fillId="10" borderId="92" xfId="0" applyFont="1" applyFill="1" applyBorder="1" applyAlignment="1">
      <alignment horizontal="right" vertical="center"/>
    </xf>
    <xf numFmtId="0" fontId="65" fillId="10" borderId="103" xfId="0" applyFont="1" applyFill="1" applyBorder="1" applyAlignment="1">
      <alignment horizontal="right" vertical="center"/>
    </xf>
    <xf numFmtId="0" fontId="72" fillId="9" borderId="116" xfId="55" applyNumberFormat="1" applyFont="1" applyFill="1" applyBorder="1" applyAlignment="1">
      <alignment horizontal="right" vertical="center"/>
    </xf>
    <xf numFmtId="0" fontId="72" fillId="9" borderId="94" xfId="55" applyNumberFormat="1" applyFont="1" applyFill="1" applyBorder="1" applyAlignment="1">
      <alignment horizontal="right" vertical="center"/>
    </xf>
    <xf numFmtId="10" fontId="81" fillId="10" borderId="95" xfId="114" applyNumberFormat="1" applyFont="1" applyFill="1" applyBorder="1" applyAlignment="1">
      <alignment horizontal="center" vertical="center"/>
    </xf>
    <xf numFmtId="10" fontId="81" fillId="10" borderId="94" xfId="114" applyNumberFormat="1" applyFont="1" applyFill="1" applyBorder="1" applyAlignment="1">
      <alignment horizontal="center" vertical="center"/>
    </xf>
    <xf numFmtId="10" fontId="81" fillId="10" borderId="96" xfId="114" applyNumberFormat="1" applyFont="1" applyFill="1" applyBorder="1" applyAlignment="1">
      <alignment horizontal="center" vertical="center"/>
    </xf>
    <xf numFmtId="10" fontId="81" fillId="10" borderId="98" xfId="114" applyNumberFormat="1" applyFont="1" applyFill="1" applyBorder="1" applyAlignment="1">
      <alignment horizontal="center" vertical="center"/>
    </xf>
    <xf numFmtId="0" fontId="84" fillId="0" borderId="0" xfId="0" applyFont="1" applyAlignment="1">
      <alignment vertical="top"/>
    </xf>
    <xf numFmtId="0" fontId="65" fillId="10" borderId="110" xfId="0" applyFont="1" applyFill="1" applyBorder="1" applyAlignment="1">
      <alignment horizontal="right" vertical="center"/>
    </xf>
    <xf numFmtId="0" fontId="72" fillId="9" borderId="127" xfId="55" applyNumberFormat="1" applyFont="1" applyFill="1" applyBorder="1" applyAlignment="1">
      <alignment horizontal="right" vertical="center"/>
    </xf>
    <xf numFmtId="10" fontId="81" fillId="10" borderId="112" xfId="114" applyNumberFormat="1" applyFont="1" applyFill="1" applyBorder="1" applyAlignment="1">
      <alignment horizontal="center" vertical="center"/>
    </xf>
    <xf numFmtId="166" fontId="36" fillId="10" borderId="113" xfId="0" applyNumberFormat="1" applyFont="1" applyFill="1" applyBorder="1" applyAlignment="1">
      <alignment horizontal="center" vertical="center"/>
    </xf>
    <xf numFmtId="2" fontId="79" fillId="9" borderId="116" xfId="55" applyNumberFormat="1" applyFont="1" applyFill="1" applyBorder="1" applyAlignment="1">
      <alignment horizontal="right" vertical="center"/>
    </xf>
    <xf numFmtId="2" fontId="79" fillId="9" borderId="117" xfId="55" applyNumberFormat="1" applyFont="1" applyFill="1" applyBorder="1" applyAlignment="1">
      <alignment horizontal="right" vertical="center"/>
    </xf>
    <xf numFmtId="10" fontId="86" fillId="10" borderId="95" xfId="114" applyNumberFormat="1" applyFont="1" applyFill="1" applyBorder="1" applyAlignment="1">
      <alignment horizontal="center" vertical="center"/>
    </xf>
    <xf numFmtId="0" fontId="87" fillId="10" borderId="3" xfId="0" applyFont="1" applyFill="1" applyBorder="1" applyAlignment="1">
      <alignment horizontal="right" vertical="center"/>
    </xf>
    <xf numFmtId="0" fontId="87" fillId="10" borderId="95" xfId="0" applyFont="1" applyFill="1" applyBorder="1" applyAlignment="1">
      <alignment horizontal="right" vertical="center"/>
    </xf>
    <xf numFmtId="0" fontId="87" fillId="10" borderId="91" xfId="0" applyFont="1" applyFill="1" applyBorder="1" applyAlignment="1">
      <alignment horizontal="right" vertical="center"/>
    </xf>
    <xf numFmtId="0" fontId="88" fillId="10" borderId="95" xfId="0" applyFont="1" applyFill="1" applyBorder="1" applyAlignment="1">
      <alignment horizontal="right" vertical="center"/>
    </xf>
    <xf numFmtId="3" fontId="88" fillId="10" borderId="95" xfId="0" applyNumberFormat="1" applyFont="1" applyFill="1" applyBorder="1" applyAlignment="1">
      <alignment horizontal="right" vertical="center"/>
    </xf>
    <xf numFmtId="10" fontId="86" fillId="10" borderId="94" xfId="114" applyNumberFormat="1" applyFont="1" applyFill="1" applyBorder="1" applyAlignment="1">
      <alignment horizontal="center" vertical="center"/>
    </xf>
    <xf numFmtId="0" fontId="87" fillId="10" borderId="104" xfId="0" applyFont="1" applyFill="1" applyBorder="1" applyAlignment="1">
      <alignment horizontal="right" vertical="center"/>
    </xf>
    <xf numFmtId="0" fontId="87" fillId="10" borderId="103" xfId="0" applyFont="1" applyFill="1" applyBorder="1" applyAlignment="1">
      <alignment horizontal="right" vertical="center"/>
    </xf>
    <xf numFmtId="0" fontId="87" fillId="10" borderId="120" xfId="0" applyFont="1" applyFill="1" applyBorder="1" applyAlignment="1">
      <alignment horizontal="right" vertical="center"/>
    </xf>
    <xf numFmtId="0" fontId="88" fillId="10" borderId="103" xfId="0" applyFont="1" applyFill="1" applyBorder="1" applyAlignment="1">
      <alignment horizontal="right" vertical="center"/>
    </xf>
    <xf numFmtId="3" fontId="88" fillId="10" borderId="103" xfId="0" applyNumberFormat="1" applyFont="1" applyFill="1" applyBorder="1" applyAlignment="1">
      <alignment horizontal="right" vertical="center"/>
    </xf>
    <xf numFmtId="0" fontId="87" fillId="10" borderId="93" xfId="0" applyFont="1" applyFill="1" applyBorder="1" applyAlignment="1">
      <alignment horizontal="right" vertical="center"/>
    </xf>
    <xf numFmtId="0" fontId="87" fillId="10" borderId="92" xfId="0" applyFont="1" applyFill="1" applyBorder="1" applyAlignment="1">
      <alignment horizontal="right" vertical="center"/>
    </xf>
    <xf numFmtId="0" fontId="87" fillId="10" borderId="119" xfId="0" applyFont="1" applyFill="1" applyBorder="1" applyAlignment="1">
      <alignment horizontal="right" vertical="center"/>
    </xf>
    <xf numFmtId="0" fontId="88" fillId="10" borderId="92" xfId="0" applyFont="1" applyFill="1" applyBorder="1" applyAlignment="1">
      <alignment horizontal="right" vertical="center"/>
    </xf>
    <xf numFmtId="3" fontId="88" fillId="10" borderId="92" xfId="0" applyNumberFormat="1" applyFont="1" applyFill="1" applyBorder="1" applyAlignment="1">
      <alignment horizontal="right" vertical="center"/>
    </xf>
    <xf numFmtId="0" fontId="87" fillId="10" borderId="89" xfId="0" applyFont="1" applyFill="1" applyBorder="1" applyAlignment="1">
      <alignment horizontal="right" vertical="center"/>
    </xf>
    <xf numFmtId="0" fontId="87" fillId="10" borderId="96" xfId="0" applyFont="1" applyFill="1" applyBorder="1" applyAlignment="1">
      <alignment horizontal="right" vertical="center"/>
    </xf>
    <xf numFmtId="0" fontId="87" fillId="10" borderId="90" xfId="0" applyFont="1" applyFill="1" applyBorder="1" applyAlignment="1">
      <alignment horizontal="right" vertical="center"/>
    </xf>
    <xf numFmtId="0" fontId="88" fillId="10" borderId="96" xfId="0" applyFont="1" applyFill="1" applyBorder="1" applyAlignment="1">
      <alignment horizontal="right" vertical="center"/>
    </xf>
    <xf numFmtId="3" fontId="88" fillId="10" borderId="96" xfId="0" applyNumberFormat="1" applyFont="1" applyFill="1" applyBorder="1" applyAlignment="1">
      <alignment horizontal="right" vertical="center"/>
    </xf>
    <xf numFmtId="0" fontId="89" fillId="28" borderId="34" xfId="0" applyFont="1" applyFill="1" applyBorder="1" applyAlignment="1">
      <alignment horizontal="center" vertical="center"/>
    </xf>
    <xf numFmtId="4" fontId="89" fillId="31" borderId="34" xfId="0" applyNumberFormat="1" applyFont="1" applyFill="1" applyBorder="1" applyAlignment="1">
      <alignment horizontal="center" vertical="center"/>
    </xf>
    <xf numFmtId="0" fontId="89" fillId="24" borderId="34" xfId="0" applyFont="1" applyFill="1" applyBorder="1" applyAlignment="1">
      <alignment horizontal="center" vertical="center"/>
    </xf>
    <xf numFmtId="0" fontId="89" fillId="28" borderId="86" xfId="0" applyFont="1" applyFill="1" applyBorder="1" applyAlignment="1">
      <alignment horizontal="center" vertical="center"/>
    </xf>
    <xf numFmtId="0" fontId="69" fillId="12" borderId="125" xfId="55" applyNumberFormat="1" applyFont="1" applyFill="1" applyBorder="1" applyAlignment="1">
      <alignment horizontal="center" vertical="center"/>
    </xf>
    <xf numFmtId="0" fontId="69" fillId="12" borderId="126" xfId="55" applyNumberFormat="1" applyFont="1" applyFill="1" applyBorder="1" applyAlignment="1">
      <alignment horizontal="center" vertical="center"/>
    </xf>
    <xf numFmtId="0" fontId="35" fillId="41" borderId="0" xfId="185" applyFont="1" applyAlignment="1">
      <alignment horizontal="center" vertical="center"/>
    </xf>
    <xf numFmtId="10" fontId="86" fillId="10" borderId="131" xfId="114" applyNumberFormat="1" applyFont="1" applyFill="1" applyBorder="1" applyAlignment="1">
      <alignment horizontal="center" vertical="center"/>
    </xf>
    <xf numFmtId="0" fontId="87" fillId="10" borderId="133" xfId="0" applyFont="1" applyFill="1" applyBorder="1" applyAlignment="1">
      <alignment horizontal="right" vertical="center"/>
    </xf>
    <xf numFmtId="0" fontId="87" fillId="10" borderId="130" xfId="0" applyFont="1" applyFill="1" applyBorder="1" applyAlignment="1">
      <alignment horizontal="right" vertical="center"/>
    </xf>
    <xf numFmtId="0" fontId="87" fillId="10" borderId="134" xfId="0" applyFont="1" applyFill="1" applyBorder="1" applyAlignment="1">
      <alignment horizontal="right" vertical="center"/>
    </xf>
    <xf numFmtId="0" fontId="88" fillId="10" borderId="130" xfId="0" applyFont="1" applyFill="1" applyBorder="1" applyAlignment="1">
      <alignment horizontal="right" vertical="center"/>
    </xf>
    <xf numFmtId="3" fontId="88" fillId="10" borderId="130" xfId="0" applyNumberFormat="1" applyFont="1" applyFill="1" applyBorder="1" applyAlignment="1">
      <alignment horizontal="right" vertical="center"/>
    </xf>
    <xf numFmtId="3" fontId="36" fillId="10" borderId="130" xfId="0" applyNumberFormat="1" applyFont="1" applyFill="1" applyBorder="1" applyAlignment="1">
      <alignment horizontal="right" vertical="center"/>
    </xf>
    <xf numFmtId="166" fontId="36" fillId="10" borderId="133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5" fillId="10" borderId="130" xfId="0" applyFont="1" applyFill="1" applyBorder="1" applyAlignment="1">
      <alignment horizontal="right" vertical="center"/>
    </xf>
    <xf numFmtId="10" fontId="81" fillId="10" borderId="131" xfId="114" applyNumberFormat="1" applyFont="1" applyFill="1" applyBorder="1" applyAlignment="1">
      <alignment horizontal="center" vertical="center"/>
    </xf>
    <xf numFmtId="0" fontId="38" fillId="10" borderId="133" xfId="0" applyFont="1" applyFill="1" applyBorder="1" applyAlignment="1">
      <alignment horizontal="right" vertical="center"/>
    </xf>
    <xf numFmtId="0" fontId="38" fillId="10" borderId="130" xfId="0" applyFont="1" applyFill="1" applyBorder="1" applyAlignment="1">
      <alignment horizontal="right" vertical="center"/>
    </xf>
    <xf numFmtId="0" fontId="38" fillId="10" borderId="134" xfId="0" applyFont="1" applyFill="1" applyBorder="1" applyAlignment="1">
      <alignment horizontal="right" vertical="center"/>
    </xf>
    <xf numFmtId="0" fontId="36" fillId="10" borderId="130" xfId="0" applyFont="1" applyFill="1" applyBorder="1" applyAlignment="1">
      <alignment horizontal="right" vertical="center"/>
    </xf>
    <xf numFmtId="166" fontId="36" fillId="10" borderId="134" xfId="0" applyNumberFormat="1" applyFont="1" applyFill="1" applyBorder="1" applyAlignment="1">
      <alignment horizontal="center" vertical="center"/>
    </xf>
    <xf numFmtId="1" fontId="25" fillId="9" borderId="137" xfId="0" applyNumberFormat="1" applyFont="1" applyFill="1" applyBorder="1" applyAlignment="1">
      <alignment horizontal="center" vertical="center"/>
    </xf>
    <xf numFmtId="3" fontId="36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5" fillId="40" borderId="0" xfId="184" applyNumberFormat="1" applyFont="1" applyAlignment="1">
      <alignment horizontal="center" vertical="center"/>
    </xf>
    <xf numFmtId="10" fontId="81" fillId="10" borderId="130" xfId="114" applyNumberFormat="1" applyFont="1" applyFill="1" applyBorder="1" applyAlignment="1">
      <alignment horizontal="center" vertical="center"/>
    </xf>
    <xf numFmtId="0" fontId="36" fillId="10" borderId="133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3" fillId="11" borderId="115" xfId="77" applyNumberFormat="1" applyFont="1" applyFill="1" applyBorder="1" applyAlignment="1">
      <alignment horizontal="center" vertical="center"/>
    </xf>
    <xf numFmtId="1" fontId="71" fillId="11" borderId="139" xfId="77" applyNumberFormat="1" applyFont="1" applyFill="1" applyBorder="1" applyAlignment="1">
      <alignment horizontal="center" vertical="center"/>
    </xf>
    <xf numFmtId="1" fontId="90" fillId="11" borderId="114" xfId="77" applyNumberFormat="1" applyFont="1" applyFill="1" applyBorder="1" applyAlignment="1">
      <alignment horizontal="center" vertical="center"/>
    </xf>
    <xf numFmtId="1" fontId="76" fillId="11" borderId="138" xfId="77" applyNumberFormat="1" applyFont="1" applyFill="1" applyBorder="1" applyAlignment="1">
      <alignment horizontal="center" vertical="center"/>
    </xf>
    <xf numFmtId="3" fontId="36" fillId="10" borderId="112" xfId="0" applyNumberFormat="1" applyFont="1" applyFill="1" applyBorder="1" applyAlignment="1">
      <alignment horizontal="right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8" fillId="9" borderId="0" xfId="0" applyNumberFormat="1" applyFont="1" applyFill="1"/>
    <xf numFmtId="0" fontId="98" fillId="9" borderId="0" xfId="0" applyFont="1" applyFill="1" applyAlignment="1">
      <alignment horizontal="center"/>
    </xf>
    <xf numFmtId="1" fontId="94" fillId="11" borderId="114" xfId="77" applyNumberFormat="1" applyFont="1" applyFill="1" applyBorder="1" applyAlignment="1">
      <alignment horizontal="center" vertical="center"/>
    </xf>
    <xf numFmtId="1" fontId="100" fillId="11" borderId="114" xfId="77" applyNumberFormat="1" applyFont="1" applyFill="1" applyBorder="1" applyAlignment="1">
      <alignment horizontal="center" vertical="center"/>
    </xf>
    <xf numFmtId="1" fontId="92" fillId="11" borderId="139" xfId="77" applyNumberFormat="1" applyFont="1" applyFill="1" applyBorder="1" applyAlignment="1">
      <alignment horizontal="center" vertical="center"/>
    </xf>
    <xf numFmtId="1" fontId="94" fillId="11" borderId="138" xfId="77" applyNumberFormat="1" applyFont="1" applyFill="1" applyBorder="1" applyAlignment="1">
      <alignment horizontal="center" vertical="center"/>
    </xf>
    <xf numFmtId="1" fontId="100" fillId="11" borderId="115" xfId="77" applyNumberFormat="1" applyFont="1" applyFill="1" applyBorder="1" applyAlignment="1">
      <alignment horizontal="center" vertical="center"/>
    </xf>
    <xf numFmtId="1" fontId="92" fillId="11" borderId="115" xfId="77" applyNumberFormat="1" applyFont="1" applyFill="1" applyBorder="1" applyAlignment="1">
      <alignment horizontal="center" vertical="center"/>
    </xf>
    <xf numFmtId="0" fontId="65" fillId="10" borderId="134" xfId="0" applyFont="1" applyFill="1" applyBorder="1" applyAlignment="1">
      <alignment horizontal="right" vertical="center"/>
    </xf>
    <xf numFmtId="0" fontId="65" fillId="10" borderId="90" xfId="0" applyFont="1" applyFill="1" applyBorder="1" applyAlignment="1">
      <alignment horizontal="right" vertical="center"/>
    </xf>
    <xf numFmtId="0" fontId="101" fillId="0" borderId="0" xfId="0" applyFont="1"/>
    <xf numFmtId="0" fontId="2" fillId="0" borderId="0" xfId="0" applyFont="1"/>
    <xf numFmtId="0" fontId="65" fillId="10" borderId="143" xfId="0" applyFont="1" applyFill="1" applyBorder="1" applyAlignment="1">
      <alignment horizontal="right" vertical="center"/>
    </xf>
    <xf numFmtId="0" fontId="36" fillId="10" borderId="134" xfId="55" applyNumberFormat="1" applyFont="1" applyFill="1" applyBorder="1" applyAlignment="1">
      <alignment horizontal="right" vertical="center"/>
    </xf>
    <xf numFmtId="166" fontId="36" fillId="10" borderId="144" xfId="0" applyNumberFormat="1" applyFont="1" applyFill="1" applyBorder="1" applyAlignment="1">
      <alignment horizontal="center" vertical="center"/>
    </xf>
    <xf numFmtId="0" fontId="39" fillId="9" borderId="118" xfId="0" applyNumberFormat="1" applyFont="1" applyFill="1" applyBorder="1" applyAlignment="1">
      <alignment vertical="center"/>
    </xf>
    <xf numFmtId="0" fontId="39" fillId="9" borderId="144" xfId="0" applyNumberFormat="1" applyFont="1" applyFill="1" applyBorder="1" applyAlignment="1">
      <alignment vertical="center"/>
    </xf>
    <xf numFmtId="3" fontId="97" fillId="7" borderId="140" xfId="0" applyNumberFormat="1" applyFont="1" applyFill="1" applyBorder="1" applyAlignment="1">
      <alignment horizontal="center" vertical="center"/>
    </xf>
    <xf numFmtId="3" fontId="83" fillId="7" borderId="140" xfId="0" applyNumberFormat="1" applyFont="1" applyFill="1" applyBorder="1" applyAlignment="1">
      <alignment horizontal="center" vertical="center"/>
    </xf>
    <xf numFmtId="3" fontId="83" fillId="7" borderId="141" xfId="0" applyNumberFormat="1" applyFont="1" applyFill="1" applyBorder="1" applyAlignment="1">
      <alignment horizontal="center" vertical="center"/>
    </xf>
    <xf numFmtId="0" fontId="65" fillId="10" borderId="92" xfId="0" applyNumberFormat="1" applyFont="1" applyFill="1" applyBorder="1" applyAlignment="1">
      <alignment horizontal="right" vertical="center"/>
    </xf>
    <xf numFmtId="0" fontId="65" fillId="10" borderId="91" xfId="0" applyNumberFormat="1" applyFont="1" applyFill="1" applyBorder="1" applyAlignment="1">
      <alignment horizontal="right" vertical="center"/>
    </xf>
    <xf numFmtId="0" fontId="65" fillId="10" borderId="134" xfId="0" applyNumberFormat="1" applyFont="1" applyFill="1" applyBorder="1" applyAlignment="1">
      <alignment horizontal="right" vertical="center"/>
    </xf>
    <xf numFmtId="1" fontId="71" fillId="11" borderId="149" xfId="77" applyNumberFormat="1" applyFont="1" applyFill="1" applyBorder="1" applyAlignment="1">
      <alignment horizontal="center" vertical="center"/>
    </xf>
    <xf numFmtId="0" fontId="8" fillId="4" borderId="151" xfId="31" applyFont="1" applyFill="1" applyBorder="1" applyAlignment="1">
      <alignment horizontal="center"/>
    </xf>
    <xf numFmtId="0" fontId="55" fillId="29" borderId="34" xfId="0" applyNumberFormat="1" applyFont="1" applyFill="1" applyBorder="1" applyAlignment="1">
      <alignment horizontal="center" vertical="center"/>
    </xf>
    <xf numFmtId="0" fontId="89" fillId="28" borderId="34" xfId="0" applyNumberFormat="1" applyFont="1" applyFill="1" applyBorder="1" applyAlignment="1">
      <alignment horizontal="center" vertical="center"/>
    </xf>
    <xf numFmtId="0" fontId="94" fillId="9" borderId="129" xfId="0" applyNumberFormat="1" applyFont="1" applyFill="1" applyBorder="1" applyAlignment="1">
      <alignment vertical="top"/>
    </xf>
    <xf numFmtId="0" fontId="31" fillId="9" borderId="118" xfId="0" applyNumberFormat="1" applyFont="1" applyFill="1" applyBorder="1" applyAlignment="1">
      <alignment vertical="center"/>
    </xf>
    <xf numFmtId="2" fontId="96" fillId="9" borderId="129" xfId="0" applyNumberFormat="1" applyFont="1" applyFill="1" applyBorder="1" applyAlignment="1">
      <alignment vertical="center"/>
    </xf>
    <xf numFmtId="0" fontId="71" fillId="9" borderId="118" xfId="0" applyNumberFormat="1" applyFont="1" applyFill="1" applyBorder="1" applyAlignment="1">
      <alignment vertical="center"/>
    </xf>
    <xf numFmtId="2" fontId="72" fillId="9" borderId="135" xfId="0" applyNumberFormat="1" applyFont="1" applyFill="1" applyBorder="1" applyAlignment="1">
      <alignment horizontal="center" vertical="top"/>
    </xf>
    <xf numFmtId="0" fontId="90" fillId="9" borderId="118" xfId="0" applyNumberFormat="1" applyFont="1" applyFill="1" applyBorder="1" applyAlignment="1">
      <alignment vertical="center"/>
    </xf>
    <xf numFmtId="2" fontId="95" fillId="9" borderId="135" xfId="0" applyNumberFormat="1" applyFont="1" applyFill="1" applyBorder="1" applyAlignment="1">
      <alignment vertical="center"/>
    </xf>
    <xf numFmtId="2" fontId="102" fillId="9" borderId="135" xfId="0" applyNumberFormat="1" applyFont="1" applyFill="1" applyBorder="1" applyAlignment="1">
      <alignment vertical="center"/>
    </xf>
    <xf numFmtId="1" fontId="93" fillId="11" borderId="114" xfId="77" applyNumberFormat="1" applyFont="1" applyFill="1" applyBorder="1" applyAlignment="1">
      <alignment horizontal="center" vertical="center"/>
    </xf>
    <xf numFmtId="0" fontId="82" fillId="9" borderId="118" xfId="0" applyNumberFormat="1" applyFont="1" applyFill="1" applyBorder="1" applyAlignment="1">
      <alignment horizontal="center" vertical="top"/>
    </xf>
    <xf numFmtId="0" fontId="82" fillId="9" borderId="131" xfId="0" applyNumberFormat="1" applyFont="1" applyFill="1" applyBorder="1" applyAlignment="1">
      <alignment horizontal="center" vertical="top"/>
    </xf>
    <xf numFmtId="0" fontId="104" fillId="9" borderId="135" xfId="0" applyNumberFormat="1" applyFont="1" applyFill="1" applyBorder="1" applyAlignment="1">
      <alignment horizontal="center" vertical="center"/>
    </xf>
    <xf numFmtId="0" fontId="104" fillId="9" borderId="118" xfId="0" applyNumberFormat="1" applyFont="1" applyFill="1" applyBorder="1" applyAlignment="1">
      <alignment horizontal="center" vertical="center"/>
    </xf>
    <xf numFmtId="9" fontId="46" fillId="21" borderId="51" xfId="0" applyNumberFormat="1" applyFont="1" applyFill="1" applyBorder="1" applyAlignment="1">
      <alignment horizontal="center" vertical="center"/>
    </xf>
    <xf numFmtId="9" fontId="46" fillId="21" borderId="33" xfId="0" applyNumberFormat="1" applyFont="1" applyFill="1" applyBorder="1" applyAlignment="1">
      <alignment horizontal="center" vertical="center"/>
    </xf>
    <xf numFmtId="9" fontId="46" fillId="34" borderId="51" xfId="0" applyNumberFormat="1" applyFont="1" applyFill="1" applyBorder="1" applyAlignment="1">
      <alignment horizontal="center" vertical="center"/>
    </xf>
    <xf numFmtId="9" fontId="46" fillId="34" borderId="33" xfId="0" applyNumberFormat="1" applyFont="1" applyFill="1" applyBorder="1" applyAlignment="1">
      <alignment horizontal="center" vertical="center"/>
    </xf>
    <xf numFmtId="9" fontId="46" fillId="21" borderId="52" xfId="0" applyNumberFormat="1" applyFont="1" applyFill="1" applyBorder="1" applyAlignment="1">
      <alignment horizontal="center" vertical="center"/>
    </xf>
    <xf numFmtId="0" fontId="65" fillId="10" borderId="98" xfId="0" applyFont="1" applyFill="1" applyBorder="1" applyAlignment="1">
      <alignment horizontal="right" vertical="center"/>
    </xf>
    <xf numFmtId="0" fontId="82" fillId="9" borderId="157" xfId="0" applyNumberFormat="1" applyFont="1" applyFill="1" applyBorder="1" applyAlignment="1">
      <alignment horizontal="center" vertical="top"/>
    </xf>
    <xf numFmtId="0" fontId="8" fillId="4" borderId="160" xfId="31" applyFont="1" applyFill="1" applyBorder="1" applyAlignment="1">
      <alignment horizontal="center"/>
    </xf>
    <xf numFmtId="3" fontId="54" fillId="42" borderId="61" xfId="0" applyNumberFormat="1" applyFont="1" applyFill="1" applyBorder="1" applyAlignment="1">
      <alignment horizontal="right" vertical="center"/>
    </xf>
    <xf numFmtId="3" fontId="54" fillId="43" borderId="61" xfId="0" applyNumberFormat="1" applyFont="1" applyFill="1" applyBorder="1" applyAlignment="1">
      <alignment vertical="center"/>
    </xf>
    <xf numFmtId="0" fontId="60" fillId="24" borderId="162" xfId="0" applyFont="1" applyFill="1" applyBorder="1" applyAlignment="1">
      <alignment horizontal="center" vertical="center"/>
    </xf>
    <xf numFmtId="0" fontId="54" fillId="24" borderId="163" xfId="0" applyFont="1" applyFill="1" applyBorder="1" applyAlignment="1">
      <alignment horizontal="center" vertical="center"/>
    </xf>
    <xf numFmtId="0" fontId="54" fillId="25" borderId="162" xfId="0" applyFont="1" applyFill="1" applyBorder="1" applyAlignment="1">
      <alignment vertical="center"/>
    </xf>
    <xf numFmtId="0" fontId="54" fillId="24" borderId="61" xfId="0" applyNumberFormat="1" applyFont="1" applyFill="1" applyBorder="1" applyAlignment="1">
      <alignment horizontal="center" vertical="center"/>
    </xf>
    <xf numFmtId="0" fontId="54" fillId="37" borderId="82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right" vertical="center"/>
    </xf>
    <xf numFmtId="0" fontId="54" fillId="37" borderId="83" xfId="0" applyNumberFormat="1" applyFont="1" applyFill="1" applyBorder="1" applyAlignment="1">
      <alignment horizontal="center" vertical="center"/>
    </xf>
    <xf numFmtId="0" fontId="105" fillId="25" borderId="81" xfId="0" applyFont="1" applyFill="1" applyBorder="1" applyAlignment="1">
      <alignment horizontal="center" vertical="center"/>
    </xf>
    <xf numFmtId="0" fontId="107" fillId="21" borderId="32" xfId="0" applyFont="1" applyFill="1" applyBorder="1" applyAlignment="1">
      <alignment horizontal="center" vertical="center"/>
    </xf>
    <xf numFmtId="0" fontId="107" fillId="21" borderId="161" xfId="0" applyFont="1" applyFill="1" applyBorder="1" applyAlignment="1">
      <alignment horizontal="center" vertical="center"/>
    </xf>
    <xf numFmtId="0" fontId="106" fillId="32" borderId="32" xfId="0" applyFont="1" applyFill="1" applyBorder="1" applyAlignment="1">
      <alignment horizontal="center" vertical="center" wrapText="1"/>
    </xf>
    <xf numFmtId="0" fontId="108" fillId="31" borderId="34" xfId="0" applyNumberFormat="1" applyFont="1" applyFill="1" applyBorder="1" applyAlignment="1">
      <alignment horizontal="center" vertical="center"/>
    </xf>
    <xf numFmtId="4" fontId="108" fillId="31" borderId="34" xfId="0" applyNumberFormat="1" applyFont="1" applyFill="1" applyBorder="1" applyAlignment="1">
      <alignment horizontal="center" vertical="center"/>
    </xf>
    <xf numFmtId="0" fontId="109" fillId="28" borderId="34" xfId="0" applyFont="1" applyFill="1" applyBorder="1" applyAlignment="1">
      <alignment horizontal="center" vertical="center"/>
    </xf>
    <xf numFmtId="0" fontId="109" fillId="28" borderId="34" xfId="0" applyNumberFormat="1" applyFont="1" applyFill="1" applyBorder="1" applyAlignment="1">
      <alignment horizontal="center" vertical="center"/>
    </xf>
    <xf numFmtId="0" fontId="89" fillId="28" borderId="166" xfId="0" applyFont="1" applyFill="1" applyBorder="1" applyAlignment="1">
      <alignment horizontal="center" vertical="center"/>
    </xf>
    <xf numFmtId="0" fontId="89" fillId="28" borderId="167" xfId="0" applyFont="1" applyFill="1" applyBorder="1" applyAlignment="1">
      <alignment horizontal="center" vertical="center"/>
    </xf>
    <xf numFmtId="0" fontId="54" fillId="30" borderId="34" xfId="55" applyNumberFormat="1" applyFont="1" applyFill="1" applyBorder="1" applyAlignment="1">
      <alignment horizontal="center" vertical="center"/>
    </xf>
    <xf numFmtId="0" fontId="110" fillId="29" borderId="34" xfId="0" applyNumberFormat="1" applyFont="1" applyFill="1" applyBorder="1" applyAlignment="1">
      <alignment horizontal="center" vertical="center"/>
    </xf>
    <xf numFmtId="0" fontId="110" fillId="29" borderId="34" xfId="0" applyFont="1" applyFill="1" applyBorder="1" applyAlignment="1">
      <alignment horizontal="center" vertical="center"/>
    </xf>
    <xf numFmtId="0" fontId="43" fillId="24" borderId="35" xfId="0" applyFont="1" applyFill="1" applyBorder="1" applyAlignment="1">
      <alignment vertical="center"/>
    </xf>
    <xf numFmtId="0" fontId="43" fillId="21" borderId="2" xfId="0" applyFont="1" applyFill="1" applyBorder="1" applyAlignment="1">
      <alignment vertical="center"/>
    </xf>
    <xf numFmtId="0" fontId="43" fillId="21" borderId="36" xfId="0" applyFont="1" applyFill="1" applyBorder="1" applyAlignment="1">
      <alignment vertical="center"/>
    </xf>
    <xf numFmtId="0" fontId="43" fillId="24" borderId="164" xfId="0" applyFont="1" applyFill="1" applyBorder="1" applyAlignment="1">
      <alignment vertical="center"/>
    </xf>
    <xf numFmtId="0" fontId="43" fillId="21" borderId="89" xfId="0" applyFont="1" applyFill="1" applyBorder="1" applyAlignment="1">
      <alignment vertical="center"/>
    </xf>
    <xf numFmtId="0" fontId="43" fillId="21" borderId="165" xfId="0" applyFont="1" applyFill="1" applyBorder="1" applyAlignment="1">
      <alignment vertical="center"/>
    </xf>
    <xf numFmtId="0" fontId="43" fillId="21" borderId="34" xfId="0" applyFont="1" applyFill="1" applyBorder="1" applyAlignment="1">
      <alignment vertical="center"/>
    </xf>
    <xf numFmtId="0" fontId="43" fillId="21" borderId="38" xfId="0" applyFont="1" applyFill="1" applyBorder="1" applyAlignment="1">
      <alignment vertical="center"/>
    </xf>
    <xf numFmtId="0" fontId="43" fillId="21" borderId="163" xfId="0" applyFont="1" applyFill="1" applyBorder="1" applyAlignment="1">
      <alignment vertical="center"/>
    </xf>
    <xf numFmtId="0" fontId="43" fillId="32" borderId="2" xfId="0" applyFont="1" applyFill="1" applyBorder="1" applyAlignment="1">
      <alignment vertical="center"/>
    </xf>
    <xf numFmtId="0" fontId="43" fillId="32" borderId="36" xfId="0" applyFont="1" applyFill="1" applyBorder="1" applyAlignment="1">
      <alignment vertical="center"/>
    </xf>
    <xf numFmtId="0" fontId="43" fillId="32" borderId="15" xfId="0" applyFont="1" applyFill="1" applyBorder="1" applyAlignment="1">
      <alignment vertical="center"/>
    </xf>
    <xf numFmtId="0" fontId="43" fillId="32" borderId="73" xfId="0" applyFont="1" applyFill="1" applyBorder="1" applyAlignment="1">
      <alignment vertical="center"/>
    </xf>
    <xf numFmtId="164" fontId="43" fillId="33" borderId="43" xfId="0" applyNumberFormat="1" applyFont="1" applyFill="1" applyBorder="1" applyAlignment="1">
      <alignment vertical="center"/>
    </xf>
    <xf numFmtId="164" fontId="43" fillId="33" borderId="76" xfId="0" applyNumberFormat="1" applyFont="1" applyFill="1" applyBorder="1" applyAlignment="1">
      <alignment vertical="center"/>
    </xf>
    <xf numFmtId="164" fontId="43" fillId="33" borderId="2" xfId="0" applyNumberFormat="1" applyFont="1" applyFill="1" applyBorder="1" applyAlignment="1">
      <alignment vertical="center"/>
    </xf>
    <xf numFmtId="164" fontId="43" fillId="33" borderId="36" xfId="0" applyNumberFormat="1" applyFont="1" applyFill="1" applyBorder="1" applyAlignment="1">
      <alignment vertical="center"/>
    </xf>
    <xf numFmtId="164" fontId="43" fillId="33" borderId="15" xfId="0" applyNumberFormat="1" applyFont="1" applyFill="1" applyBorder="1" applyAlignment="1">
      <alignment vertical="center"/>
    </xf>
    <xf numFmtId="164" fontId="43" fillId="33" borderId="73" xfId="0" applyNumberFormat="1" applyFont="1" applyFill="1" applyBorder="1" applyAlignment="1">
      <alignment vertical="center"/>
    </xf>
    <xf numFmtId="0" fontId="43" fillId="32" borderId="37" xfId="0" applyFont="1" applyFill="1" applyBorder="1" applyAlignment="1">
      <alignment vertical="center"/>
    </xf>
    <xf numFmtId="0" fontId="43" fillId="32" borderId="38" xfId="0" applyFont="1" applyFill="1" applyBorder="1" applyAlignment="1">
      <alignment vertical="center"/>
    </xf>
    <xf numFmtId="0" fontId="43" fillId="32" borderId="63" xfId="0" applyFont="1" applyFill="1" applyBorder="1" applyAlignment="1">
      <alignment vertical="center"/>
    </xf>
    <xf numFmtId="0" fontId="43" fillId="32" borderId="64" xfId="0" applyFont="1" applyFill="1" applyBorder="1" applyAlignment="1">
      <alignment vertical="center"/>
    </xf>
    <xf numFmtId="1" fontId="43" fillId="33" borderId="34" xfId="0" applyNumberFormat="1" applyFont="1" applyFill="1" applyBorder="1" applyAlignment="1">
      <alignment vertical="center"/>
    </xf>
    <xf numFmtId="1" fontId="43" fillId="33" borderId="38" xfId="0" applyNumberFormat="1" applyFont="1" applyFill="1" applyBorder="1" applyAlignment="1">
      <alignment vertical="center"/>
    </xf>
    <xf numFmtId="1" fontId="43" fillId="33" borderId="63" xfId="0" applyNumberFormat="1" applyFont="1" applyFill="1" applyBorder="1" applyAlignment="1">
      <alignment vertical="center"/>
    </xf>
    <xf numFmtId="1" fontId="43" fillId="33" borderId="79" xfId="0" applyNumberFormat="1" applyFont="1" applyFill="1" applyBorder="1" applyAlignment="1">
      <alignment vertical="center"/>
    </xf>
    <xf numFmtId="0" fontId="111" fillId="19" borderId="25" xfId="0" applyFont="1" applyFill="1" applyBorder="1" applyAlignment="1">
      <alignment horizontal="center" vertical="center"/>
    </xf>
    <xf numFmtId="0" fontId="112" fillId="19" borderId="25" xfId="0" applyFont="1" applyFill="1" applyBorder="1" applyAlignment="1">
      <alignment horizontal="center" vertical="center"/>
    </xf>
    <xf numFmtId="3" fontId="113" fillId="27" borderId="40" xfId="0" applyNumberFormat="1" applyFont="1" applyFill="1" applyBorder="1" applyAlignment="1">
      <alignment horizontal="right" vertical="center"/>
    </xf>
    <xf numFmtId="3" fontId="113" fillId="27" borderId="49" xfId="0" applyNumberFormat="1" applyFont="1" applyFill="1" applyBorder="1" applyAlignment="1">
      <alignment horizontal="right" vertical="center"/>
    </xf>
    <xf numFmtId="3" fontId="113" fillId="27" borderId="50" xfId="0" applyNumberFormat="1" applyFont="1" applyFill="1" applyBorder="1" applyAlignment="1">
      <alignment horizontal="right" vertical="center"/>
    </xf>
    <xf numFmtId="3" fontId="113" fillId="27" borderId="55" xfId="0" applyNumberFormat="1" applyFont="1" applyFill="1" applyBorder="1" applyAlignment="1">
      <alignment horizontal="right" vertical="center"/>
    </xf>
    <xf numFmtId="0" fontId="65" fillId="10" borderId="102" xfId="0" applyFont="1" applyFill="1" applyBorder="1" applyAlignment="1">
      <alignment horizontal="left" vertical="center"/>
    </xf>
    <xf numFmtId="0" fontId="65" fillId="10" borderId="148" xfId="0" applyFont="1" applyFill="1" applyBorder="1" applyAlignment="1">
      <alignment horizontal="left" vertical="center"/>
    </xf>
    <xf numFmtId="0" fontId="65" fillId="10" borderId="97" xfId="0" applyFont="1" applyFill="1" applyBorder="1" applyAlignment="1">
      <alignment horizontal="left" vertical="center"/>
    </xf>
    <xf numFmtId="0" fontId="65" fillId="10" borderId="158" xfId="0" applyFont="1" applyFill="1" applyBorder="1" applyAlignment="1">
      <alignment horizontal="left" vertical="center"/>
    </xf>
    <xf numFmtId="0" fontId="65" fillId="10" borderId="159" xfId="0" applyFont="1" applyFill="1" applyBorder="1" applyAlignment="1">
      <alignment horizontal="left" vertical="center"/>
    </xf>
    <xf numFmtId="0" fontId="49" fillId="20" borderId="168" xfId="0" applyFont="1" applyFill="1" applyBorder="1" applyAlignment="1">
      <alignment horizontal="center" vertical="center"/>
    </xf>
    <xf numFmtId="0" fontId="49" fillId="18" borderId="169" xfId="0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1" fontId="25" fillId="9" borderId="172" xfId="0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1" fontId="25" fillId="9" borderId="178" xfId="0" applyNumberFormat="1" applyFont="1" applyFill="1" applyBorder="1" applyAlignment="1">
      <alignment horizontal="center" vertical="center"/>
    </xf>
    <xf numFmtId="0" fontId="65" fillId="10" borderId="99" xfId="0" applyFont="1" applyFill="1" applyBorder="1" applyAlignment="1">
      <alignment horizontal="right" vertical="center"/>
    </xf>
    <xf numFmtId="3" fontId="36" fillId="10" borderId="118" xfId="0" applyNumberFormat="1" applyFont="1" applyFill="1" applyBorder="1" applyAlignment="1">
      <alignment horizontal="right" vertical="center"/>
    </xf>
    <xf numFmtId="3" fontId="36" fillId="10" borderId="129" xfId="0" applyNumberFormat="1" applyFont="1" applyFill="1" applyBorder="1" applyAlignment="1">
      <alignment horizontal="right" vertical="center"/>
    </xf>
    <xf numFmtId="3" fontId="36" fillId="10" borderId="153" xfId="0" applyNumberFormat="1" applyFont="1" applyFill="1" applyBorder="1" applyAlignment="1">
      <alignment horizontal="right" vertical="center"/>
    </xf>
    <xf numFmtId="0" fontId="82" fillId="9" borderId="179" xfId="0" applyNumberFormat="1" applyFont="1" applyFill="1" applyBorder="1" applyAlignment="1">
      <alignment horizontal="center" vertical="center"/>
    </xf>
    <xf numFmtId="0" fontId="115" fillId="12" borderId="108" xfId="55" applyNumberFormat="1" applyFont="1" applyFill="1" applyBorder="1" applyAlignment="1">
      <alignment horizontal="center" vertical="center"/>
    </xf>
    <xf numFmtId="0" fontId="115" fillId="12" borderId="125" xfId="55" applyNumberFormat="1" applyFont="1" applyFill="1" applyBorder="1" applyAlignment="1">
      <alignment horizontal="center" vertical="center"/>
    </xf>
    <xf numFmtId="0" fontId="38" fillId="10" borderId="180" xfId="0" applyFont="1" applyFill="1" applyBorder="1" applyAlignment="1">
      <alignment horizontal="right" vertical="center"/>
    </xf>
    <xf numFmtId="0" fontId="38" fillId="10" borderId="94" xfId="0" applyFont="1" applyFill="1" applyBorder="1" applyAlignment="1">
      <alignment horizontal="right" vertical="center"/>
    </xf>
    <xf numFmtId="0" fontId="38" fillId="10" borderId="181" xfId="0" applyFont="1" applyFill="1" applyBorder="1" applyAlignment="1">
      <alignment horizontal="right" vertical="center"/>
    </xf>
    <xf numFmtId="0" fontId="36" fillId="10" borderId="94" xfId="0" applyFont="1" applyFill="1" applyBorder="1" applyAlignment="1">
      <alignment horizontal="right" vertical="center"/>
    </xf>
    <xf numFmtId="3" fontId="36" fillId="10" borderId="94" xfId="0" applyNumberFormat="1" applyFont="1" applyFill="1" applyBorder="1" applyAlignment="1">
      <alignment horizontal="right" vertical="center"/>
    </xf>
    <xf numFmtId="166" fontId="36" fillId="10" borderId="181" xfId="0" applyNumberFormat="1" applyFont="1" applyFill="1" applyBorder="1" applyAlignment="1">
      <alignment horizontal="center" vertical="center"/>
    </xf>
    <xf numFmtId="0" fontId="114" fillId="9" borderId="89" xfId="55" applyNumberFormat="1" applyFont="1" applyFill="1" applyBorder="1" applyAlignment="1">
      <alignment horizontal="center" vertical="center"/>
    </xf>
    <xf numFmtId="0" fontId="114" fillId="9" borderId="129" xfId="55" applyNumberFormat="1" applyFont="1" applyFill="1" applyBorder="1" applyAlignment="1">
      <alignment horizontal="center" vertical="center"/>
    </xf>
    <xf numFmtId="0" fontId="114" fillId="9" borderId="144" xfId="55" applyNumberFormat="1" applyFont="1" applyFill="1" applyBorder="1" applyAlignment="1">
      <alignment horizontal="center" vertical="center"/>
    </xf>
    <xf numFmtId="167" fontId="36" fillId="10" borderId="95" xfId="55" applyNumberFormat="1" applyFont="1" applyFill="1" applyBorder="1" applyAlignment="1">
      <alignment horizontal="right" vertical="center"/>
    </xf>
    <xf numFmtId="167" fontId="36" fillId="10" borderId="92" xfId="55" applyNumberFormat="1" applyFont="1" applyFill="1" applyBorder="1" applyAlignment="1">
      <alignment horizontal="right" vertical="center"/>
    </xf>
    <xf numFmtId="167" fontId="36" fillId="10" borderId="94" xfId="55" applyNumberFormat="1" applyFont="1" applyFill="1" applyBorder="1" applyAlignment="1">
      <alignment horizontal="right" vertical="center"/>
    </xf>
    <xf numFmtId="167" fontId="36" fillId="10" borderId="130" xfId="55" applyNumberFormat="1" applyFont="1" applyFill="1" applyBorder="1" applyAlignment="1">
      <alignment horizontal="right" vertical="center"/>
    </xf>
    <xf numFmtId="3" fontId="36" fillId="10" borderId="179" xfId="0" applyNumberFormat="1" applyFont="1" applyFill="1" applyBorder="1" applyAlignment="1">
      <alignment horizontal="right" vertical="center"/>
    </xf>
    <xf numFmtId="1" fontId="76" fillId="11" borderId="133" xfId="77" applyNumberFormat="1" applyFont="1" applyFill="1" applyBorder="1" applyAlignment="1">
      <alignment horizontal="center" vertical="center"/>
    </xf>
    <xf numFmtId="0" fontId="94" fillId="9" borderId="157" xfId="0" applyNumberFormat="1" applyFont="1" applyFill="1" applyBorder="1" applyAlignment="1">
      <alignment horizontal="center" vertical="center"/>
    </xf>
    <xf numFmtId="0" fontId="94" fillId="9" borderId="129" xfId="0" applyNumberFormat="1" applyFont="1" applyFill="1" applyBorder="1" applyAlignment="1">
      <alignment horizontal="center" vertical="center"/>
    </xf>
    <xf numFmtId="0" fontId="90" fillId="9" borderId="152" xfId="0" applyNumberFormat="1" applyFont="1" applyFill="1" applyBorder="1" applyAlignment="1">
      <alignment horizontal="center" vertical="center"/>
    </xf>
    <xf numFmtId="0" fontId="31" fillId="9" borderId="118" xfId="0" applyNumberFormat="1" applyFont="1" applyFill="1" applyBorder="1" applyAlignment="1">
      <alignment horizontal="center" vertical="center"/>
    </xf>
    <xf numFmtId="2" fontId="96" fillId="9" borderId="129" xfId="0" applyNumberFormat="1" applyFont="1" applyFill="1" applyBorder="1" applyAlignment="1">
      <alignment horizontal="center" vertical="center"/>
    </xf>
    <xf numFmtId="0" fontId="71" fillId="9" borderId="118" xfId="0" applyNumberFormat="1" applyFont="1" applyFill="1" applyBorder="1" applyAlignment="1">
      <alignment horizontal="center" vertical="center"/>
    </xf>
    <xf numFmtId="2" fontId="72" fillId="9" borderId="135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3" fillId="12" borderId="126" xfId="55" applyNumberFormat="1" applyFont="1" applyFill="1" applyBorder="1" applyAlignment="1">
      <alignment horizontal="center" vertical="center"/>
    </xf>
    <xf numFmtId="0" fontId="118" fillId="10" borderId="143" xfId="0" applyFont="1" applyFill="1" applyBorder="1" applyAlignment="1">
      <alignment horizontal="right" vertical="center"/>
    </xf>
    <xf numFmtId="0" fontId="117" fillId="10" borderId="102" xfId="0" applyFont="1" applyFill="1" applyBorder="1" applyAlignment="1">
      <alignment horizontal="left" vertical="center"/>
    </xf>
    <xf numFmtId="170" fontId="103" fillId="10" borderId="150" xfId="0" applyNumberFormat="1" applyFont="1" applyFill="1" applyBorder="1" applyAlignment="1">
      <alignment vertical="center"/>
    </xf>
    <xf numFmtId="168" fontId="103" fillId="9" borderId="185" xfId="0" applyNumberFormat="1" applyFont="1" applyFill="1" applyBorder="1" applyAlignment="1">
      <alignment horizontal="center" vertical="center" wrapText="1"/>
    </xf>
    <xf numFmtId="0" fontId="103" fillId="9" borderId="95" xfId="55" applyNumberFormat="1" applyFont="1" applyFill="1" applyBorder="1" applyAlignment="1">
      <alignment horizontal="center" vertical="center" wrapText="1"/>
    </xf>
    <xf numFmtId="3" fontId="119" fillId="10" borderId="184" xfId="0" applyNumberFormat="1" applyFont="1" applyFill="1" applyBorder="1" applyAlignment="1">
      <alignment horizontal="center" vertical="center"/>
    </xf>
    <xf numFmtId="0" fontId="65" fillId="10" borderId="187" xfId="0" applyFont="1" applyFill="1" applyBorder="1" applyAlignment="1">
      <alignment horizontal="left" vertical="center"/>
    </xf>
    <xf numFmtId="3" fontId="120" fillId="10" borderId="186" xfId="0" applyNumberFormat="1" applyFont="1" applyFill="1" applyBorder="1" applyAlignment="1">
      <alignment horizontal="center" vertical="center"/>
    </xf>
    <xf numFmtId="3" fontId="120" fillId="10" borderId="183" xfId="0" applyNumberFormat="1" applyFont="1" applyFill="1" applyBorder="1" applyAlignment="1">
      <alignment horizontal="center" vertical="center"/>
    </xf>
    <xf numFmtId="0" fontId="104" fillId="9" borderId="152" xfId="0" applyNumberFormat="1" applyFont="1" applyFill="1" applyBorder="1" applyAlignment="1">
      <alignment horizontal="center" vertical="center"/>
    </xf>
    <xf numFmtId="0" fontId="104" fillId="9" borderId="157" xfId="0" applyNumberFormat="1" applyFont="1" applyFill="1" applyBorder="1" applyAlignment="1">
      <alignment horizontal="center" vertical="center"/>
    </xf>
    <xf numFmtId="0" fontId="104" fillId="9" borderId="129" xfId="0" applyNumberFormat="1" applyFont="1" applyFill="1" applyBorder="1" applyAlignment="1">
      <alignment horizontal="center" vertical="center"/>
    </xf>
    <xf numFmtId="0" fontId="82" fillId="9" borderId="94" xfId="0" applyNumberFormat="1" applyFont="1" applyFill="1" applyBorder="1" applyAlignment="1">
      <alignment horizontal="center" vertical="top"/>
    </xf>
    <xf numFmtId="0" fontId="82" fillId="9" borderId="95" xfId="0" applyNumberFormat="1" applyFont="1" applyFill="1" applyBorder="1" applyAlignment="1">
      <alignment horizontal="center" vertical="top"/>
    </xf>
    <xf numFmtId="0" fontId="23" fillId="9" borderId="179" xfId="0" applyFont="1" applyFill="1" applyBorder="1" applyAlignment="1">
      <alignment horizontal="center" vertical="center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4" fillId="9" borderId="189" xfId="0" applyNumberFormat="1" applyFont="1" applyFill="1" applyBorder="1" applyAlignment="1">
      <alignment horizontal="center" vertical="center"/>
    </xf>
    <xf numFmtId="0" fontId="23" fillId="9" borderId="152" xfId="0" applyFont="1" applyFill="1" applyBorder="1" applyAlignment="1">
      <alignment horizontal="center" vertical="center"/>
    </xf>
    <xf numFmtId="0" fontId="23" fillId="9" borderId="157" xfId="0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44" xfId="0" applyFont="1" applyFill="1" applyBorder="1" applyAlignment="1">
      <alignment horizontal="center" vertical="center"/>
    </xf>
    <xf numFmtId="0" fontId="83" fillId="9" borderId="179" xfId="0" applyNumberFormat="1" applyFont="1" applyFill="1" applyBorder="1" applyAlignment="1">
      <alignment horizontal="center"/>
    </xf>
    <xf numFmtId="0" fontId="83" fillId="9" borderId="96" xfId="0" applyNumberFormat="1" applyFont="1" applyFill="1" applyBorder="1" applyAlignment="1">
      <alignment horizontal="center"/>
    </xf>
    <xf numFmtId="0" fontId="83" fillId="9" borderId="98" xfId="0" applyNumberFormat="1" applyFont="1" applyFill="1" applyBorder="1" applyAlignment="1">
      <alignment horizontal="center"/>
    </xf>
    <xf numFmtId="0" fontId="83" fillId="9" borderId="94" xfId="0" applyNumberFormat="1" applyFont="1" applyFill="1" applyBorder="1" applyAlignment="1">
      <alignment horizontal="center"/>
    </xf>
    <xf numFmtId="0" fontId="83" fillId="9" borderId="95" xfId="0" applyNumberFormat="1" applyFont="1" applyFill="1" applyBorder="1" applyAlignment="1">
      <alignment horizontal="center"/>
    </xf>
    <xf numFmtId="0" fontId="23" fillId="9" borderId="189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4" fillId="9" borderId="190" xfId="0" applyNumberFormat="1" applyFont="1" applyFill="1" applyBorder="1" applyAlignment="1">
      <alignment horizontal="center" vertical="center"/>
    </xf>
    <xf numFmtId="0" fontId="104" fillId="9" borderId="182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0" fontId="102" fillId="9" borderId="116" xfId="55" applyNumberFormat="1" applyFont="1" applyFill="1" applyBorder="1" applyAlignment="1">
      <alignment horizontal="left" vertical="center"/>
    </xf>
    <xf numFmtId="0" fontId="102" fillId="9" borderId="117" xfId="55" applyNumberFormat="1" applyFont="1" applyFill="1" applyBorder="1" applyAlignment="1">
      <alignment horizontal="left" vertical="center"/>
    </xf>
    <xf numFmtId="0" fontId="72" fillId="9" borderId="136" xfId="55" applyNumberFormat="1" applyFont="1" applyFill="1" applyBorder="1" applyAlignment="1">
      <alignment horizontal="right" vertical="center"/>
    </xf>
    <xf numFmtId="0" fontId="72" fillId="9" borderId="117" xfId="55" applyNumberFormat="1" applyFont="1" applyFill="1" applyBorder="1" applyAlignment="1">
      <alignment horizontal="right" vertical="center"/>
    </xf>
    <xf numFmtId="3" fontId="97" fillId="7" borderId="140" xfId="0" applyNumberFormat="1" applyFont="1" applyFill="1" applyBorder="1" applyAlignment="1">
      <alignment horizontal="right" vertical="center"/>
    </xf>
    <xf numFmtId="0" fontId="30" fillId="9" borderId="92" xfId="0" applyFont="1" applyFill="1" applyBorder="1" applyAlignment="1">
      <alignment horizontal="right" vertical="center"/>
    </xf>
    <xf numFmtId="0" fontId="30" fillId="9" borderId="90" xfId="0" applyFont="1" applyFill="1" applyBorder="1" applyAlignment="1">
      <alignment horizontal="right" vertical="center"/>
    </xf>
    <xf numFmtId="0" fontId="30" fillId="9" borderId="127" xfId="0" applyFont="1" applyFill="1" applyBorder="1" applyAlignment="1">
      <alignment horizontal="right" vertical="center"/>
    </xf>
    <xf numFmtId="0" fontId="85" fillId="9" borderId="92" xfId="0" applyFont="1" applyFill="1" applyBorder="1" applyAlignment="1">
      <alignment horizontal="right" vertical="center"/>
    </xf>
    <xf numFmtId="0" fontId="85" fillId="9" borderId="90" xfId="0" applyFont="1" applyFill="1" applyBorder="1" applyAlignment="1">
      <alignment horizontal="right" vertical="center"/>
    </xf>
    <xf numFmtId="0" fontId="85" fillId="9" borderId="132" xfId="0" applyFont="1" applyFill="1" applyBorder="1" applyAlignment="1">
      <alignment horizontal="right" vertical="center"/>
    </xf>
    <xf numFmtId="0" fontId="30" fillId="9" borderId="96" xfId="0" applyFont="1" applyFill="1" applyBorder="1" applyAlignment="1">
      <alignment horizontal="right" vertical="center"/>
    </xf>
    <xf numFmtId="0" fontId="30" fillId="9" borderId="98" xfId="0" applyFont="1" applyFill="1" applyBorder="1" applyAlignment="1">
      <alignment horizontal="right" vertical="center"/>
    </xf>
    <xf numFmtId="0" fontId="30" fillId="9" borderId="130" xfId="0" applyFont="1" applyFill="1" applyBorder="1" applyAlignment="1">
      <alignment horizontal="right" vertical="center"/>
    </xf>
    <xf numFmtId="0" fontId="30" fillId="9" borderId="134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3" fillId="7" borderId="140" xfId="0" applyNumberFormat="1" applyFont="1" applyFill="1" applyBorder="1" applyAlignment="1">
      <alignment horizontal="right" vertical="center"/>
    </xf>
    <xf numFmtId="2" fontId="79" fillId="9" borderId="128" xfId="55" applyNumberFormat="1" applyFont="1" applyFill="1" applyBorder="1" applyAlignment="1">
      <alignment horizontal="left" vertical="center"/>
    </xf>
    <xf numFmtId="2" fontId="79" fillId="9" borderId="188" xfId="55" applyNumberFormat="1" applyFont="1" applyFill="1" applyBorder="1" applyAlignment="1">
      <alignment horizontal="left" vertical="center"/>
    </xf>
    <xf numFmtId="2" fontId="79" fillId="9" borderId="136" xfId="55" applyNumberFormat="1" applyFont="1" applyFill="1" applyBorder="1" applyAlignment="1">
      <alignment horizontal="left" vertical="center"/>
    </xf>
    <xf numFmtId="0" fontId="13" fillId="39" borderId="3" xfId="183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21" fillId="11" borderId="115" xfId="77" applyNumberFormat="1" applyFont="1" applyFill="1" applyBorder="1" applyAlignment="1">
      <alignment horizontal="center" vertical="center"/>
    </xf>
    <xf numFmtId="1" fontId="121" fillId="11" borderId="114" xfId="77" applyNumberFormat="1" applyFont="1" applyFill="1" applyBorder="1" applyAlignment="1">
      <alignment horizontal="center" vertical="center"/>
    </xf>
    <xf numFmtId="1" fontId="121" fillId="11" borderId="133" xfId="77" applyNumberFormat="1" applyFont="1" applyFill="1" applyBorder="1" applyAlignment="1">
      <alignment horizontal="center" vertical="center"/>
    </xf>
    <xf numFmtId="0" fontId="72" fillId="9" borderId="116" xfId="55" applyNumberFormat="1" applyFont="1" applyFill="1" applyBorder="1" applyAlignment="1">
      <alignment horizontal="left" vertical="center"/>
    </xf>
    <xf numFmtId="0" fontId="72" fillId="9" borderId="117" xfId="55" applyNumberFormat="1" applyFont="1" applyFill="1" applyBorder="1" applyAlignment="1">
      <alignment horizontal="left" vertical="center"/>
    </xf>
    <xf numFmtId="0" fontId="104" fillId="9" borderId="153" xfId="0" applyNumberFormat="1" applyFont="1" applyFill="1" applyBorder="1" applyAlignment="1">
      <alignment horizontal="center" vertical="center"/>
    </xf>
    <xf numFmtId="0" fontId="30" fillId="9" borderId="95" xfId="0" applyFont="1" applyFill="1" applyBorder="1" applyAlignment="1">
      <alignment horizontal="right" vertical="center"/>
    </xf>
    <xf numFmtId="0" fontId="23" fillId="9" borderId="118" xfId="0" applyFont="1" applyFill="1" applyBorder="1" applyAlignment="1">
      <alignment horizontal="center" vertical="center"/>
    </xf>
    <xf numFmtId="0" fontId="65" fillId="10" borderId="193" xfId="0" applyFont="1" applyFill="1" applyBorder="1" applyAlignment="1">
      <alignment horizontal="left" vertical="center"/>
    </xf>
    <xf numFmtId="0" fontId="65" fillId="10" borderId="195" xfId="0" applyFont="1" applyFill="1" applyBorder="1" applyAlignment="1">
      <alignment horizontal="right" vertical="center"/>
    </xf>
    <xf numFmtId="0" fontId="65" fillId="10" borderId="194" xfId="0" applyFont="1" applyFill="1" applyBorder="1" applyAlignment="1">
      <alignment horizontal="right" vertical="center"/>
    </xf>
    <xf numFmtId="0" fontId="30" fillId="9" borderId="195" xfId="0" applyFont="1" applyFill="1" applyBorder="1" applyAlignment="1">
      <alignment horizontal="right" vertical="center"/>
    </xf>
    <xf numFmtId="10" fontId="81" fillId="10" borderId="195" xfId="114" applyNumberFormat="1" applyFont="1" applyFill="1" applyBorder="1" applyAlignment="1">
      <alignment horizontal="center" vertical="center"/>
    </xf>
    <xf numFmtId="0" fontId="38" fillId="10" borderId="196" xfId="0" applyFont="1" applyFill="1" applyBorder="1" applyAlignment="1">
      <alignment horizontal="right" vertical="center"/>
    </xf>
    <xf numFmtId="0" fontId="38" fillId="10" borderId="195" xfId="0" applyFont="1" applyFill="1" applyBorder="1" applyAlignment="1">
      <alignment horizontal="right" vertical="center"/>
    </xf>
    <xf numFmtId="0" fontId="38" fillId="10" borderId="194" xfId="0" applyFont="1" applyFill="1" applyBorder="1" applyAlignment="1">
      <alignment horizontal="right" vertical="center"/>
    </xf>
    <xf numFmtId="0" fontId="36" fillId="10" borderId="195" xfId="0" applyFont="1" applyFill="1" applyBorder="1" applyAlignment="1">
      <alignment horizontal="right" vertical="center"/>
    </xf>
    <xf numFmtId="3" fontId="36" fillId="10" borderId="195" xfId="0" applyNumberFormat="1" applyFont="1" applyFill="1" applyBorder="1" applyAlignment="1">
      <alignment horizontal="right" vertical="center"/>
    </xf>
    <xf numFmtId="166" fontId="36" fillId="10" borderId="196" xfId="0" applyNumberFormat="1" applyFont="1" applyFill="1" applyBorder="1" applyAlignment="1">
      <alignment horizontal="center" vertical="center"/>
    </xf>
    <xf numFmtId="0" fontId="26" fillId="9" borderId="195" xfId="0" applyFont="1" applyFill="1" applyBorder="1" applyAlignment="1">
      <alignment horizontal="center" vertical="center"/>
    </xf>
    <xf numFmtId="0" fontId="23" fillId="9" borderId="197" xfId="0" applyFont="1" applyFill="1" applyBorder="1" applyAlignment="1">
      <alignment horizontal="center" vertical="center"/>
    </xf>
    <xf numFmtId="1" fontId="25" fillId="9" borderId="198" xfId="0" applyNumberFormat="1" applyFont="1" applyFill="1" applyBorder="1" applyAlignment="1">
      <alignment horizontal="center" vertical="center"/>
    </xf>
    <xf numFmtId="0" fontId="104" fillId="9" borderId="199" xfId="0" applyNumberFormat="1" applyFont="1" applyFill="1" applyBorder="1" applyAlignment="1">
      <alignment horizontal="center" vertical="center"/>
    </xf>
    <xf numFmtId="0" fontId="82" fillId="9" borderId="199" xfId="0" applyNumberFormat="1" applyFont="1" applyFill="1" applyBorder="1" applyAlignment="1">
      <alignment horizontal="center" vertical="top"/>
    </xf>
    <xf numFmtId="0" fontId="82" fillId="9" borderId="200" xfId="0" applyNumberFormat="1" applyFont="1" applyFill="1" applyBorder="1" applyAlignment="1">
      <alignment horizontal="center" vertical="top"/>
    </xf>
    <xf numFmtId="0" fontId="65" fillId="10" borderId="201" xfId="0" applyFont="1" applyFill="1" applyBorder="1" applyAlignment="1">
      <alignment horizontal="left" vertical="center"/>
    </xf>
    <xf numFmtId="3" fontId="36" fillId="10" borderId="197" xfId="0" applyNumberFormat="1" applyFont="1" applyFill="1" applyBorder="1" applyAlignment="1">
      <alignment horizontal="right" vertical="center"/>
    </xf>
    <xf numFmtId="0" fontId="26" fillId="9" borderId="194" xfId="0" applyFont="1" applyFill="1" applyBorder="1" applyAlignment="1">
      <alignment horizontal="center" vertical="center"/>
    </xf>
    <xf numFmtId="0" fontId="23" fillId="9" borderId="199" xfId="0" applyFont="1" applyFill="1" applyBorder="1" applyAlignment="1">
      <alignment horizontal="center" vertical="center"/>
    </xf>
    <xf numFmtId="0" fontId="83" fillId="9" borderId="200" xfId="0" applyNumberFormat="1" applyFont="1" applyFill="1" applyBorder="1" applyAlignment="1">
      <alignment horizontal="center"/>
    </xf>
    <xf numFmtId="0" fontId="82" fillId="9" borderId="135" xfId="0" applyNumberFormat="1" applyFont="1" applyFill="1" applyBorder="1" applyAlignment="1">
      <alignment horizontal="center" vertical="top"/>
    </xf>
    <xf numFmtId="0" fontId="122" fillId="24" borderId="34" xfId="0" applyFont="1" applyFill="1" applyBorder="1" applyAlignment="1">
      <alignment horizontal="center" vertical="center"/>
    </xf>
    <xf numFmtId="0" fontId="54" fillId="35" borderId="48" xfId="0" applyNumberFormat="1" applyFont="1" applyFill="1" applyBorder="1" applyAlignment="1">
      <alignment horizontal="right" vertical="center"/>
    </xf>
    <xf numFmtId="2" fontId="43" fillId="26" borderId="39" xfId="0" applyNumberFormat="1" applyFont="1" applyFill="1" applyBorder="1" applyAlignment="1">
      <alignment horizontal="center" vertical="center"/>
    </xf>
    <xf numFmtId="2" fontId="43" fillId="26" borderId="48" xfId="0" applyNumberFormat="1" applyFont="1" applyFill="1" applyBorder="1" applyAlignment="1">
      <alignment horizontal="center" vertical="center"/>
    </xf>
    <xf numFmtId="2" fontId="43" fillId="21" borderId="48" xfId="0" applyNumberFormat="1" applyFont="1" applyFill="1" applyBorder="1" applyAlignment="1">
      <alignment horizontal="center" vertical="center"/>
    </xf>
    <xf numFmtId="2" fontId="43" fillId="34" borderId="48" xfId="0" applyNumberFormat="1" applyFont="1" applyFill="1" applyBorder="1" applyAlignment="1">
      <alignment horizontal="center" vertical="center"/>
    </xf>
    <xf numFmtId="2" fontId="46" fillId="26" borderId="48" xfId="0" applyNumberFormat="1" applyFont="1" applyFill="1" applyBorder="1" applyAlignment="1">
      <alignment horizontal="center" vertical="center"/>
    </xf>
    <xf numFmtId="2" fontId="46" fillId="26" borderId="54" xfId="0" applyNumberFormat="1" applyFont="1" applyFill="1" applyBorder="1" applyAlignment="1">
      <alignment horizontal="center" vertical="center"/>
    </xf>
    <xf numFmtId="2" fontId="79" fillId="9" borderId="202" xfId="55" applyNumberFormat="1" applyFont="1" applyFill="1" applyBorder="1" applyAlignment="1">
      <alignment horizontal="left" vertical="center"/>
    </xf>
    <xf numFmtId="0" fontId="72" fillId="9" borderId="203" xfId="55" applyNumberFormat="1" applyFont="1" applyFill="1" applyBorder="1" applyAlignment="1">
      <alignment horizontal="right" vertical="center"/>
    </xf>
    <xf numFmtId="0" fontId="30" fillId="9" borderId="203" xfId="0" applyFont="1" applyFill="1" applyBorder="1" applyAlignment="1">
      <alignment horizontal="right" vertical="center"/>
    </xf>
    <xf numFmtId="10" fontId="81" fillId="10" borderId="200" xfId="114" applyNumberFormat="1" applyFont="1" applyFill="1" applyBorder="1" applyAlignment="1">
      <alignment horizontal="center" vertical="center"/>
    </xf>
    <xf numFmtId="166" fontId="36" fillId="10" borderId="194" xfId="0" applyNumberFormat="1" applyFont="1" applyFill="1" applyBorder="1" applyAlignment="1">
      <alignment horizontal="center" vertical="center"/>
    </xf>
    <xf numFmtId="0" fontId="23" fillId="9" borderId="195" xfId="0" applyFont="1" applyFill="1" applyBorder="1" applyAlignment="1">
      <alignment horizontal="center" vertical="center"/>
    </xf>
    <xf numFmtId="0" fontId="79" fillId="9" borderId="116" xfId="55" applyNumberFormat="1" applyFont="1" applyFill="1" applyBorder="1" applyAlignment="1">
      <alignment horizontal="right" vertical="center"/>
    </xf>
    <xf numFmtId="0" fontId="79" fillId="9" borderId="117" xfId="55" applyNumberFormat="1" applyFont="1" applyFill="1" applyBorder="1" applyAlignment="1">
      <alignment horizontal="right" vertical="center"/>
    </xf>
    <xf numFmtId="0" fontId="79" fillId="9" borderId="136" xfId="55" applyNumberFormat="1" applyFont="1" applyFill="1" applyBorder="1" applyAlignment="1">
      <alignment horizontal="right" vertical="center"/>
    </xf>
    <xf numFmtId="0" fontId="36" fillId="10" borderId="95" xfId="55" applyNumberFormat="1" applyFont="1" applyFill="1" applyBorder="1" applyAlignment="1">
      <alignment horizontal="right" vertical="center"/>
    </xf>
    <xf numFmtId="0" fontId="114" fillId="9" borderId="94" xfId="55" applyNumberFormat="1" applyFont="1" applyFill="1" applyBorder="1" applyAlignment="1">
      <alignment horizontal="right" vertical="center"/>
    </xf>
    <xf numFmtId="0" fontId="36" fillId="10" borderId="92" xfId="55" applyNumberFormat="1" applyFont="1" applyFill="1" applyBorder="1" applyAlignment="1">
      <alignment horizontal="right" vertical="center"/>
    </xf>
    <xf numFmtId="0" fontId="114" fillId="9" borderId="127" xfId="55" applyNumberFormat="1" applyFont="1" applyFill="1" applyBorder="1" applyAlignment="1">
      <alignment horizontal="right" vertical="center"/>
    </xf>
    <xf numFmtId="0" fontId="114" fillId="9" borderId="203" xfId="55" applyNumberFormat="1" applyFont="1" applyFill="1" applyBorder="1" applyAlignment="1">
      <alignment horizontal="right" vertical="center"/>
    </xf>
    <xf numFmtId="0" fontId="114" fillId="9" borderId="116" xfId="55" applyNumberFormat="1" applyFont="1" applyFill="1" applyBorder="1" applyAlignment="1">
      <alignment horizontal="right" vertical="center"/>
    </xf>
    <xf numFmtId="0" fontId="36" fillId="10" borderId="103" xfId="55" applyNumberFormat="1" applyFont="1" applyFill="1" applyBorder="1" applyAlignment="1">
      <alignment horizontal="right" vertical="center"/>
    </xf>
    <xf numFmtId="0" fontId="36" fillId="10" borderId="110" xfId="55" applyNumberFormat="1" applyFont="1" applyFill="1" applyBorder="1" applyAlignment="1">
      <alignment horizontal="right" vertical="center"/>
    </xf>
    <xf numFmtId="0" fontId="36" fillId="10" borderId="195" xfId="55" applyNumberFormat="1" applyFont="1" applyFill="1" applyBorder="1" applyAlignment="1">
      <alignment horizontal="right" vertical="center"/>
    </xf>
    <xf numFmtId="167" fontId="114" fillId="9" borderId="116" xfId="55" applyNumberFormat="1" applyFont="1" applyFill="1" applyBorder="1" applyAlignment="1">
      <alignment horizontal="right" vertical="center"/>
    </xf>
    <xf numFmtId="167" fontId="114" fillId="9" borderId="117" xfId="55" applyNumberFormat="1" applyFont="1" applyFill="1" applyBorder="1" applyAlignment="1">
      <alignment horizontal="right" vertical="center"/>
    </xf>
    <xf numFmtId="167" fontId="114" fillId="9" borderId="136" xfId="55" applyNumberFormat="1" applyFont="1" applyFill="1" applyBorder="1" applyAlignment="1">
      <alignment horizontal="right" vertical="center"/>
    </xf>
    <xf numFmtId="0" fontId="36" fillId="10" borderId="94" xfId="55" applyNumberFormat="1" applyFont="1" applyFill="1" applyBorder="1" applyAlignment="1">
      <alignment horizontal="right" vertical="center"/>
    </xf>
    <xf numFmtId="0" fontId="36" fillId="10" borderId="200" xfId="55" applyNumberFormat="1" applyFont="1" applyFill="1" applyBorder="1" applyAlignment="1">
      <alignment horizontal="right" vertical="center"/>
    </xf>
    <xf numFmtId="0" fontId="36" fillId="10" borderId="90" xfId="55" applyNumberFormat="1" applyFont="1" applyFill="1" applyBorder="1" applyAlignment="1">
      <alignment horizontal="right" vertical="center"/>
    </xf>
    <xf numFmtId="0" fontId="36" fillId="10" borderId="98" xfId="55" applyNumberFormat="1" applyFont="1" applyFill="1" applyBorder="1" applyAlignment="1">
      <alignment horizontal="right" vertical="center"/>
    </xf>
    <xf numFmtId="0" fontId="36" fillId="10" borderId="194" xfId="55" applyNumberFormat="1" applyFont="1" applyFill="1" applyBorder="1" applyAlignment="1">
      <alignment horizontal="right" vertical="center"/>
    </xf>
    <xf numFmtId="0" fontId="36" fillId="10" borderId="130" xfId="55" applyNumberFormat="1" applyFont="1" applyFill="1" applyBorder="1" applyAlignment="1">
      <alignment horizontal="right" vertical="center"/>
    </xf>
    <xf numFmtId="167" fontId="36" fillId="10" borderId="91" xfId="55" applyNumberFormat="1" applyFont="1" applyFill="1" applyBorder="1" applyAlignment="1">
      <alignment horizontal="right" vertical="center"/>
    </xf>
    <xf numFmtId="167" fontId="36" fillId="10" borderId="90" xfId="55" applyNumberFormat="1" applyFont="1" applyFill="1" applyBorder="1" applyAlignment="1">
      <alignment horizontal="right" vertical="center"/>
    </xf>
    <xf numFmtId="167" fontId="36" fillId="10" borderId="134" xfId="55" applyNumberFormat="1" applyFont="1" applyFill="1" applyBorder="1" applyAlignment="1">
      <alignment horizontal="right" vertical="center"/>
    </xf>
    <xf numFmtId="167" fontId="36" fillId="10" borderId="96" xfId="55" applyNumberFormat="1" applyFont="1" applyFill="1" applyBorder="1" applyAlignment="1">
      <alignment horizontal="right" vertical="center"/>
    </xf>
    <xf numFmtId="0" fontId="36" fillId="10" borderId="96" xfId="55" applyNumberFormat="1" applyFont="1" applyFill="1" applyBorder="1" applyAlignment="1">
      <alignment horizontal="right" vertical="center"/>
    </xf>
    <xf numFmtId="0" fontId="72" fillId="9" borderId="131" xfId="55" applyNumberFormat="1" applyFont="1" applyFill="1" applyBorder="1" applyAlignment="1">
      <alignment horizontal="right" vertical="center"/>
    </xf>
    <xf numFmtId="165" fontId="80" fillId="9" borderId="118" xfId="55" applyNumberFormat="1" applyFont="1" applyFill="1" applyBorder="1" applyAlignment="1">
      <alignment horizontal="center" vertical="center"/>
    </xf>
    <xf numFmtId="165" fontId="80" fillId="9" borderId="157" xfId="55" applyNumberFormat="1" applyFont="1" applyFill="1" applyBorder="1" applyAlignment="1">
      <alignment horizontal="center" vertical="center"/>
    </xf>
    <xf numFmtId="2" fontId="80" fillId="9" borderId="153" xfId="55" applyNumberFormat="1" applyFont="1" applyFill="1" applyBorder="1" applyAlignment="1">
      <alignment horizontal="center" vertical="center"/>
    </xf>
    <xf numFmtId="2" fontId="80" fillId="9" borderId="157" xfId="55" applyNumberFormat="1" applyFont="1" applyFill="1" applyBorder="1" applyAlignment="1">
      <alignment horizontal="center" vertical="center"/>
    </xf>
    <xf numFmtId="2" fontId="80" fillId="9" borderId="199" xfId="55" applyNumberFormat="1" applyFont="1" applyFill="1" applyBorder="1" applyAlignment="1">
      <alignment horizontal="center" vertical="center"/>
    </xf>
    <xf numFmtId="2" fontId="80" fillId="9" borderId="118" xfId="55" applyNumberFormat="1" applyFont="1" applyFill="1" applyBorder="1" applyAlignment="1">
      <alignment horizontal="center" vertical="center"/>
    </xf>
    <xf numFmtId="2" fontId="80" fillId="9" borderId="182" xfId="55" applyNumberFormat="1" applyFont="1" applyFill="1" applyBorder="1" applyAlignment="1">
      <alignment horizontal="center" vertical="center"/>
    </xf>
    <xf numFmtId="2" fontId="80" fillId="9" borderId="135" xfId="55" applyNumberFormat="1" applyFont="1" applyFill="1" applyBorder="1" applyAlignment="1">
      <alignment horizontal="center" vertical="center"/>
    </xf>
    <xf numFmtId="167" fontId="82" fillId="9" borderId="118" xfId="55" applyNumberFormat="1" applyFont="1" applyFill="1" applyBorder="1" applyAlignment="1">
      <alignment horizontal="center" vertical="center"/>
    </xf>
    <xf numFmtId="167" fontId="82" fillId="9" borderId="157" xfId="55" applyNumberFormat="1" applyFont="1" applyFill="1" applyBorder="1" applyAlignment="1">
      <alignment horizontal="center" vertical="center"/>
    </xf>
    <xf numFmtId="167" fontId="82" fillId="9" borderId="135" xfId="55" applyNumberFormat="1" applyFont="1" applyFill="1" applyBorder="1" applyAlignment="1">
      <alignment horizontal="center" vertical="center"/>
    </xf>
    <xf numFmtId="0" fontId="80" fillId="9" borderId="152" xfId="0" applyNumberFormat="1" applyFont="1" applyFill="1" applyBorder="1" applyAlignment="1">
      <alignment horizontal="center"/>
    </xf>
    <xf numFmtId="0" fontId="80" fillId="9" borderId="129" xfId="0" applyNumberFormat="1" applyFont="1" applyFill="1" applyBorder="1" applyAlignment="1">
      <alignment horizontal="center"/>
    </xf>
    <xf numFmtId="0" fontId="80" fillId="9" borderId="153" xfId="0" applyNumberFormat="1" applyFont="1" applyFill="1" applyBorder="1" applyAlignment="1">
      <alignment horizontal="center"/>
    </xf>
    <xf numFmtId="0" fontId="80" fillId="9" borderId="199" xfId="0" applyNumberFormat="1" applyFont="1" applyFill="1" applyBorder="1" applyAlignment="1">
      <alignment horizontal="center"/>
    </xf>
    <xf numFmtId="167" fontId="82" fillId="9" borderId="199" xfId="55" applyNumberFormat="1" applyFont="1" applyFill="1" applyBorder="1" applyAlignment="1">
      <alignment horizontal="center" vertical="center"/>
    </xf>
    <xf numFmtId="0" fontId="80" fillId="9" borderId="118" xfId="0" applyNumberFormat="1" applyFont="1" applyFill="1" applyBorder="1" applyAlignment="1">
      <alignment horizontal="center"/>
    </xf>
    <xf numFmtId="0" fontId="80" fillId="9" borderId="157" xfId="0" applyNumberFormat="1" applyFont="1" applyFill="1" applyBorder="1" applyAlignment="1">
      <alignment horizontal="center"/>
    </xf>
    <xf numFmtId="0" fontId="82" fillId="9" borderId="154" xfId="55" applyNumberFormat="1" applyFont="1" applyFill="1" applyBorder="1" applyAlignment="1">
      <alignment horizontal="center" vertical="center"/>
    </xf>
    <xf numFmtId="2" fontId="82" fillId="9" borderId="147" xfId="55" applyNumberFormat="1" applyFont="1" applyFill="1" applyBorder="1" applyAlignment="1">
      <alignment horizontal="center" vertical="center"/>
    </xf>
    <xf numFmtId="1" fontId="82" fillId="9" borderId="144" xfId="55" applyNumberFormat="1" applyFont="1" applyFill="1" applyBorder="1" applyAlignment="1">
      <alignment vertical="center"/>
    </xf>
    <xf numFmtId="0" fontId="82" fillId="9" borderId="155" xfId="55" applyNumberFormat="1" applyFont="1" applyFill="1" applyBorder="1" applyAlignment="1">
      <alignment horizontal="center" vertical="center"/>
    </xf>
    <xf numFmtId="1" fontId="82" fillId="9" borderId="146" xfId="55" applyNumberFormat="1" applyFont="1" applyFill="1" applyBorder="1" applyAlignment="1">
      <alignment vertical="center"/>
    </xf>
    <xf numFmtId="2" fontId="82" fillId="9" borderId="145" xfId="55" applyNumberFormat="1" applyFont="1" applyFill="1" applyBorder="1" applyAlignment="1">
      <alignment horizontal="center" vertical="center"/>
    </xf>
    <xf numFmtId="0" fontId="123" fillId="9" borderId="121" xfId="0" applyFont="1" applyFill="1" applyBorder="1" applyAlignment="1">
      <alignment vertical="center"/>
    </xf>
    <xf numFmtId="1" fontId="82" fillId="9" borderId="129" xfId="55" applyNumberFormat="1" applyFont="1" applyFill="1" applyBorder="1" applyAlignment="1">
      <alignment vertical="center"/>
    </xf>
    <xf numFmtId="0" fontId="123" fillId="9" borderId="96" xfId="0" applyFont="1" applyFill="1" applyBorder="1" applyAlignment="1">
      <alignment vertical="center"/>
    </xf>
    <xf numFmtId="0" fontId="114" fillId="9" borderId="156" xfId="55" applyNumberFormat="1" applyFont="1" applyFill="1" applyBorder="1" applyAlignment="1">
      <alignment vertical="center"/>
    </xf>
    <xf numFmtId="2" fontId="80" fillId="9" borderId="98" xfId="55" applyNumberFormat="1" applyFont="1" applyFill="1" applyBorder="1" applyAlignment="1">
      <alignment horizontal="center" vertical="center"/>
    </xf>
    <xf numFmtId="2" fontId="66" fillId="9" borderId="98" xfId="0" applyNumberFormat="1" applyFont="1" applyFill="1" applyBorder="1" applyAlignment="1">
      <alignment horizontal="center" vertical="center"/>
    </xf>
    <xf numFmtId="2" fontId="80" fillId="9" borderId="94" xfId="55" applyNumberFormat="1" applyFont="1" applyFill="1" applyBorder="1" applyAlignment="1">
      <alignment horizontal="center" vertical="center"/>
    </xf>
    <xf numFmtId="2" fontId="66" fillId="9" borderId="94" xfId="0" applyNumberFormat="1" applyFont="1" applyFill="1" applyBorder="1" applyAlignment="1">
      <alignment horizontal="center" vertical="center"/>
    </xf>
    <xf numFmtId="0" fontId="114" fillId="9" borderId="156" xfId="55" applyNumberFormat="1" applyFont="1" applyFill="1" applyBorder="1" applyAlignment="1">
      <alignment horizontal="center" vertical="center"/>
    </xf>
    <xf numFmtId="2" fontId="80" fillId="9" borderId="95" xfId="55" applyNumberFormat="1" applyFont="1" applyFill="1" applyBorder="1" applyAlignment="1">
      <alignment horizontal="center" vertical="center"/>
    </xf>
    <xf numFmtId="2" fontId="66" fillId="9" borderId="95" xfId="0" applyNumberFormat="1" applyFont="1" applyFill="1" applyBorder="1" applyAlignment="1">
      <alignment horizontal="center" vertical="center"/>
    </xf>
    <xf numFmtId="2" fontId="80" fillId="9" borderId="131" xfId="55" applyNumberFormat="1" applyFont="1" applyFill="1" applyBorder="1" applyAlignment="1">
      <alignment horizontal="center" vertical="center"/>
    </xf>
    <xf numFmtId="2" fontId="66" fillId="9" borderId="131" xfId="0" applyNumberFormat="1" applyFont="1" applyFill="1" applyBorder="1" applyAlignment="1">
      <alignment horizontal="center" vertical="center"/>
    </xf>
    <xf numFmtId="2" fontId="82" fillId="9" borderId="142" xfId="55" applyNumberFormat="1" applyFont="1" applyFill="1" applyBorder="1" applyAlignment="1">
      <alignment horizontal="center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205" xfId="0" applyNumberFormat="1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97" xfId="0" applyNumberFormat="1" applyFont="1" applyFill="1" applyBorder="1" applyAlignment="1">
      <alignment horizontal="center" vertical="center"/>
    </xf>
    <xf numFmtId="1" fontId="25" fillId="9" borderId="206" xfId="0" applyNumberFormat="1" applyFont="1" applyFill="1" applyBorder="1" applyAlignment="1">
      <alignment horizontal="center" vertical="center"/>
    </xf>
    <xf numFmtId="1" fontId="25" fillId="9" borderId="144" xfId="0" applyNumberFormat="1" applyFont="1" applyFill="1" applyBorder="1" applyAlignment="1">
      <alignment horizontal="center" vertical="center"/>
    </xf>
    <xf numFmtId="1" fontId="25" fillId="9" borderId="152" xfId="0" applyNumberFormat="1" applyFont="1" applyFill="1" applyBorder="1" applyAlignment="1">
      <alignment horizontal="center" vertical="center"/>
    </xf>
    <xf numFmtId="1" fontId="25" fillId="9" borderId="153" xfId="0" applyNumberFormat="1" applyFont="1" applyFill="1" applyBorder="1" applyAlignment="1">
      <alignment horizontal="center" vertical="center"/>
    </xf>
    <xf numFmtId="1" fontId="116" fillId="9" borderId="153" xfId="0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1" fontId="23" fillId="9" borderId="209" xfId="0" applyNumberFormat="1" applyFont="1" applyFill="1" applyBorder="1" applyAlignment="1">
      <alignment horizontal="center" vertical="center"/>
    </xf>
    <xf numFmtId="1" fontId="23" fillId="9" borderId="210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3" fillId="9" borderId="212" xfId="0" applyNumberFormat="1" applyFont="1" applyFill="1" applyBorder="1" applyAlignment="1">
      <alignment horizontal="center" vertical="center"/>
    </xf>
    <xf numFmtId="1" fontId="23" fillId="9" borderId="213" xfId="0" applyNumberFormat="1" applyFont="1" applyFill="1" applyBorder="1" applyAlignment="1">
      <alignment horizontal="center" vertical="center"/>
    </xf>
    <xf numFmtId="1" fontId="23" fillId="9" borderId="214" xfId="0" applyNumberFormat="1" applyFont="1" applyFill="1" applyBorder="1" applyAlignment="1">
      <alignment horizontal="center" vertical="center"/>
    </xf>
    <xf numFmtId="1" fontId="68" fillId="9" borderId="209" xfId="0" applyNumberFormat="1" applyFont="1" applyFill="1" applyBorder="1" applyAlignment="1">
      <alignment horizontal="center" vertical="center"/>
    </xf>
    <xf numFmtId="1" fontId="23" fillId="9" borderId="215" xfId="0" applyNumberFormat="1" applyFont="1" applyFill="1" applyBorder="1" applyAlignment="1">
      <alignment horizontal="center" vertical="center"/>
    </xf>
    <xf numFmtId="1" fontId="23" fillId="9" borderId="216" xfId="0" applyNumberFormat="1" applyFont="1" applyFill="1" applyBorder="1" applyAlignment="1">
      <alignment horizontal="center" vertical="center"/>
    </xf>
    <xf numFmtId="1" fontId="23" fillId="9" borderId="217" xfId="0" applyNumberFormat="1" applyFont="1" applyFill="1" applyBorder="1" applyAlignment="1">
      <alignment horizontal="center" vertical="center"/>
    </xf>
    <xf numFmtId="1" fontId="23" fillId="9" borderId="218" xfId="0" applyNumberFormat="1" applyFont="1" applyFill="1" applyBorder="1" applyAlignment="1">
      <alignment horizontal="center" vertical="center"/>
    </xf>
    <xf numFmtId="0" fontId="82" fillId="9" borderId="219" xfId="55" applyNumberFormat="1" applyFont="1" applyFill="1" applyBorder="1" applyAlignment="1">
      <alignment horizontal="center" vertical="center"/>
    </xf>
    <xf numFmtId="0" fontId="82" fillId="9" borderId="129" xfId="0" applyNumberFormat="1" applyFont="1" applyFill="1" applyBorder="1" applyAlignment="1">
      <alignment horizontal="center" vertical="center"/>
    </xf>
    <xf numFmtId="0" fontId="82" fillId="9" borderId="153" xfId="0" applyNumberFormat="1" applyFont="1" applyFill="1" applyBorder="1" applyAlignment="1">
      <alignment horizontal="center" vertical="center"/>
    </xf>
    <xf numFmtId="0" fontId="82" fillId="9" borderId="118" xfId="55" applyNumberFormat="1" applyFont="1" applyFill="1" applyBorder="1" applyAlignment="1">
      <alignment horizontal="center" vertical="center"/>
    </xf>
    <xf numFmtId="0" fontId="82" fillId="9" borderId="157" xfId="55" applyNumberFormat="1" applyFont="1" applyFill="1" applyBorder="1" applyAlignment="1">
      <alignment horizontal="center" vertical="center"/>
    </xf>
    <xf numFmtId="0" fontId="82" fillId="9" borderId="135" xfId="55" applyNumberFormat="1" applyFont="1" applyFill="1" applyBorder="1" applyAlignment="1">
      <alignment horizontal="center" vertical="center"/>
    </xf>
    <xf numFmtId="0" fontId="82" fillId="9" borderId="220" xfId="0" applyNumberFormat="1" applyFont="1" applyFill="1" applyBorder="1" applyAlignment="1">
      <alignment horizontal="center" vertical="center"/>
    </xf>
    <xf numFmtId="0" fontId="82" fillId="9" borderId="217" xfId="0" applyNumberFormat="1" applyFont="1" applyFill="1" applyBorder="1" applyAlignment="1">
      <alignment horizontal="center" vertical="center"/>
    </xf>
    <xf numFmtId="0" fontId="82" fillId="9" borderId="209" xfId="0" applyNumberFormat="1" applyFont="1" applyFill="1" applyBorder="1" applyAlignment="1">
      <alignment horizontal="center" vertical="center"/>
    </xf>
    <xf numFmtId="0" fontId="82" fillId="9" borderId="218" xfId="0" applyNumberFormat="1" applyFont="1" applyFill="1" applyBorder="1" applyAlignment="1">
      <alignment horizontal="center" vertical="center"/>
    </xf>
    <xf numFmtId="0" fontId="82" fillId="9" borderId="221" xfId="0" applyNumberFormat="1" applyFont="1" applyFill="1" applyBorder="1" applyAlignment="1">
      <alignment horizontal="center" vertical="center"/>
    </xf>
    <xf numFmtId="0" fontId="82" fillId="9" borderId="210" xfId="0" applyNumberFormat="1" applyFont="1" applyFill="1" applyBorder="1" applyAlignment="1">
      <alignment horizontal="center" vertical="center"/>
    </xf>
    <xf numFmtId="0" fontId="82" fillId="9" borderId="216" xfId="0" applyNumberFormat="1" applyFont="1" applyFill="1" applyBorder="1" applyAlignment="1">
      <alignment horizontal="center" vertical="center"/>
    </xf>
    <xf numFmtId="0" fontId="82" fillId="9" borderId="22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1" fontId="23" fillId="9" borderId="222" xfId="0" applyNumberFormat="1" applyFont="1" applyFill="1" applyBorder="1" applyAlignment="1">
      <alignment horizontal="center" vertical="center"/>
    </xf>
    <xf numFmtId="0" fontId="114" fillId="9" borderId="155" xfId="55" applyNumberFormat="1" applyFont="1" applyFill="1" applyBorder="1" applyAlignment="1">
      <alignment horizontal="center" vertical="center"/>
    </xf>
    <xf numFmtId="0" fontId="82" fillId="9" borderId="222" xfId="0" applyNumberFormat="1" applyFont="1" applyFill="1" applyBorder="1" applyAlignment="1">
      <alignment horizontal="center" vertical="top"/>
    </xf>
    <xf numFmtId="0" fontId="82" fillId="9" borderId="216" xfId="0" applyNumberFormat="1" applyFont="1" applyFill="1" applyBorder="1" applyAlignment="1">
      <alignment horizontal="center" vertical="top"/>
    </xf>
    <xf numFmtId="0" fontId="83" fillId="9" borderId="209" xfId="0" applyNumberFormat="1" applyFont="1" applyFill="1" applyBorder="1" applyAlignment="1">
      <alignment vertical="top"/>
    </xf>
    <xf numFmtId="0" fontId="83" fillId="9" borderId="215" xfId="0" applyNumberFormat="1" applyFont="1" applyFill="1" applyBorder="1" applyAlignment="1">
      <alignment vertical="top"/>
    </xf>
    <xf numFmtId="2" fontId="79" fillId="9" borderId="225" xfId="55" applyNumberFormat="1" applyFont="1" applyFill="1" applyBorder="1" applyAlignment="1">
      <alignment horizontal="center" vertical="center"/>
    </xf>
    <xf numFmtId="2" fontId="79" fillId="9" borderId="226" xfId="55" applyNumberFormat="1" applyFont="1" applyFill="1" applyBorder="1" applyAlignment="1">
      <alignment horizontal="center" vertical="center"/>
    </xf>
    <xf numFmtId="2" fontId="79" fillId="9" borderId="227" xfId="55" applyNumberFormat="1" applyFont="1" applyFill="1" applyBorder="1" applyAlignment="1">
      <alignment horizontal="center" vertical="center"/>
    </xf>
    <xf numFmtId="2" fontId="79" fillId="9" borderId="224" xfId="55" applyNumberFormat="1" applyFont="1" applyFill="1" applyBorder="1" applyAlignment="1">
      <alignment horizontal="center" vertical="center"/>
    </xf>
    <xf numFmtId="0" fontId="72" fillId="9" borderId="136" xfId="55" applyNumberFormat="1" applyFont="1" applyFill="1" applyBorder="1" applyAlignment="1">
      <alignment horizontal="left" vertical="center"/>
    </xf>
    <xf numFmtId="0" fontId="124" fillId="9" borderId="116" xfId="55" applyNumberFormat="1" applyFont="1" applyFill="1" applyBorder="1" applyAlignment="1">
      <alignment horizontal="left" vertical="center"/>
    </xf>
    <xf numFmtId="0" fontId="125" fillId="9" borderId="116" xfId="55" applyNumberFormat="1" applyFont="1" applyFill="1" applyBorder="1" applyAlignment="1">
      <alignment horizontal="left" vertical="center"/>
    </xf>
    <xf numFmtId="0" fontId="72" fillId="9" borderId="132" xfId="55" applyNumberFormat="1" applyFont="1" applyFill="1" applyBorder="1" applyAlignment="1">
      <alignment horizontal="right" vertical="center"/>
    </xf>
    <xf numFmtId="0" fontId="114" fillId="9" borderId="132" xfId="55" applyNumberFormat="1" applyFont="1" applyFill="1" applyBorder="1" applyAlignment="1">
      <alignment horizontal="right" vertical="center"/>
    </xf>
    <xf numFmtId="0" fontId="99" fillId="0" borderId="3" xfId="0" applyFont="1" applyBorder="1" applyAlignment="1">
      <alignment horizontal="center"/>
    </xf>
    <xf numFmtId="2" fontId="82" fillId="9" borderId="121" xfId="55" applyNumberFormat="1" applyFont="1" applyFill="1" applyBorder="1" applyAlignment="1">
      <alignment horizontal="center" vertical="center"/>
    </xf>
    <xf numFmtId="2" fontId="82" fillId="9" borderId="96" xfId="55" applyNumberFormat="1" applyFont="1" applyFill="1" applyBorder="1" applyAlignment="1">
      <alignment horizontal="center" vertical="center"/>
    </xf>
    <xf numFmtId="2" fontId="82" fillId="9" borderId="223" xfId="55" applyNumberFormat="1" applyFont="1" applyFill="1" applyBorder="1" applyAlignment="1">
      <alignment horizontal="center" vertical="center"/>
    </xf>
    <xf numFmtId="2" fontId="82" fillId="9" borderId="195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130" xfId="0" applyFont="1" applyFill="1" applyBorder="1" applyAlignment="1">
      <alignment horizontal="center" vertical="center"/>
    </xf>
    <xf numFmtId="0" fontId="123" fillId="9" borderId="121" xfId="0" applyFont="1" applyFill="1" applyBorder="1" applyAlignment="1">
      <alignment horizontal="center" vertical="center"/>
    </xf>
    <xf numFmtId="0" fontId="123" fillId="9" borderId="130" xfId="0" applyFont="1" applyFill="1" applyBorder="1" applyAlignment="1">
      <alignment horizontal="center" vertical="center"/>
    </xf>
    <xf numFmtId="2" fontId="82" fillId="9" borderId="110" xfId="55" applyNumberFormat="1" applyFont="1" applyFill="1" applyBorder="1" applyAlignment="1">
      <alignment horizontal="center" vertical="center"/>
    </xf>
    <xf numFmtId="2" fontId="82" fillId="9" borderId="130" xfId="55" applyNumberFormat="1" applyFont="1" applyFill="1" applyBorder="1" applyAlignment="1">
      <alignment horizontal="center" vertical="center"/>
    </xf>
    <xf numFmtId="0" fontId="43" fillId="33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7" fillId="32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7" fillId="37" borderId="65" xfId="0" applyFont="1" applyFill="1" applyBorder="1" applyAlignment="1">
      <alignment horizontal="center" vertical="center"/>
    </xf>
    <xf numFmtId="0" fontId="46" fillId="37" borderId="65" xfId="0" applyFont="1" applyFill="1" applyBorder="1" applyAlignment="1">
      <alignment horizontal="center" vertical="center"/>
    </xf>
    <xf numFmtId="0" fontId="43" fillId="37" borderId="65" xfId="0" applyFont="1" applyFill="1" applyBorder="1" applyAlignment="1">
      <alignment horizontal="center" vertical="center"/>
    </xf>
    <xf numFmtId="0" fontId="54" fillId="33" borderId="67" xfId="0" applyFont="1" applyFill="1" applyBorder="1" applyAlignment="1">
      <alignment horizontal="center" vertical="center"/>
    </xf>
    <xf numFmtId="0" fontId="54" fillId="33" borderId="11" xfId="0" applyFont="1" applyFill="1" applyBorder="1" applyAlignment="1">
      <alignment horizontal="center" vertical="center"/>
    </xf>
    <xf numFmtId="0" fontId="54" fillId="33" borderId="87" xfId="0" applyFont="1" applyFill="1" applyBorder="1" applyAlignment="1">
      <alignment horizontal="center" vertical="center"/>
    </xf>
    <xf numFmtId="0" fontId="54" fillId="33" borderId="9" xfId="0" applyFont="1" applyFill="1" applyBorder="1" applyAlignment="1">
      <alignment horizontal="center" vertical="center"/>
    </xf>
    <xf numFmtId="0" fontId="54" fillId="33" borderId="3" xfId="0" applyFont="1" applyFill="1" applyBorder="1" applyAlignment="1">
      <alignment horizontal="center" vertical="center"/>
    </xf>
    <xf numFmtId="0" fontId="54" fillId="33" borderId="88" xfId="0" applyFont="1" applyFill="1" applyBorder="1" applyAlignment="1">
      <alignment horizontal="center" vertical="center"/>
    </xf>
    <xf numFmtId="1" fontId="54" fillId="30" borderId="11" xfId="0" applyNumberFormat="1" applyFont="1" applyFill="1" applyBorder="1" applyAlignment="1">
      <alignment horizontal="center" vertical="center"/>
    </xf>
    <xf numFmtId="1" fontId="54" fillId="30" borderId="68" xfId="0" applyNumberFormat="1" applyFont="1" applyFill="1" applyBorder="1" applyAlignment="1">
      <alignment horizontal="center" vertical="center"/>
    </xf>
    <xf numFmtId="1" fontId="54" fillId="30" borderId="3" xfId="0" applyNumberFormat="1" applyFont="1" applyFill="1" applyBorder="1" applyAlignment="1">
      <alignment horizontal="center" vertical="center"/>
    </xf>
    <xf numFmtId="1" fontId="54" fillId="30" borderId="12" xfId="0" applyNumberFormat="1" applyFont="1" applyFill="1" applyBorder="1" applyAlignment="1">
      <alignment horizontal="center" vertical="center"/>
    </xf>
    <xf numFmtId="0" fontId="57" fillId="33" borderId="65" xfId="0" applyFont="1" applyFill="1" applyBorder="1" applyAlignment="1">
      <alignment horizontal="center" vertical="center"/>
    </xf>
    <xf numFmtId="0" fontId="43" fillId="37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7" fillId="21" borderId="65" xfId="0" applyFont="1" applyFill="1" applyBorder="1" applyAlignment="1">
      <alignment horizontal="center" vertical="center"/>
    </xf>
    <xf numFmtId="0" fontId="43" fillId="33" borderId="58" xfId="0" applyFont="1" applyFill="1" applyBorder="1" applyAlignment="1">
      <alignment horizontal="center" vertical="center"/>
    </xf>
    <xf numFmtId="0" fontId="43" fillId="37" borderId="58" xfId="0" applyFont="1" applyFill="1" applyBorder="1" applyAlignment="1">
      <alignment horizontal="center" vertical="center"/>
    </xf>
    <xf numFmtId="0" fontId="54" fillId="21" borderId="58" xfId="0" applyFont="1" applyFill="1" applyBorder="1" applyAlignment="1">
      <alignment horizontal="center" vertical="center"/>
    </xf>
    <xf numFmtId="0" fontId="54" fillId="32" borderId="65" xfId="0" applyFont="1" applyFill="1" applyBorder="1" applyAlignment="1">
      <alignment horizontal="center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21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 val="0"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12782D"/>
      <color rgb="FF970E03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1"/>
  <sheetViews>
    <sheetView tabSelected="1" zoomScale="84" zoomScaleNormal="84" workbookViewId="0">
      <pane ySplit="1" topLeftCell="A2" activePane="bottomLeft" state="frozen"/>
      <selection pane="bottomLeft" activeCell="A2" sqref="A2"/>
    </sheetView>
  </sheetViews>
  <sheetFormatPr baseColWidth="10" defaultRowHeight="12.75" customHeight="1"/>
  <cols>
    <col min="1" max="1" width="14.28515625" style="38" bestFit="1" customWidth="1"/>
    <col min="2" max="2" width="8.85546875" style="33" bestFit="1" customWidth="1"/>
    <col min="3" max="3" width="7.140625" style="13" bestFit="1" customWidth="1"/>
    <col min="4" max="4" width="6.85546875" style="13" customWidth="1"/>
    <col min="5" max="5" width="8.85546875" style="33" bestFit="1" customWidth="1"/>
    <col min="6" max="6" width="7.140625" style="587" customWidth="1"/>
    <col min="7" max="7" width="6.140625" style="38" customWidth="1"/>
    <col min="8" max="9" width="5.28515625" style="12" customWidth="1"/>
    <col min="10" max="10" width="6" style="12" customWidth="1"/>
    <col min="11" max="11" width="5.28515625" style="12" customWidth="1"/>
    <col min="12" max="12" width="6.140625" style="12" customWidth="1"/>
    <col min="13" max="13" width="10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5.42578125" style="11" bestFit="1" customWidth="1"/>
    <col min="22" max="22" width="5.7109375" style="11" bestFit="1" customWidth="1"/>
    <col min="23" max="23" width="9.140625" bestFit="1" customWidth="1"/>
    <col min="24" max="24" width="6.28515625" style="314" bestFit="1" customWidth="1"/>
    <col min="25" max="25" width="8.140625" style="593" bestFit="1" customWidth="1"/>
    <col min="26" max="26" width="8.28515625" style="305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99" t="s">
        <v>126</v>
      </c>
      <c r="B1" s="588" t="s">
        <v>337</v>
      </c>
      <c r="C1" s="575" t="s">
        <v>306</v>
      </c>
      <c r="D1" s="575" t="s">
        <v>307</v>
      </c>
      <c r="E1" s="588" t="s">
        <v>338</v>
      </c>
      <c r="F1" s="575" t="s">
        <v>127</v>
      </c>
      <c r="G1" s="400" t="s">
        <v>304</v>
      </c>
      <c r="H1" s="400" t="s">
        <v>128</v>
      </c>
      <c r="I1" s="400" t="s">
        <v>129</v>
      </c>
      <c r="J1" s="400" t="s">
        <v>130</v>
      </c>
      <c r="K1" s="400" t="s">
        <v>308</v>
      </c>
      <c r="L1" s="400" t="s">
        <v>305</v>
      </c>
      <c r="M1" s="400" t="s">
        <v>131</v>
      </c>
      <c r="N1" s="400" t="s">
        <v>132</v>
      </c>
      <c r="O1" s="400" t="s">
        <v>133</v>
      </c>
      <c r="P1" s="401"/>
      <c r="Q1" s="538" t="s">
        <v>628</v>
      </c>
      <c r="R1" s="540" t="s">
        <v>624</v>
      </c>
      <c r="S1" s="541" t="s">
        <v>617</v>
      </c>
      <c r="T1" s="535">
        <v>1E-3</v>
      </c>
      <c r="U1" s="537">
        <v>2</v>
      </c>
      <c r="V1" s="536">
        <v>0</v>
      </c>
      <c r="W1" s="209">
        <v>1</v>
      </c>
      <c r="X1" s="210"/>
      <c r="Y1" s="592">
        <f>AA69</f>
        <v>101473.02522555699</v>
      </c>
      <c r="Z1" s="369">
        <v>100</v>
      </c>
      <c r="AA1" s="349">
        <v>100</v>
      </c>
      <c r="AB1" s="304">
        <f>Y1*($AE$1*$AD$1)</f>
        <v>1395.3235989234811</v>
      </c>
      <c r="AC1" s="38">
        <f>AD1</f>
        <v>7</v>
      </c>
      <c r="AD1" s="54">
        <f>IF(AJ3&lt;&gt;0,2,IF(AJ4&lt;&gt;0,3,IF(AJ5&lt;&gt;0,4,IF(AJ6&lt;&gt;0,5,IF(AJ7&lt;&gt;0,6,IF(AJ8&lt;&gt;0,7,IF(AJ9&lt;&gt;0,8,IF(AJ10&lt;&gt;0,9,IF(AJ11&lt;&gt;0,10,30)))))))))</f>
        <v>7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1.9643835616438357E-3</v>
      </c>
      <c r="AF1" s="272" t="s">
        <v>315</v>
      </c>
      <c r="AG1" s="272" t="s">
        <v>316</v>
      </c>
      <c r="AH1" s="272" t="s">
        <v>317</v>
      </c>
      <c r="AI1" s="272" t="s">
        <v>318</v>
      </c>
      <c r="AJ1" s="273" t="s">
        <v>313</v>
      </c>
      <c r="AK1" s="271" t="s">
        <v>314</v>
      </c>
      <c r="AL1" s="211" t="s">
        <v>312</v>
      </c>
    </row>
    <row r="2" spans="1:42" ht="12.75" customHeight="1">
      <c r="A2" s="590" t="s">
        <v>558</v>
      </c>
      <c r="B2" s="648">
        <f>IF(A2&lt;&gt;"",VLOOKUP($A2,$A$64:$N$201,2,0),"")</f>
        <v>5000</v>
      </c>
      <c r="C2" s="308">
        <f>IF(A2&lt;&gt;"",VLOOKUP($A2,$A$60:$N$201,3,0),"")</f>
        <v>46</v>
      </c>
      <c r="D2" s="251">
        <f>IF(A2&lt;&gt;"",VLOOKUP($A2,$A$60:$N$201,4,0),"")</f>
        <v>46.228000000000002</v>
      </c>
      <c r="E2" s="643">
        <f>IF(A2&lt;&gt;"",VLOOKUP($A2,$A$60:$N$201,5,0),"")</f>
        <v>4661</v>
      </c>
      <c r="F2" s="576">
        <f>IF($A2&lt;&gt;"",VLOOKUP($A2,$A$60:$N$201,6,0),"")</f>
        <v>46</v>
      </c>
      <c r="G2" s="310">
        <f>IF($A2&lt;&gt;"",VLOOKUP($A2,$A$60:$N$201,7,0),"")</f>
        <v>-6.1999999999999998E-3</v>
      </c>
      <c r="H2" s="238">
        <f>IF($A2&lt;&gt;"",VLOOKUP($A2,$A$60:$N$201,8,0),"")</f>
        <v>47</v>
      </c>
      <c r="I2" s="230">
        <f>IF($A2&lt;&gt;"",VLOOKUP($A2,$A$60:$N$201,9,0),"")</f>
        <v>47</v>
      </c>
      <c r="J2" s="284">
        <f>IF($A2&lt;&gt;"",VLOOKUP($A2,$A$60:$N$201,10,0),"")</f>
        <v>45</v>
      </c>
      <c r="K2" s="234">
        <f>IF($A2&lt;&gt;"",VLOOKUP($A2,$A$60:$N$201,11,0),"")</f>
        <v>46.29</v>
      </c>
      <c r="L2" s="252">
        <f>IF($A2&lt;&gt;"",VLOOKUP($A2,$A$60:$N$201,12,0),"")</f>
        <v>245336</v>
      </c>
      <c r="M2" s="234">
        <f>IF($A2&lt;&gt;"",VLOOKUP($A2,$A$60:$N$201,13,0),"")</f>
        <v>533707</v>
      </c>
      <c r="N2" s="252">
        <f>IF($A2&lt;&gt;"",VLOOKUP($A2,$A$60:$N$201,14,0),"")</f>
        <v>468</v>
      </c>
      <c r="O2" s="278">
        <f>IF($A2&lt;&gt;"",VLOOKUP($A2,$A$60:$O$201,15,0),"")</f>
        <v>45378.647210648145</v>
      </c>
      <c r="P2" s="289">
        <v>1</v>
      </c>
      <c r="Q2" s="567"/>
      <c r="R2" s="717"/>
      <c r="S2" s="705"/>
      <c r="T2" s="492"/>
      <c r="U2" s="266"/>
      <c r="V2" s="300"/>
      <c r="W2" s="543"/>
      <c r="X2" s="736"/>
      <c r="Y2" s="730">
        <f>IFERROR(IF($Y$1&lt;&gt;"",INT($Y$1/(D5/100)),100),100)</f>
        <v>220</v>
      </c>
      <c r="Z2" s="667">
        <f>IFERROR($C2*(1-$V$1)/100*$Y2,"")</f>
        <v>101.2</v>
      </c>
      <c r="AA2" s="764">
        <f>IFERROR($Z2-$Z3,"")</f>
        <v>0.31999999999999318</v>
      </c>
      <c r="AD2" s="292" t="s">
        <v>319</v>
      </c>
      <c r="AE2" s="298">
        <v>45379</v>
      </c>
      <c r="AF2" s="290"/>
      <c r="AG2" s="291"/>
      <c r="AH2" s="291"/>
      <c r="AI2" s="290"/>
      <c r="AJ2" s="295"/>
      <c r="AK2" s="290"/>
    </row>
    <row r="3" spans="1:42" ht="12.75" customHeight="1">
      <c r="A3" s="320" t="s">
        <v>14</v>
      </c>
      <c r="B3" s="649">
        <f>IF(A3&lt;&gt;"",VLOOKUP($A3,$A$64:$N$201,2,0),"")</f>
        <v>110558</v>
      </c>
      <c r="C3" s="307">
        <f>IF(A3&lt;&gt;"",VLOOKUP($A3,$A$60:$N$201,3,0),"")</f>
        <v>54.27</v>
      </c>
      <c r="D3" s="309">
        <f>IF(A3&lt;&gt;"",VLOOKUP($A3,$A$60:$N$201,4,0),"")</f>
        <v>52</v>
      </c>
      <c r="E3" s="644">
        <f>IF(A3&lt;&gt;"",VLOOKUP($A3,$A$60:$N$201,5,0),"")</f>
        <v>44500</v>
      </c>
      <c r="F3" s="577">
        <f>IF($A3&lt;&gt;"",VLOOKUP($A3,$A$60:$N$201,6,0),"")</f>
        <v>54.28</v>
      </c>
      <c r="G3" s="311">
        <f>IF($A3&lt;&gt;"",VLOOKUP($A3,$A$60:$N$201,7,0),"")</f>
        <v>6.9999999999999993E-3</v>
      </c>
      <c r="H3" s="237">
        <f>IF($A3&lt;&gt;"",VLOOKUP($A3,$A$60:$N$201,8,0),"")</f>
        <v>53.6</v>
      </c>
      <c r="I3" s="228">
        <f>IF($A3&lt;&gt;"",VLOOKUP($A3,$A$60:$N$201,9,0),"")</f>
        <v>54.45</v>
      </c>
      <c r="J3" s="282">
        <f>IF($A3&lt;&gt;"",VLOOKUP($A3,$A$60:$N$201,10,0),"")</f>
        <v>53.53</v>
      </c>
      <c r="K3" s="232">
        <f>IF($A3&lt;&gt;"",VLOOKUP($A3,$A$60:$N$201,11,0),"")</f>
        <v>53.9</v>
      </c>
      <c r="L3" s="235">
        <f>IF($A3&lt;&gt;"",VLOOKUP($A3,$A$60:$N$201,12,0),"")</f>
        <v>68584755</v>
      </c>
      <c r="M3" s="232">
        <f>IF($A3&lt;&gt;"",VLOOKUP($A3,$A$60:$N$201,13,0),"")</f>
        <v>127356977</v>
      </c>
      <c r="N3" s="235">
        <f>IF($A3&lt;&gt;"",VLOOKUP($A3,$A$60:$N$201,14,0),"")</f>
        <v>53335</v>
      </c>
      <c r="O3" s="279">
        <f>IF($A3&lt;&gt;"",VLOOKUP($A3,$A$60:$O$201,15,0),"")</f>
        <v>45378.647210648145</v>
      </c>
      <c r="P3" s="288">
        <v>2</v>
      </c>
      <c r="Q3" s="263"/>
      <c r="R3" s="718"/>
      <c r="S3" s="706"/>
      <c r="T3" s="494"/>
      <c r="U3" s="267"/>
      <c r="V3" s="301"/>
      <c r="W3" s="543"/>
      <c r="X3" s="737"/>
      <c r="Y3" s="731">
        <f>IFERROR(INT($Z2/($D3*(1+$V$1)/100)),0)</f>
        <v>194</v>
      </c>
      <c r="Z3" s="668">
        <f>IFERROR($D3/100*INT($Y3),"")</f>
        <v>100.88000000000001</v>
      </c>
      <c r="AA3" s="765"/>
      <c r="AD3" s="49" t="s">
        <v>320</v>
      </c>
      <c r="AE3" s="299">
        <v>45380</v>
      </c>
      <c r="AF3" s="48"/>
      <c r="AG3" s="52"/>
      <c r="AH3" s="52"/>
      <c r="AI3" s="48"/>
      <c r="AJ3" s="296"/>
      <c r="AK3" s="48"/>
    </row>
    <row r="4" spans="1:42" ht="12.75" customHeight="1">
      <c r="A4" s="319" t="s">
        <v>13</v>
      </c>
      <c r="B4" s="648">
        <f>IF(A4&lt;&gt;"",VLOOKUP($A4,$A$64:$N$201,2,0),"")</f>
        <v>16480</v>
      </c>
      <c r="C4" s="308">
        <f>IF(A4&lt;&gt;"",VLOOKUP($A4,$A$60:$N$201,3,0),"")</f>
        <v>54250</v>
      </c>
      <c r="D4" s="306">
        <f>IF(A4&lt;&gt;"",VLOOKUP($A4,$A$60:$N$201,4,0),"")</f>
        <v>54270</v>
      </c>
      <c r="E4" s="645">
        <f>IF(A4&lt;&gt;"",VLOOKUP($A4,$A$60:$N$201,5,0),"")</f>
        <v>45516</v>
      </c>
      <c r="F4" s="576">
        <f>IF($A4&lt;&gt;"",VLOOKUP($A4,$A$60:$N$201,6,0),"")</f>
        <v>54250</v>
      </c>
      <c r="G4" s="310">
        <f>IF($A4&lt;&gt;"",VLOOKUP($A4,$A$60:$N$201,7,0),"")</f>
        <v>-2.3E-3</v>
      </c>
      <c r="H4" s="238">
        <f>IF($A4&lt;&gt;"",VLOOKUP($A4,$A$60:$N$201,8,0),"")</f>
        <v>54800</v>
      </c>
      <c r="I4" s="230">
        <f>IF($A4&lt;&gt;"",VLOOKUP($A4,$A$60:$N$201,9,0),"")</f>
        <v>54920</v>
      </c>
      <c r="J4" s="284">
        <f>IF($A4&lt;&gt;"",VLOOKUP($A4,$A$60:$N$201,10,0),"")</f>
        <v>54010</v>
      </c>
      <c r="K4" s="234">
        <f>IF($A4&lt;&gt;"",VLOOKUP($A4,$A$60:$N$201,11,0),"")</f>
        <v>54380</v>
      </c>
      <c r="L4" s="252">
        <f>IF($A4&lt;&gt;"",VLOOKUP($A4,$A$60:$N$201,12,0),"")</f>
        <v>91775172553</v>
      </c>
      <c r="M4" s="234">
        <f>IF($A4&lt;&gt;"",VLOOKUP($A4,$A$60:$N$201,13,0),"")</f>
        <v>168775546</v>
      </c>
      <c r="N4" s="252">
        <f>IF($A4&lt;&gt;"",VLOOKUP($A4,$A$60:$N$201,14,0),"")</f>
        <v>71497</v>
      </c>
      <c r="O4" s="278">
        <f>IF($A4&lt;&gt;"",VLOOKUP($A4,$A$60:$O$201,15,0),"")</f>
        <v>45378.647210648145</v>
      </c>
      <c r="P4" s="289">
        <v>3</v>
      </c>
      <c r="Q4" s="265"/>
      <c r="R4" s="719"/>
      <c r="S4" s="707"/>
      <c r="T4" s="492"/>
      <c r="U4" s="266"/>
      <c r="V4" s="300"/>
      <c r="W4" s="544"/>
      <c r="X4" s="738"/>
      <c r="Y4" s="732">
        <f t="shared" ref="Y4:Y12" si="0">Y3</f>
        <v>194</v>
      </c>
      <c r="Z4" s="669">
        <f>IFERROR($C4*(1-$V$1)/100*INT($Y4),"")</f>
        <v>105245</v>
      </c>
      <c r="AA4" s="766">
        <f>IFERROR($Z4-$Z5,"")</f>
        <v>42.400000000008731</v>
      </c>
      <c r="AD4" s="292" t="s">
        <v>321</v>
      </c>
      <c r="AE4" s="299">
        <v>45381</v>
      </c>
      <c r="AF4" s="290"/>
      <c r="AG4" s="291"/>
      <c r="AH4" s="291"/>
      <c r="AI4" s="290"/>
      <c r="AJ4" s="295"/>
      <c r="AK4" s="290"/>
      <c r="AL4" s="47"/>
    </row>
    <row r="5" spans="1:42" ht="12.75" customHeight="1">
      <c r="A5" s="589" t="s">
        <v>556</v>
      </c>
      <c r="B5" s="650">
        <f>IF(A5&lt;&gt;"",VLOOKUP($A5,$A$64:$N$201,2,0),"")</f>
        <v>48</v>
      </c>
      <c r="C5" s="315">
        <f>IF(A5&lt;&gt;"",VLOOKUP($A5,$A$60:$N$201,3,0),"")</f>
        <v>45900</v>
      </c>
      <c r="D5" s="316">
        <f>IF(A5&lt;&gt;"",VLOOKUP($A5,$A$60:$N$201,4,0),"")</f>
        <v>45940</v>
      </c>
      <c r="E5" s="646">
        <f>IF(A5&lt;&gt;"",VLOOKUP($A5,$A$60:$N$201,5,0),"")</f>
        <v>4350</v>
      </c>
      <c r="F5" s="578">
        <f>IF($A5&lt;&gt;"",VLOOKUP($A5,$A$60:$N$201,6,0),"")</f>
        <v>45950</v>
      </c>
      <c r="G5" s="317">
        <f>IF($A5&lt;&gt;"",VLOOKUP($A5,$A$60:$N$201,7,0),"")</f>
        <v>-9.7999999999999997E-3</v>
      </c>
      <c r="H5" s="253">
        <f>IF($A5&lt;&gt;"",VLOOKUP($A5,$A$60:$N$201,8,0),"")</f>
        <v>48100</v>
      </c>
      <c r="I5" s="254">
        <f>IF($A5&lt;&gt;"",VLOOKUP($A5,$A$60:$N$201,9,0),"")</f>
        <v>48450</v>
      </c>
      <c r="J5" s="286">
        <f>IF($A5&lt;&gt;"",VLOOKUP($A5,$A$60:$N$201,10,0),"")</f>
        <v>44760</v>
      </c>
      <c r="K5" s="255">
        <f>IF($A5&lt;&gt;"",VLOOKUP($A5,$A$60:$N$201,11,0),"")</f>
        <v>46405</v>
      </c>
      <c r="L5" s="257">
        <f>IF($A5&lt;&gt;"",VLOOKUP($A5,$A$60:$N$201,12,0),"")</f>
        <v>1140195355</v>
      </c>
      <c r="M5" s="255">
        <f>IF($A5&lt;&gt;"",VLOOKUP($A5,$A$60:$N$201,13,0),"")</f>
        <v>2464584</v>
      </c>
      <c r="N5" s="377">
        <f>IF($A5&lt;&gt;"",VLOOKUP($A5,$A$60:$N$201,14,0),"")</f>
        <v>1709</v>
      </c>
      <c r="O5" s="281">
        <f>IF($A5&lt;&gt;"",VLOOKUP($A5,$A$60:$O$201,15,0),"")</f>
        <v>45378.646655092591</v>
      </c>
      <c r="P5" s="288">
        <v>4</v>
      </c>
      <c r="Q5" s="568"/>
      <c r="R5" s="720"/>
      <c r="S5" s="708"/>
      <c r="T5" s="496"/>
      <c r="U5" s="348">
        <v>0</v>
      </c>
      <c r="V5" s="301"/>
      <c r="W5" s="543"/>
      <c r="X5" s="737"/>
      <c r="Y5" s="754">
        <f>IFERROR($Z4/($D5*(1+$V$1)/100),0)</f>
        <v>229.09229429690902</v>
      </c>
      <c r="Z5" s="670">
        <f>IFERROR($D5/100*INT($Y5),"")</f>
        <v>105202.59999999999</v>
      </c>
      <c r="AA5" s="765"/>
      <c r="AD5" s="49" t="s">
        <v>322</v>
      </c>
      <c r="AE5" s="299">
        <v>45382</v>
      </c>
      <c r="AF5" s="48"/>
      <c r="AG5" s="52"/>
      <c r="AH5" s="52"/>
      <c r="AI5" s="48"/>
      <c r="AJ5" s="296"/>
      <c r="AK5" s="48"/>
      <c r="AL5" s="47"/>
    </row>
    <row r="6" spans="1:42" ht="12.75" customHeight="1">
      <c r="A6" s="590" t="s">
        <v>558</v>
      </c>
      <c r="B6" s="648">
        <f>IF(A6&lt;&gt;"",VLOOKUP($A6,$A$64:$N$201,2,0),"")</f>
        <v>5000</v>
      </c>
      <c r="C6" s="308">
        <f>IF(A6&lt;&gt;"",VLOOKUP($A6,$A$60:$N$201,3,0),"")</f>
        <v>46</v>
      </c>
      <c r="D6" s="251">
        <f>IF(A6&lt;&gt;"",VLOOKUP($A6,$A$60:$N$201,4,0),"")</f>
        <v>46.228000000000002</v>
      </c>
      <c r="E6" s="643">
        <f>IF(A6&lt;&gt;"",VLOOKUP($A6,$A$60:$N$201,5,0),"")</f>
        <v>4661</v>
      </c>
      <c r="F6" s="576">
        <f>IF($A6&lt;&gt;"",VLOOKUP($A6,$A$60:$N$201,6,0),"")</f>
        <v>46</v>
      </c>
      <c r="G6" s="310">
        <f>IF($A6&lt;&gt;"",VLOOKUP($A6,$A$60:$N$201,7,0),"")</f>
        <v>-6.1999999999999998E-3</v>
      </c>
      <c r="H6" s="236">
        <f>IF($A6&lt;&gt;"",VLOOKUP($A6,$A$60:$N$201,8,0),"")</f>
        <v>47</v>
      </c>
      <c r="I6" s="227">
        <f>IF($A6&lt;&gt;"",VLOOKUP($A6,$A$60:$N$201,9,0),"")</f>
        <v>47</v>
      </c>
      <c r="J6" s="283">
        <f>IF($A6&lt;&gt;"",VLOOKUP($A6,$A$60:$N$201,10,0),"")</f>
        <v>45</v>
      </c>
      <c r="K6" s="231">
        <f>IF($A6&lt;&gt;"",VLOOKUP($A6,$A$60:$N$201,11,0),"")</f>
        <v>46.29</v>
      </c>
      <c r="L6" s="259">
        <f>IF($A6&lt;&gt;"",VLOOKUP($A6,$A$60:$N$201,12,0),"")</f>
        <v>245336</v>
      </c>
      <c r="M6" s="231">
        <f>IF($A6&lt;&gt;"",VLOOKUP($A6,$A$60:$N$201,13,0),"")</f>
        <v>533707</v>
      </c>
      <c r="N6" s="259">
        <f>IF($A6&lt;&gt;"",VLOOKUP($A6,$A$60:$N$201,14,0),"")</f>
        <v>468</v>
      </c>
      <c r="O6" s="275">
        <f>IF($A6&lt;&gt;"",VLOOKUP($A6,$A$60:$O$201,15,0),"")</f>
        <v>45378.647210648145</v>
      </c>
      <c r="P6" s="289">
        <v>5</v>
      </c>
      <c r="Q6" s="549"/>
      <c r="R6" s="721"/>
      <c r="S6" s="709"/>
      <c r="T6" s="497"/>
      <c r="U6" s="347">
        <v>0</v>
      </c>
      <c r="V6" s="300"/>
      <c r="W6" s="544"/>
      <c r="X6" s="738"/>
      <c r="Y6" s="733">
        <f>IFERROR(IF($Y$1&lt;&gt;"",INT($Y$1/(D9/100)),100),100)</f>
        <v>220</v>
      </c>
      <c r="Z6" s="669">
        <f>IFERROR($C6*(1-$V$1)/100*$Y6,"")</f>
        <v>101.2</v>
      </c>
      <c r="AA6" s="764">
        <f>IFERROR($Z6-$Z7,"")</f>
        <v>0.35139999999999816</v>
      </c>
      <c r="AB6" s="226"/>
      <c r="AD6" s="292" t="s">
        <v>323</v>
      </c>
      <c r="AE6" s="299">
        <v>45383</v>
      </c>
      <c r="AF6" s="290"/>
      <c r="AG6" s="291"/>
      <c r="AH6" s="291"/>
      <c r="AI6" s="290"/>
      <c r="AJ6" s="295"/>
      <c r="AK6" s="290"/>
    </row>
    <row r="7" spans="1:42" ht="12.75" customHeight="1">
      <c r="A7" s="320" t="s">
        <v>18</v>
      </c>
      <c r="B7" s="649">
        <f>IF(A7&lt;&gt;"",VLOOKUP($A7,$A$64:$N$201,2,0),"")</f>
        <v>45</v>
      </c>
      <c r="C7" s="307">
        <f>IF(A7&lt;&gt;"",VLOOKUP($A7,$A$60:$N$201,3,0),"")</f>
        <v>56.12</v>
      </c>
      <c r="D7" s="309">
        <f>IF(A7&lt;&gt;"",VLOOKUP($A7,$A$60:$N$201,4,0),"")</f>
        <v>56.34</v>
      </c>
      <c r="E7" s="644">
        <f>IF(A7&lt;&gt;"",VLOOKUP($A7,$A$60:$N$201,5,0),"")</f>
        <v>18348</v>
      </c>
      <c r="F7" s="577">
        <f>IF($A7&lt;&gt;"",VLOOKUP($A7,$A$60:$N$201,6,0),"")</f>
        <v>56.19</v>
      </c>
      <c r="G7" s="311">
        <f>IF($A7&lt;&gt;"",VLOOKUP($A7,$A$60:$N$201,7,0),"")</f>
        <v>1E-3</v>
      </c>
      <c r="H7" s="237">
        <f>IF($A7&lt;&gt;"",VLOOKUP($A7,$A$60:$N$201,8,0),"")</f>
        <v>56.08</v>
      </c>
      <c r="I7" s="228">
        <f>IF($A7&lt;&gt;"",VLOOKUP($A7,$A$60:$N$201,9,0),"")</f>
        <v>56.5</v>
      </c>
      <c r="J7" s="282">
        <f>IF($A7&lt;&gt;"",VLOOKUP($A7,$A$60:$N$201,10,0),"")</f>
        <v>55.46</v>
      </c>
      <c r="K7" s="232">
        <f>IF($A7&lt;&gt;"",VLOOKUP($A7,$A$60:$N$201,11,0),"")</f>
        <v>56.13</v>
      </c>
      <c r="L7" s="235">
        <f>IF($A7&lt;&gt;"",VLOOKUP($A7,$A$60:$N$201,12,0),"")</f>
        <v>2911736</v>
      </c>
      <c r="M7" s="241">
        <f>IF($A7&lt;&gt;"",VLOOKUP($A7,$A$60:$N$201,13,0),"")</f>
        <v>5208765</v>
      </c>
      <c r="N7" s="235">
        <f>IF($A7&lt;&gt;"",VLOOKUP($A7,$A$60:$N$201,14,0),"")</f>
        <v>1804</v>
      </c>
      <c r="O7" s="274">
        <f>IF($A7&lt;&gt;"",VLOOKUP($A7,$A$60:$O$201,15,0),"")</f>
        <v>45378.64702546296</v>
      </c>
      <c r="P7" s="288">
        <v>6</v>
      </c>
      <c r="Q7" s="263"/>
      <c r="R7" s="718"/>
      <c r="S7" s="706"/>
      <c r="T7" s="494"/>
      <c r="U7" s="267">
        <v>0</v>
      </c>
      <c r="V7" s="301"/>
      <c r="W7" s="543"/>
      <c r="X7" s="737"/>
      <c r="Y7" s="731">
        <f>IFERROR(INT($Z6/($D7*(1+$V$1)/100)),0)</f>
        <v>179</v>
      </c>
      <c r="Z7" s="670">
        <f>IFERROR($D7/100*INT($Y7),"")</f>
        <v>100.8486</v>
      </c>
      <c r="AA7" s="765"/>
      <c r="AD7" s="49" t="s">
        <v>324</v>
      </c>
      <c r="AE7" s="299">
        <v>45384</v>
      </c>
      <c r="AF7" s="48"/>
      <c r="AG7" s="52"/>
      <c r="AH7" s="52"/>
      <c r="AI7" s="48"/>
      <c r="AJ7" s="296"/>
      <c r="AK7" s="48"/>
    </row>
    <row r="8" spans="1:42">
      <c r="A8" s="319" t="s">
        <v>16</v>
      </c>
      <c r="B8" s="648">
        <f>IF(A8&lt;&gt;"",VLOOKUP($A8,$A$64:$N$201,2,0),"")</f>
        <v>1144</v>
      </c>
      <c r="C8" s="308">
        <f>IF(A8&lt;&gt;"",VLOOKUP($A8,$A$60:$N$201,3,0),"")</f>
        <v>56100</v>
      </c>
      <c r="D8" s="306">
        <f>IF(A8&lt;&gt;"",VLOOKUP($A8,$A$60:$N$201,4,0),"")</f>
        <v>56130</v>
      </c>
      <c r="E8" s="645">
        <f>IF(A8&lt;&gt;"",VLOOKUP($A8,$A$60:$N$201,5,0),"")</f>
        <v>23588</v>
      </c>
      <c r="F8" s="576">
        <f>IF($A8&lt;&gt;"",VLOOKUP($A8,$A$60:$N$201,6,0),"")</f>
        <v>56120</v>
      </c>
      <c r="G8" s="310">
        <f>IF($A8&lt;&gt;"",VLOOKUP($A8,$A$60:$N$201,7,0),"")</f>
        <v>-1.0200000000000001E-2</v>
      </c>
      <c r="H8" s="236">
        <f>IF($A8&lt;&gt;"",VLOOKUP($A8,$A$60:$N$201,8,0),"")</f>
        <v>57600</v>
      </c>
      <c r="I8" s="227">
        <f>IF($A8&lt;&gt;"",VLOOKUP($A8,$A$60:$N$201,9,0),"")</f>
        <v>57840</v>
      </c>
      <c r="J8" s="283">
        <f>IF($A8&lt;&gt;"",VLOOKUP($A8,$A$60:$N$201,10,0),"")</f>
        <v>55220</v>
      </c>
      <c r="K8" s="231">
        <f>IF($A8&lt;&gt;"",VLOOKUP($A8,$A$60:$N$201,11,0),"")</f>
        <v>56700</v>
      </c>
      <c r="L8" s="259">
        <f>IF($A8&lt;&gt;"",VLOOKUP($A8,$A$60:$N$201,12,0),"")</f>
        <v>6395275078</v>
      </c>
      <c r="M8" s="231">
        <f>IF($A8&lt;&gt;"",VLOOKUP($A8,$A$60:$N$201,13,0),"")</f>
        <v>11324846</v>
      </c>
      <c r="N8" s="259">
        <f>IF($A8&lt;&gt;"",VLOOKUP($A8,$A$60:$N$201,14,0),"")</f>
        <v>3346</v>
      </c>
      <c r="O8" s="275">
        <f>IF($A8&lt;&gt;"",VLOOKUP($A8,$A$60:$O$201,15,0),"")</f>
        <v>45378.64707175926</v>
      </c>
      <c r="P8" s="289">
        <v>7</v>
      </c>
      <c r="Q8" s="549"/>
      <c r="R8" s="721"/>
      <c r="S8" s="709"/>
      <c r="T8" s="497"/>
      <c r="U8" s="266">
        <v>0</v>
      </c>
      <c r="V8" s="300"/>
      <c r="W8" s="565"/>
      <c r="X8" s="739"/>
      <c r="Y8" s="732">
        <f t="shared" si="0"/>
        <v>179</v>
      </c>
      <c r="Z8" s="669">
        <f>IFERROR($C8*(1-$V$1)/100*INT($Y8),"")</f>
        <v>100419</v>
      </c>
      <c r="AA8" s="766">
        <f>IFERROR($Z8-$Z9,"")</f>
        <v>269.80000000000291</v>
      </c>
      <c r="AD8" s="292" t="s">
        <v>325</v>
      </c>
      <c r="AE8" s="299">
        <v>45385</v>
      </c>
      <c r="AF8" s="290">
        <v>4691191401.8100004</v>
      </c>
      <c r="AG8" s="291">
        <v>0.71939999999999993</v>
      </c>
      <c r="AH8" s="291">
        <v>0.71950000000000003</v>
      </c>
      <c r="AI8" s="290">
        <v>162258227.38</v>
      </c>
      <c r="AJ8" s="295">
        <v>0.71939999999999993</v>
      </c>
      <c r="AK8" s="290">
        <v>920708826995</v>
      </c>
    </row>
    <row r="9" spans="1:42" ht="12.75" customHeight="1">
      <c r="A9" s="634" t="s">
        <v>556</v>
      </c>
      <c r="B9" s="651">
        <f>IF(A9&lt;&gt;"",VLOOKUP($A9,$A$64:$N$201,2,0),"")</f>
        <v>48</v>
      </c>
      <c r="C9" s="604">
        <f>IF(A9&lt;&gt;"",VLOOKUP($A9,$A$60:$N$201,3,0),"")</f>
        <v>45900</v>
      </c>
      <c r="D9" s="635">
        <f>IF(A9&lt;&gt;"",VLOOKUP($A9,$A$60:$N$201,4,0),"")</f>
        <v>45940</v>
      </c>
      <c r="E9" s="647">
        <f>IF(A9&lt;&gt;"",VLOOKUP($A9,$A$60:$N$201,5,0),"")</f>
        <v>4350</v>
      </c>
      <c r="F9" s="636">
        <f>IF($A9&lt;&gt;"",VLOOKUP($A9,$A$60:$N$201,6,0),"")</f>
        <v>45950</v>
      </c>
      <c r="G9" s="637">
        <f>IF($A9&lt;&gt;"",VLOOKUP($A9,$A$60:$N$201,7,0),"")</f>
        <v>-9.7999999999999997E-3</v>
      </c>
      <c r="H9" s="608">
        <f>IF($A9&lt;&gt;"",VLOOKUP($A9,$A$60:$N$201,8,0),"")</f>
        <v>48100</v>
      </c>
      <c r="I9" s="609">
        <f>IF($A9&lt;&gt;"",VLOOKUP($A9,$A$60:$N$201,9,0),"")</f>
        <v>48450</v>
      </c>
      <c r="J9" s="610">
        <f>IF($A9&lt;&gt;"",VLOOKUP($A9,$A$60:$N$201,10,0),"")</f>
        <v>44760</v>
      </c>
      <c r="K9" s="611">
        <f>IF($A9&lt;&gt;"",VLOOKUP($A9,$A$60:$N$201,11,0),"")</f>
        <v>46405</v>
      </c>
      <c r="L9" s="612">
        <f>IF($A9&lt;&gt;"",VLOOKUP($A9,$A$60:$N$201,12,0),"")</f>
        <v>1140195355</v>
      </c>
      <c r="M9" s="611">
        <f>IF($A9&lt;&gt;"",VLOOKUP($A9,$A$60:$N$201,13,0),"")</f>
        <v>2464584</v>
      </c>
      <c r="N9" s="612">
        <f>IF($A9&lt;&gt;"",VLOOKUP($A9,$A$60:$N$201,14,0),"")</f>
        <v>1709</v>
      </c>
      <c r="O9" s="638">
        <f>IF($A9&lt;&gt;"",VLOOKUP($A9,$A$60:$O$201,15,0),"")</f>
        <v>45378.646655092591</v>
      </c>
      <c r="P9" s="622">
        <v>8</v>
      </c>
      <c r="Q9" s="639"/>
      <c r="R9" s="722"/>
      <c r="S9" s="710"/>
      <c r="T9" s="616"/>
      <c r="U9" s="348">
        <v>0</v>
      </c>
      <c r="V9" s="522"/>
      <c r="W9" s="617"/>
      <c r="X9" s="740"/>
      <c r="Y9" s="755">
        <f>IFERROR($Z8/($D9*(1+$V$1)/100),0)</f>
        <v>218.58728776665217</v>
      </c>
      <c r="Z9" s="671">
        <f>IFERROR($D9/100*INT($Y9),"")</f>
        <v>100149.2</v>
      </c>
      <c r="AA9" s="767"/>
      <c r="AD9" s="49" t="s">
        <v>625</v>
      </c>
      <c r="AE9" s="299">
        <v>45386</v>
      </c>
      <c r="AF9" s="293">
        <v>8082547.04</v>
      </c>
      <c r="AG9" s="294">
        <v>0.71700000000000008</v>
      </c>
      <c r="AH9" s="294">
        <v>0.72</v>
      </c>
      <c r="AI9" s="293">
        <v>473979</v>
      </c>
      <c r="AJ9" s="297">
        <v>0.71700000000000008</v>
      </c>
      <c r="AK9" s="293">
        <v>13500092194</v>
      </c>
    </row>
    <row r="10" spans="1:42" ht="12.75" customHeight="1">
      <c r="A10" s="590" t="s">
        <v>558</v>
      </c>
      <c r="B10" s="648">
        <f>IF(A10&lt;&gt;"",VLOOKUP($A10,$A$64:$N$201,2,0),"")</f>
        <v>5000</v>
      </c>
      <c r="C10" s="308">
        <f>IF(A10&lt;&gt;"",VLOOKUP($A10,$A$60:$N$201,3,0),"")</f>
        <v>46</v>
      </c>
      <c r="D10" s="251">
        <f>IF(A10&lt;&gt;"",VLOOKUP($A10,$A$60:$N$201,4,0),"")</f>
        <v>46.228000000000002</v>
      </c>
      <c r="E10" s="643">
        <f>IF(A10&lt;&gt;"",VLOOKUP($A10,$A$60:$N$201,5,0),"")</f>
        <v>4661</v>
      </c>
      <c r="F10" s="576">
        <f>IF($A10&lt;&gt;"",VLOOKUP($A10,$A$60:$N$201,6,0),"")</f>
        <v>46</v>
      </c>
      <c r="G10" s="310">
        <f>IF($A10&lt;&gt;"",VLOOKUP($A10,$A$60:$N$201,7,0),"")</f>
        <v>-6.1999999999999998E-3</v>
      </c>
      <c r="H10" s="236">
        <f>IF($A10&lt;&gt;"",VLOOKUP($A10,$A$60:$N$201,8,0),"")</f>
        <v>47</v>
      </c>
      <c r="I10" s="227">
        <f>IF($A10&lt;&gt;"",VLOOKUP($A10,$A$60:$N$201,9,0),"")</f>
        <v>47</v>
      </c>
      <c r="J10" s="283">
        <f>IF($A10&lt;&gt;"",VLOOKUP($A10,$A$60:$N$201,10,0),"")</f>
        <v>45</v>
      </c>
      <c r="K10" s="231">
        <f>IF($A10&lt;&gt;"",VLOOKUP($A10,$A$60:$N$201,11,0),"")</f>
        <v>46.29</v>
      </c>
      <c r="L10" s="259">
        <f>IF($A10&lt;&gt;"",VLOOKUP($A10,$A$60:$N$201,12,0),"")</f>
        <v>245336</v>
      </c>
      <c r="M10" s="231">
        <f>IF($A10&lt;&gt;"",VLOOKUP($A10,$A$60:$N$201,13,0),"")</f>
        <v>533707</v>
      </c>
      <c r="N10" s="259">
        <f>IF($A10&lt;&gt;"",VLOOKUP($A10,$A$60:$N$201,14,0),"")</f>
        <v>468</v>
      </c>
      <c r="O10" s="275">
        <f>IF($A10&lt;&gt;"",VLOOKUP($A10,$A$60:$O$201,15,0),"")</f>
        <v>45378.647210648145</v>
      </c>
      <c r="P10" s="289">
        <v>9</v>
      </c>
      <c r="Q10" s="549"/>
      <c r="R10" s="721"/>
      <c r="S10" s="709"/>
      <c r="T10" s="497"/>
      <c r="U10" s="347">
        <v>0</v>
      </c>
      <c r="V10" s="300"/>
      <c r="W10" s="544"/>
      <c r="X10" s="738"/>
      <c r="Y10" s="733">
        <f>IFERROR(IF($Y$1&lt;&gt;"",INT($Y$1/(D13/100)),100),100)</f>
        <v>220</v>
      </c>
      <c r="Z10" s="672">
        <f>IFERROR($C10*(1-$V$1)/100*$Y10,"")</f>
        <v>101.2</v>
      </c>
      <c r="AA10" s="764">
        <f>IFERROR($Z10-$Z11,"")</f>
        <v>4.9999999999997158E-2</v>
      </c>
      <c r="AB10" s="226"/>
      <c r="AD10" s="49" t="s">
        <v>626</v>
      </c>
      <c r="AE10" s="299">
        <v>45387</v>
      </c>
      <c r="AF10" s="293">
        <v>14231802.93</v>
      </c>
      <c r="AG10" s="294">
        <v>0.71599999999999997</v>
      </c>
      <c r="AH10" s="294">
        <v>0.72489999999999999</v>
      </c>
      <c r="AI10" s="293">
        <v>100000</v>
      </c>
      <c r="AJ10" s="297">
        <v>0.71599999999999997</v>
      </c>
      <c r="AK10" s="293">
        <v>5190125227</v>
      </c>
    </row>
    <row r="11" spans="1:42" ht="12.75" customHeight="1">
      <c r="A11" s="320" t="s">
        <v>655</v>
      </c>
      <c r="B11" s="649">
        <f>IF(A11&lt;&gt;"",VLOOKUP($A11,$A$64:$N$201,2,0),"")</f>
        <v>0</v>
      </c>
      <c r="C11" s="307">
        <f>IF(A11&lt;&gt;"",VLOOKUP($A11,$A$60:$N$201,3,0),"")</f>
        <v>9.15</v>
      </c>
      <c r="D11" s="309">
        <f>IF(A11&lt;&gt;"",VLOOKUP($A11,$A$60:$N$201,4,0),"")</f>
        <v>8.5</v>
      </c>
      <c r="E11" s="644">
        <f>IF(A11&lt;&gt;"",VLOOKUP($A11,$A$60:$N$201,5,0),"")</f>
        <v>0</v>
      </c>
      <c r="F11" s="577">
        <f>IF($A11&lt;&gt;"",VLOOKUP($A11,$A$60:$N$201,6,0),"")</f>
        <v>9.2899999999999991</v>
      </c>
      <c r="G11" s="311">
        <f>IF($A11&lt;&gt;"",VLOOKUP($A11,$A$60:$N$201,7,0),"")</f>
        <v>0</v>
      </c>
      <c r="H11" s="237">
        <f>IF($A11&lt;&gt;"",VLOOKUP($A11,$A$60:$N$201,8,0),"")</f>
        <v>0</v>
      </c>
      <c r="I11" s="228">
        <f>IF($A11&lt;&gt;"",VLOOKUP($A11,$A$60:$N$201,9,0),"")</f>
        <v>0</v>
      </c>
      <c r="J11" s="282">
        <f>IF($A11&lt;&gt;"",VLOOKUP($A11,$A$60:$N$201,10,0),"")</f>
        <v>0</v>
      </c>
      <c r="K11" s="232">
        <f>IF($A11&lt;&gt;"",VLOOKUP($A11,$A$60:$N$201,11,0),"")</f>
        <v>0</v>
      </c>
      <c r="L11" s="235">
        <f>IF($A11&lt;&gt;"",VLOOKUP($A11,$A$60:$N$201,12,0),"")</f>
        <v>0</v>
      </c>
      <c r="M11" s="232">
        <f>IF($A11&lt;&gt;"",VLOOKUP($A11,$A$60:$N$201,13,0),"")</f>
        <v>0</v>
      </c>
      <c r="N11" s="235">
        <f>IF($A11&lt;&gt;"",VLOOKUP($A11,$A$60:$N$201,14,0),"")</f>
        <v>0</v>
      </c>
      <c r="O11" s="274">
        <f>IF($A11&lt;&gt;"",VLOOKUP($A11,$A$60:$O$201,15,0),"")</f>
        <v>0</v>
      </c>
      <c r="P11" s="288">
        <v>10</v>
      </c>
      <c r="Q11" s="263"/>
      <c r="R11" s="718"/>
      <c r="S11" s="706"/>
      <c r="T11" s="494"/>
      <c r="U11" s="267">
        <v>0</v>
      </c>
      <c r="V11" s="301"/>
      <c r="W11" s="543"/>
      <c r="X11" s="737"/>
      <c r="Y11" s="731">
        <f>IFERROR(INT($Z10/($D11*(1+$V$1)/100)),0)</f>
        <v>1190</v>
      </c>
      <c r="Z11" s="670">
        <f>IFERROR($D11/100*INT($Y11),"")</f>
        <v>101.15</v>
      </c>
      <c r="AA11" s="765"/>
      <c r="AD11" s="49" t="s">
        <v>627</v>
      </c>
      <c r="AE11" s="299">
        <v>45388</v>
      </c>
      <c r="AF11" s="293"/>
      <c r="AG11" s="294"/>
      <c r="AH11" s="294"/>
      <c r="AI11" s="293"/>
      <c r="AJ11" s="297"/>
      <c r="AK11" s="293"/>
    </row>
    <row r="12" spans="1:42" ht="12.75" customHeight="1">
      <c r="A12" s="319" t="s">
        <v>651</v>
      </c>
      <c r="B12" s="648">
        <f>IF(A12&lt;&gt;"",VLOOKUP($A12,$A$64:$N$201,2,0),"")</f>
        <v>0</v>
      </c>
      <c r="C12" s="308">
        <f>IF(A12&lt;&gt;"",VLOOKUP($A12,$A$60:$N$201,3,0),"")</f>
        <v>9300</v>
      </c>
      <c r="D12" s="306">
        <f>IF(A12&lt;&gt;"",VLOOKUP($A12,$A$60:$N$201,4,0),"")</f>
        <v>9390</v>
      </c>
      <c r="E12" s="645">
        <f>IF(A12&lt;&gt;"",VLOOKUP($A12,$A$60:$N$201,5,0),"")</f>
        <v>0</v>
      </c>
      <c r="F12" s="576">
        <f>IF($A12&lt;&gt;"",VLOOKUP($A12,$A$60:$N$201,6,0),"")</f>
        <v>9390</v>
      </c>
      <c r="G12" s="310">
        <f>IF($A12&lt;&gt;"",VLOOKUP($A12,$A$60:$N$201,7,0),"")</f>
        <v>0</v>
      </c>
      <c r="H12" s="236">
        <f>IF($A12&lt;&gt;"",VLOOKUP($A12,$A$60:$N$201,8,0),"")</f>
        <v>0</v>
      </c>
      <c r="I12" s="227">
        <f>IF($A12&lt;&gt;"",VLOOKUP($A12,$A$60:$N$201,9,0),"")</f>
        <v>0</v>
      </c>
      <c r="J12" s="283">
        <f>IF($A12&lt;&gt;"",VLOOKUP($A12,$A$60:$N$201,10,0),"")</f>
        <v>0</v>
      </c>
      <c r="K12" s="231">
        <f>IF($A12&lt;&gt;"",VLOOKUP($A12,$A$60:$N$201,11,0),"")</f>
        <v>0</v>
      </c>
      <c r="L12" s="259">
        <f>IF($A12&lt;&gt;"",VLOOKUP($A12,$A$60:$N$201,12,0),"")</f>
        <v>0</v>
      </c>
      <c r="M12" s="231">
        <f>IF($A12&lt;&gt;"",VLOOKUP($A12,$A$60:$N$201,13,0),"")</f>
        <v>0</v>
      </c>
      <c r="N12" s="259">
        <f>IF($A12&lt;&gt;"",VLOOKUP($A12,$A$60:$N$201,14,0),"")</f>
        <v>0</v>
      </c>
      <c r="O12" s="275">
        <f>IF($A12&lt;&gt;"",VLOOKUP($A12,$A$60:$O$201,15,0),"")</f>
        <v>0</v>
      </c>
      <c r="P12" s="289">
        <v>11</v>
      </c>
      <c r="Q12" s="549"/>
      <c r="R12" s="721"/>
      <c r="S12" s="709"/>
      <c r="T12" s="497"/>
      <c r="U12" s="266">
        <v>0</v>
      </c>
      <c r="V12" s="300"/>
      <c r="W12" s="544"/>
      <c r="X12" s="738"/>
      <c r="Y12" s="732">
        <f t="shared" si="0"/>
        <v>1190</v>
      </c>
      <c r="Z12" s="669">
        <f>IFERROR($C12*(1-$V$1)/100*INT($Y12),"")</f>
        <v>110670</v>
      </c>
      <c r="AA12" s="766">
        <f>IFERROR($Z12-$Z13,"")</f>
        <v>414</v>
      </c>
    </row>
    <row r="13" spans="1:42" ht="12.75" customHeight="1">
      <c r="A13" s="589" t="s">
        <v>556</v>
      </c>
      <c r="B13" s="650">
        <f>IF(A13&lt;&gt;"",VLOOKUP($A13,$A$64:$N$201,2,0),"")</f>
        <v>48</v>
      </c>
      <c r="C13" s="315">
        <f>IF(A13&lt;&gt;"",VLOOKUP($A13,$A$60:$N$201,3,0),"")</f>
        <v>45900</v>
      </c>
      <c r="D13" s="316">
        <f>IF(A13&lt;&gt;"",VLOOKUP($A13,$A$60:$N$201,4,0),"")</f>
        <v>45940</v>
      </c>
      <c r="E13" s="646">
        <f>IF(A13&lt;&gt;"",VLOOKUP($A13,$A$60:$N$201,5,0),"")</f>
        <v>4350</v>
      </c>
      <c r="F13" s="578">
        <f>IF($A13&lt;&gt;"",VLOOKUP($A13,$A$60:$N$201,6,0),"")</f>
        <v>45950</v>
      </c>
      <c r="G13" s="317">
        <f>IF($A13&lt;&gt;"",VLOOKUP($A13,$A$60:$N$201,7,0),"")</f>
        <v>-9.7999999999999997E-3</v>
      </c>
      <c r="H13" s="253">
        <f>IF($A13&lt;&gt;"",VLOOKUP($A13,$A$60:$N$201,8,0),"")</f>
        <v>48100</v>
      </c>
      <c r="I13" s="254">
        <f>IF($A13&lt;&gt;"",VLOOKUP($A13,$A$60:$N$201,9,0),"")</f>
        <v>48450</v>
      </c>
      <c r="J13" s="286">
        <f>IF($A13&lt;&gt;"",VLOOKUP($A13,$A$60:$N$201,10,0),"")</f>
        <v>44760</v>
      </c>
      <c r="K13" s="255">
        <f>IF($A13&lt;&gt;"",VLOOKUP($A13,$A$60:$N$201,11,0),"")</f>
        <v>46405</v>
      </c>
      <c r="L13" s="257">
        <f>IF($A13&lt;&gt;"",VLOOKUP($A13,$A$60:$N$201,12,0),"")</f>
        <v>1140195355</v>
      </c>
      <c r="M13" s="255">
        <f>IF($A13&lt;&gt;"",VLOOKUP($A13,$A$60:$N$201,13,0),"")</f>
        <v>2464584</v>
      </c>
      <c r="N13" s="257">
        <f>IF($A13&lt;&gt;"",VLOOKUP($A13,$A$60:$N$201,14,0),"")</f>
        <v>1709</v>
      </c>
      <c r="O13" s="318">
        <f>IF($A13&lt;&gt;"",VLOOKUP($A13,$A$60:$O$201,15,0),"")</f>
        <v>45378.646655092591</v>
      </c>
      <c r="P13" s="288">
        <v>12</v>
      </c>
      <c r="Q13" s="568"/>
      <c r="R13" s="723"/>
      <c r="S13" s="708"/>
      <c r="T13" s="499"/>
      <c r="U13" s="267">
        <v>0</v>
      </c>
      <c r="V13" s="301"/>
      <c r="W13" s="543"/>
      <c r="X13" s="737"/>
      <c r="Y13" s="754">
        <f>IFERROR($Z12/($D13*(1+$V$1)/100),0)</f>
        <v>240.90117544623422</v>
      </c>
      <c r="Z13" s="670">
        <f>IFERROR($D13/100*INT($Y13),"")</f>
        <v>110256</v>
      </c>
      <c r="AA13" s="765"/>
    </row>
    <row r="14" spans="1:42" ht="12.75" customHeight="1">
      <c r="A14" s="590" t="s">
        <v>15</v>
      </c>
      <c r="B14" s="648">
        <f>IF(A14&lt;&gt;"",VLOOKUP($A14,$A$64:$N$201,2,0),"")</f>
        <v>92674</v>
      </c>
      <c r="C14" s="308">
        <f>IF(A14&lt;&gt;"",VLOOKUP($A14,$A$60:$N$201,3,0),"")</f>
        <v>50.85</v>
      </c>
      <c r="D14" s="251">
        <f>IF(A14&lt;&gt;"",VLOOKUP($A14,$A$60:$N$201,4,0),"")</f>
        <v>50.9</v>
      </c>
      <c r="E14" s="643">
        <f>IF(A14&lt;&gt;"",VLOOKUP($A14,$A$60:$N$201,5,0),"")</f>
        <v>42393</v>
      </c>
      <c r="F14" s="576">
        <f>IF($A14&lt;&gt;"",VLOOKUP($A14,$A$60:$N$201,6,0),"")</f>
        <v>50.9</v>
      </c>
      <c r="G14" s="310">
        <f>IF($A14&lt;&gt;"",VLOOKUP($A14,$A$60:$N$201,7,0),"")</f>
        <v>9.8999999999999991E-3</v>
      </c>
      <c r="H14" s="238">
        <f>IF($A14&lt;&gt;"",VLOOKUP($A14,$A$60:$N$201,8,0),"")</f>
        <v>50.4</v>
      </c>
      <c r="I14" s="230">
        <f>IF($A14&lt;&gt;"",VLOOKUP($A14,$A$60:$N$201,9,0),"")</f>
        <v>50.9</v>
      </c>
      <c r="J14" s="284">
        <f>IF($A14&lt;&gt;"",VLOOKUP($A14,$A$60:$N$201,10,0),"")</f>
        <v>50.16</v>
      </c>
      <c r="K14" s="234">
        <f>IF($A14&lt;&gt;"",VLOOKUP($A14,$A$60:$N$201,11,0),"")</f>
        <v>50.4</v>
      </c>
      <c r="L14" s="252">
        <f>IF($A14&lt;&gt;"",VLOOKUP($A14,$A$60:$N$201,12,0),"")</f>
        <v>24156422</v>
      </c>
      <c r="M14" s="234">
        <f>IF($A14&lt;&gt;"",VLOOKUP($A14,$A$60:$N$201,13,0),"")</f>
        <v>47776634</v>
      </c>
      <c r="N14" s="252">
        <f>IF($A14&lt;&gt;"",VLOOKUP($A14,$A$60:$N$201,14,0),"")</f>
        <v>7508</v>
      </c>
      <c r="O14" s="276">
        <f>IF($A14&lt;&gt;"",VLOOKUP($A14,$A$60:$O$201,15,0),"")</f>
        <v>45378.647187499999</v>
      </c>
      <c r="P14" s="289">
        <v>13</v>
      </c>
      <c r="Q14" s="265"/>
      <c r="R14" s="719"/>
      <c r="S14" s="707"/>
      <c r="T14" s="492"/>
      <c r="U14" s="266">
        <v>0</v>
      </c>
      <c r="V14" s="300"/>
      <c r="W14" s="544"/>
      <c r="X14" s="738"/>
      <c r="Y14" s="733">
        <v>100</v>
      </c>
      <c r="Z14" s="672">
        <f>IFERROR($C14*(1-$V$1)/100*$Y14,"")</f>
        <v>50.850000000000009</v>
      </c>
      <c r="AA14" s="764">
        <f>IFERROR($Z14-$Z15,"")</f>
        <v>0.11400000000001143</v>
      </c>
      <c r="AN14" s="47"/>
      <c r="AO14" s="47"/>
      <c r="AP14" s="47"/>
    </row>
    <row r="15" spans="1:42" ht="12.75" customHeight="1">
      <c r="A15" s="320" t="s">
        <v>17</v>
      </c>
      <c r="B15" s="649">
        <f>IF(A15&lt;&gt;"",VLOOKUP($A15,$A$64:$N$201,2,0),"")</f>
        <v>634</v>
      </c>
      <c r="C15" s="307">
        <f>IF(A15&lt;&gt;"",VLOOKUP($A15,$A$60:$N$201,3,0),"")</f>
        <v>52.47</v>
      </c>
      <c r="D15" s="309">
        <f>IF(A15&lt;&gt;"",VLOOKUP($A15,$A$60:$N$201,4,0),"")</f>
        <v>52.85</v>
      </c>
      <c r="E15" s="644">
        <f>IF(A15&lt;&gt;"",VLOOKUP($A15,$A$60:$N$201,5,0),"")</f>
        <v>54322</v>
      </c>
      <c r="F15" s="577">
        <f>IF($A15&lt;&gt;"",VLOOKUP($A15,$A$60:$N$201,6,0),"")</f>
        <v>52.84</v>
      </c>
      <c r="G15" s="311">
        <f>IF($A15&lt;&gt;"",VLOOKUP($A15,$A$60:$N$201,7,0),"")</f>
        <v>-1E-4</v>
      </c>
      <c r="H15" s="242">
        <f>IF($A15&lt;&gt;"",VLOOKUP($A15,$A$60:$N$201,8,0),"")</f>
        <v>52.25</v>
      </c>
      <c r="I15" s="243">
        <f>IF($A15&lt;&gt;"",VLOOKUP($A15,$A$60:$N$201,9,0),"")</f>
        <v>52.85</v>
      </c>
      <c r="J15" s="285">
        <f>IF($A15&lt;&gt;"",VLOOKUP($A15,$A$60:$N$201,10,0),"")</f>
        <v>52.25</v>
      </c>
      <c r="K15" s="244">
        <f>IF($A15&lt;&gt;"",VLOOKUP($A15,$A$60:$N$201,11,0),"")</f>
        <v>52.85</v>
      </c>
      <c r="L15" s="262">
        <f>IF($A15&lt;&gt;"",VLOOKUP($A15,$A$60:$N$201,12,0),"")</f>
        <v>434831</v>
      </c>
      <c r="M15" s="244">
        <f>IF($A15&lt;&gt;"",VLOOKUP($A15,$A$60:$N$201,13,0),"")</f>
        <v>828785</v>
      </c>
      <c r="N15" s="262">
        <f>IF($A15&lt;&gt;"",VLOOKUP($A15,$A$60:$N$201,14,0),"")</f>
        <v>216</v>
      </c>
      <c r="O15" s="277">
        <f>IF($A15&lt;&gt;"",VLOOKUP($A15,$A$60:$O$201,15,0),"")</f>
        <v>45378.645914351851</v>
      </c>
      <c r="P15" s="288">
        <v>14</v>
      </c>
      <c r="Q15" s="569"/>
      <c r="R15" s="724"/>
      <c r="S15" s="711"/>
      <c r="T15" s="498"/>
      <c r="U15" s="267">
        <v>0</v>
      </c>
      <c r="V15" s="301"/>
      <c r="W15" s="543"/>
      <c r="X15" s="737"/>
      <c r="Y15" s="731">
        <f>IFERROR(INT($Z14/($D15*(1+$V$1)/100)),0)</f>
        <v>96</v>
      </c>
      <c r="Z15" s="670">
        <f>IFERROR($D15/100*INT($Y15),"")</f>
        <v>50.735999999999997</v>
      </c>
      <c r="AA15" s="765"/>
    </row>
    <row r="16" spans="1:42" ht="12.75" customHeight="1">
      <c r="A16" s="319" t="s">
        <v>18</v>
      </c>
      <c r="B16" s="648">
        <f>IF(A16&lt;&gt;"",VLOOKUP($A16,$A$64:$N$201,2,0),"")</f>
        <v>45</v>
      </c>
      <c r="C16" s="308">
        <f>IF(A16&lt;&gt;"",VLOOKUP($A16,$A$60:$N$201,3,0),"")</f>
        <v>56.12</v>
      </c>
      <c r="D16" s="306">
        <f>IF(A16&lt;&gt;"",VLOOKUP($A16,$A$60:$N$201,4,0),"")</f>
        <v>56.34</v>
      </c>
      <c r="E16" s="645">
        <f>IF(A16&lt;&gt;"",VLOOKUP($A16,$A$60:$N$201,5,0),"")</f>
        <v>18348</v>
      </c>
      <c r="F16" s="576">
        <f>IF($A16&lt;&gt;"",VLOOKUP($A16,$A$60:$N$201,6,0),"")</f>
        <v>56.19</v>
      </c>
      <c r="G16" s="310">
        <f>IF($A16&lt;&gt;"",VLOOKUP($A16,$A$60:$N$201,7,0),"")</f>
        <v>1E-3</v>
      </c>
      <c r="H16" s="236">
        <f>IF($A16&lt;&gt;"",VLOOKUP($A16,$A$60:$N$201,8,0),"")</f>
        <v>56.08</v>
      </c>
      <c r="I16" s="227">
        <f>IF($A16&lt;&gt;"",VLOOKUP($A16,$A$60:$N$201,9,0),"")</f>
        <v>56.5</v>
      </c>
      <c r="J16" s="227">
        <f>IF($A16&lt;&gt;"",VLOOKUP($A16,$A$60:$N$201,10,0),"")</f>
        <v>55.46</v>
      </c>
      <c r="K16" s="231">
        <f>IF($A16&lt;&gt;"",VLOOKUP($A16,$A$60:$N$201,11,0),"")</f>
        <v>56.13</v>
      </c>
      <c r="L16" s="259">
        <f>IF($A16&lt;&gt;"",VLOOKUP($A16,$A$60:$N$201,12,0),"")</f>
        <v>2911736</v>
      </c>
      <c r="M16" s="231">
        <f>IF($A16&lt;&gt;"",VLOOKUP($A16,$A$60:$N$201,13,0),"")</f>
        <v>5208765</v>
      </c>
      <c r="N16" s="259">
        <f>IF($A16&lt;&gt;"",VLOOKUP($A16,$A$60:$N$201,14,0),"")</f>
        <v>1804</v>
      </c>
      <c r="O16" s="275">
        <f>IF($A16&lt;&gt;"",VLOOKUP($A16,$A$60:$O$201,15,0),"")</f>
        <v>45378.64702546296</v>
      </c>
      <c r="P16" s="289">
        <v>15</v>
      </c>
      <c r="Q16" s="570"/>
      <c r="R16" s="721"/>
      <c r="S16" s="709"/>
      <c r="T16" s="497"/>
      <c r="U16" s="266">
        <v>0</v>
      </c>
      <c r="V16" s="300"/>
      <c r="W16" s="565"/>
      <c r="X16" s="739"/>
      <c r="Y16" s="732">
        <f t="shared" ref="Y16" si="1">Y15</f>
        <v>96</v>
      </c>
      <c r="Z16" s="669">
        <f>IFERROR($C16*(1-$V$1)/100*INT($Y16),"")</f>
        <v>53.875199999999992</v>
      </c>
      <c r="AA16" s="766">
        <f>IFERROR($Z16-$Z17,"")</f>
        <v>0.31519999999999015</v>
      </c>
    </row>
    <row r="17" spans="1:41" ht="12.75" customHeight="1">
      <c r="A17" s="589" t="s">
        <v>14</v>
      </c>
      <c r="B17" s="650">
        <f>IF(A17&lt;&gt;"",VLOOKUP($A17,$A$64:$N$201,2,0),"")</f>
        <v>110558</v>
      </c>
      <c r="C17" s="315">
        <f>IF(A17&lt;&gt;"",VLOOKUP($A17,$A$60:$N$201,3,0),"")</f>
        <v>54.27</v>
      </c>
      <c r="D17" s="316">
        <f>IF(A17&lt;&gt;"",VLOOKUP($A17,$A$60:$N$201,4,0),"")</f>
        <v>52</v>
      </c>
      <c r="E17" s="646">
        <f>IF(A17&lt;&gt;"",VLOOKUP($A17,$A$60:$N$201,5,0),"")</f>
        <v>44500</v>
      </c>
      <c r="F17" s="578">
        <f>IF($A17&lt;&gt;"",VLOOKUP($A17,$A$60:$N$201,6,0),"")</f>
        <v>54.28</v>
      </c>
      <c r="G17" s="317">
        <f>IF($A17&lt;&gt;"",VLOOKUP($A17,$A$60:$N$201,7,0),"")</f>
        <v>6.9999999999999993E-3</v>
      </c>
      <c r="H17" s="253">
        <f>IF($A17&lt;&gt;"",VLOOKUP($A17,$A$60:$N$201,8,0),"")</f>
        <v>53.6</v>
      </c>
      <c r="I17" s="254">
        <f>IF($A17&lt;&gt;"",VLOOKUP($A17,$A$60:$N$201,9,0),"")</f>
        <v>54.45</v>
      </c>
      <c r="J17" s="286">
        <f>IF($A17&lt;&gt;"",VLOOKUP($A17,$A$60:$N$201,10,0),"")</f>
        <v>53.53</v>
      </c>
      <c r="K17" s="255">
        <f>IF($A17&lt;&gt;"",VLOOKUP($A17,$A$60:$N$201,11,0),"")</f>
        <v>53.9</v>
      </c>
      <c r="L17" s="257">
        <f>IF($A17&lt;&gt;"",VLOOKUP($A17,$A$60:$N$201,12,0),"")</f>
        <v>68584755</v>
      </c>
      <c r="M17" s="255">
        <f>IF($A17&lt;&gt;"",VLOOKUP($A17,$A$60:$N$201,13,0),"")</f>
        <v>127356977</v>
      </c>
      <c r="N17" s="257">
        <f>IF($A17&lt;&gt;"",VLOOKUP($A17,$A$60:$N$201,14,0),"")</f>
        <v>53335</v>
      </c>
      <c r="O17" s="318">
        <f>IF($A17&lt;&gt;"",VLOOKUP($A17,$A$60:$O$201,15,0),"")</f>
        <v>45378.647210648145</v>
      </c>
      <c r="P17" s="288">
        <v>16</v>
      </c>
      <c r="Q17" s="568"/>
      <c r="R17" s="723"/>
      <c r="S17" s="708"/>
      <c r="T17" s="499"/>
      <c r="U17" s="267">
        <v>0</v>
      </c>
      <c r="V17" s="301"/>
      <c r="W17" s="566"/>
      <c r="X17" s="741"/>
      <c r="Y17" s="756">
        <f>IFERROR($Z16/($D17*(1+$V$1)/100),0)</f>
        <v>103.60615384615383</v>
      </c>
      <c r="Z17" s="673">
        <f>IFERROR($D17/100*INT($Y17),"")</f>
        <v>53.56</v>
      </c>
      <c r="AA17" s="772"/>
      <c r="AO17" s="393"/>
    </row>
    <row r="18" spans="1:41" ht="12.75" customHeight="1">
      <c r="A18" s="590" t="s">
        <v>558</v>
      </c>
      <c r="B18" s="648">
        <f>IF(A18&lt;&gt;"",VLOOKUP($A18,$A$64:$N$201,2,0),"")</f>
        <v>5000</v>
      </c>
      <c r="C18" s="308">
        <f>IF(A18&lt;&gt;"",VLOOKUP($A18,$A$60:$N$201,3,0),"")</f>
        <v>46</v>
      </c>
      <c r="D18" s="251">
        <f>IF(A18&lt;&gt;"",VLOOKUP($A18,$A$60:$N$201,4,0),"")</f>
        <v>46.228000000000002</v>
      </c>
      <c r="E18" s="643">
        <f>IF(A18&lt;&gt;"",VLOOKUP($A18,$A$60:$N$201,5,0),"")</f>
        <v>4661</v>
      </c>
      <c r="F18" s="579">
        <f>IF($A18&lt;&gt;"",VLOOKUP($A18,$A$60:$N$201,6,0),"")</f>
        <v>46</v>
      </c>
      <c r="G18" s="321">
        <f>IF($A18&lt;&gt;"",VLOOKUP($A18,$A$60:$N$201,7,0),"")</f>
        <v>-6.1999999999999998E-3</v>
      </c>
      <c r="H18" s="322">
        <f>IF($A18&lt;&gt;"",VLOOKUP($A18,$A$60:$N$201,8,0),"")</f>
        <v>47</v>
      </c>
      <c r="I18" s="323">
        <f>IF($A18&lt;&gt;"",VLOOKUP($A18,$A$60:$N$201,9,0),"")</f>
        <v>47</v>
      </c>
      <c r="J18" s="324">
        <f>IF($A18&lt;&gt;"",VLOOKUP($A18,$A$60:$N$201,10,0),"")</f>
        <v>45</v>
      </c>
      <c r="K18" s="325">
        <f>IF($A18&lt;&gt;"",VLOOKUP($A18,$A$60:$N$201,11,0),"")</f>
        <v>46.29</v>
      </c>
      <c r="L18" s="326">
        <f>IF($A18&lt;&gt;"",VLOOKUP($A18,$A$60:$N$201,12,0),"")</f>
        <v>245336</v>
      </c>
      <c r="M18" s="325">
        <f>IF($A18&lt;&gt;"",VLOOKUP($A18,$A$60:$N$201,13,0),"")</f>
        <v>533707</v>
      </c>
      <c r="N18" s="252"/>
      <c r="O18" s="276"/>
      <c r="P18" s="289">
        <v>17</v>
      </c>
      <c r="Q18" s="265"/>
      <c r="R18" s="725"/>
      <c r="S18" s="707"/>
      <c r="T18" s="492"/>
      <c r="U18" s="347"/>
      <c r="V18" s="300"/>
      <c r="W18" s="544"/>
      <c r="X18" s="738"/>
      <c r="Y18" s="733">
        <v>101</v>
      </c>
      <c r="Z18" s="672">
        <f>IFERROR($C18*(1-$V$1)/100*$Y18,"")</f>
        <v>46.46</v>
      </c>
      <c r="AA18" s="764">
        <f>IFERROR($Z18-$Z19,"")</f>
        <v>0.17999999999999972</v>
      </c>
    </row>
    <row r="19" spans="1:41" ht="12.75" customHeight="1">
      <c r="A19" s="320" t="s">
        <v>14</v>
      </c>
      <c r="B19" s="649">
        <f>IF(A19&lt;&gt;"",VLOOKUP($A19,$A$64:$N$201,2,0),"")</f>
        <v>110558</v>
      </c>
      <c r="C19" s="307">
        <f>IF(A19&lt;&gt;"",VLOOKUP($A19,$A$60:$N$201,3,0),"")</f>
        <v>54.27</v>
      </c>
      <c r="D19" s="309">
        <f>IF(A19&lt;&gt;"",VLOOKUP($A19,$A$60:$N$201,4,0),"")</f>
        <v>52</v>
      </c>
      <c r="E19" s="644">
        <f>IF(A19&lt;&gt;"",VLOOKUP($A19,$A$60:$N$201,5,0),"")</f>
        <v>44500</v>
      </c>
      <c r="F19" s="580">
        <f>IF($A19&lt;&gt;"",VLOOKUP($A19,$A$60:$N$201,6,0),"")</f>
        <v>54.28</v>
      </c>
      <c r="G19" s="327">
        <f>IF($A19&lt;&gt;"",VLOOKUP($A19,$A$60:$N$201,7,0),"")</f>
        <v>6.9999999999999993E-3</v>
      </c>
      <c r="H19" s="328">
        <f>IF($A19&lt;&gt;"",VLOOKUP($A19,$A$60:$N$201,8,0),"")</f>
        <v>53.6</v>
      </c>
      <c r="I19" s="329">
        <f>IF($A19&lt;&gt;"",VLOOKUP($A19,$A$60:$N$201,9,0),"")</f>
        <v>54.45</v>
      </c>
      <c r="J19" s="330">
        <f>IF($A19&lt;&gt;"",VLOOKUP($A19,$A$60:$N$201,10,0),"")</f>
        <v>53.53</v>
      </c>
      <c r="K19" s="331">
        <f>IF($A19&lt;&gt;"",VLOOKUP($A19,$A$60:$N$201,11,0),"")</f>
        <v>53.9</v>
      </c>
      <c r="L19" s="332">
        <f>IF($A19&lt;&gt;"",VLOOKUP($A19,$A$60:$N$201,12,0),"")</f>
        <v>68584755</v>
      </c>
      <c r="M19" s="331">
        <f>IF($A19&lt;&gt;"",VLOOKUP($A19,$A$60:$N$201,13,0),"")</f>
        <v>127356977</v>
      </c>
      <c r="N19" s="262">
        <f>IF($A19&lt;&gt;"",VLOOKUP($A19,$A$60:$N$201,14,0),"")</f>
        <v>53335</v>
      </c>
      <c r="O19" s="277">
        <f>IF($A19&lt;&gt;"",VLOOKUP($A19,$A$60:$O$201,15,0),"")</f>
        <v>45378.647210648145</v>
      </c>
      <c r="P19" s="288">
        <v>18</v>
      </c>
      <c r="Q19" s="569"/>
      <c r="R19" s="724"/>
      <c r="S19" s="711"/>
      <c r="T19" s="498"/>
      <c r="U19" s="348">
        <v>0</v>
      </c>
      <c r="V19" s="301"/>
      <c r="W19" s="543"/>
      <c r="X19" s="737"/>
      <c r="Y19" s="731">
        <f>IFERROR(INT($Z18/($D19*(1+$V$1)/100)),0)</f>
        <v>89</v>
      </c>
      <c r="Z19" s="670">
        <f>IFERROR($D19/100*INT($Y19),"")</f>
        <v>46.28</v>
      </c>
      <c r="AA19" s="765"/>
    </row>
    <row r="20" spans="1:41" ht="12.75" customHeight="1">
      <c r="A20" s="319" t="s">
        <v>15</v>
      </c>
      <c r="B20" s="648">
        <f>IF(A20&lt;&gt;"",VLOOKUP($A20,$A$64:$N$201,2,0),"")</f>
        <v>92674</v>
      </c>
      <c r="C20" s="308">
        <f>IF(A20&lt;&gt;"",VLOOKUP($A20,$A$60:$N$201,3,0),"")</f>
        <v>50.85</v>
      </c>
      <c r="D20" s="306">
        <f>IF(A20&lt;&gt;"",VLOOKUP($A20,$A$60:$N$201,4,0),"")</f>
        <v>50.9</v>
      </c>
      <c r="E20" s="645">
        <f>IF(A20&lt;&gt;"",VLOOKUP($A20,$A$60:$N$201,5,0),"")</f>
        <v>42393</v>
      </c>
      <c r="F20" s="579">
        <f>IF($A20&lt;&gt;"",VLOOKUP($A20,$A$60:$N$201,6,0),"")</f>
        <v>50.9</v>
      </c>
      <c r="G20" s="321">
        <f>IF($A20&lt;&gt;"",VLOOKUP($A20,$A$60:$N$201,7,0),"")</f>
        <v>9.8999999999999991E-3</v>
      </c>
      <c r="H20" s="333">
        <f>IF($A20&lt;&gt;"",VLOOKUP($A20,$A$60:$N$201,8,0),"")</f>
        <v>50.4</v>
      </c>
      <c r="I20" s="334">
        <f>IF($A20&lt;&gt;"",VLOOKUP($A20,$A$60:$N$201,9,0),"")</f>
        <v>50.9</v>
      </c>
      <c r="J20" s="335">
        <f>IF($A20&lt;&gt;"",VLOOKUP($A20,$A$60:$N$201,10,0),"")</f>
        <v>50.16</v>
      </c>
      <c r="K20" s="336">
        <f>IF($A20&lt;&gt;"",VLOOKUP($A20,$A$60:$N$201,11,0),"")</f>
        <v>50.4</v>
      </c>
      <c r="L20" s="337">
        <f>IF($A20&lt;&gt;"",VLOOKUP($A20,$A$60:$N$201,12,0),"")</f>
        <v>24156422</v>
      </c>
      <c r="M20" s="336">
        <f>IF($A20&lt;&gt;"",VLOOKUP($A20,$A$60:$N$201,13,0),"")</f>
        <v>47776634</v>
      </c>
      <c r="N20" s="259">
        <f>IF($A20&lt;&gt;"",VLOOKUP($A20,$A$60:$N$201,14,0),"")</f>
        <v>7508</v>
      </c>
      <c r="O20" s="275">
        <f>IF($A20&lt;&gt;"",VLOOKUP($A20,$A$60:$O$201,15,0),"")</f>
        <v>45378.647187499999</v>
      </c>
      <c r="P20" s="289">
        <v>19</v>
      </c>
      <c r="Q20" s="570"/>
      <c r="R20" s="721"/>
      <c r="S20" s="709"/>
      <c r="T20" s="497"/>
      <c r="U20" s="347">
        <v>0</v>
      </c>
      <c r="V20" s="300"/>
      <c r="W20" s="565"/>
      <c r="X20" s="739"/>
      <c r="Y20" s="732">
        <f t="shared" ref="Y20" si="2">Y19</f>
        <v>89</v>
      </c>
      <c r="Z20" s="669">
        <f>IFERROR($C20*(1-$V$1)/100*INT($Y20),"")</f>
        <v>45.256500000000003</v>
      </c>
      <c r="AA20" s="766">
        <f>IFERROR($Z20-$Z21,"")</f>
        <v>0.22200000000000131</v>
      </c>
    </row>
    <row r="21" spans="1:41" ht="12.75" customHeight="1">
      <c r="A21" s="591" t="s">
        <v>557</v>
      </c>
      <c r="B21" s="660">
        <f>IF(A21&lt;&gt;"",VLOOKUP($A21,$A$64:$N$201,2,0),"")</f>
        <v>100</v>
      </c>
      <c r="C21" s="359">
        <f>IF(A21&lt;&gt;"",VLOOKUP($A21,$A$60:$N$201,3,0),"")</f>
        <v>42.8</v>
      </c>
      <c r="D21" s="761">
        <f>IF(A21&lt;&gt;"",VLOOKUP($A21,$A$60:$N$201,4,0),"")</f>
        <v>42.89</v>
      </c>
      <c r="E21" s="762">
        <f>IF(A21&lt;&gt;"",VLOOKUP($A21,$A$60:$N$201,5,0),"")</f>
        <v>94</v>
      </c>
      <c r="F21" s="581">
        <f>IF($A21&lt;&gt;"",VLOOKUP($A21,$A$60:$N$201,6,0),"")</f>
        <v>42.9</v>
      </c>
      <c r="G21" s="350">
        <f>IF($A21&lt;&gt;"",VLOOKUP($A21,$A$60:$N$201,7,0),"")</f>
        <v>-1.37E-2</v>
      </c>
      <c r="H21" s="351">
        <f>IF($A21&lt;&gt;"",VLOOKUP($A21,$A$60:$N$201,8,0),"")</f>
        <v>42.91</v>
      </c>
      <c r="I21" s="352">
        <f>IF($A21&lt;&gt;"",VLOOKUP($A21,$A$60:$N$201,9,0),"")</f>
        <v>42.91</v>
      </c>
      <c r="J21" s="353">
        <f>IF($A21&lt;&gt;"",VLOOKUP($A21,$A$60:$N$201,10,0),"")</f>
        <v>42.89</v>
      </c>
      <c r="K21" s="354">
        <f>IF($A21&lt;&gt;"",VLOOKUP($A21,$A$60:$N$201,11,0),"")</f>
        <v>43.5</v>
      </c>
      <c r="L21" s="355">
        <f>IF($A21&lt;&gt;"",VLOOKUP($A21,$A$60:$N$201,12,0),"")</f>
        <v>6782</v>
      </c>
      <c r="M21" s="354">
        <f>IF($A21&lt;&gt;"",VLOOKUP($A21,$A$60:$N$201,13,0),"")</f>
        <v>15806</v>
      </c>
      <c r="N21" s="356">
        <f>IF($A21&lt;&gt;"",VLOOKUP($A21,$A$60:$N$201,14,0),"")</f>
        <v>3</v>
      </c>
      <c r="O21" s="365">
        <f>IF($A21&lt;&gt;"",VLOOKUP($A21,$A$60:$O$201,15,0),"")</f>
        <v>45378.482256944444</v>
      </c>
      <c r="P21" s="288">
        <v>20</v>
      </c>
      <c r="Q21" s="358"/>
      <c r="R21" s="726"/>
      <c r="S21" s="712"/>
      <c r="T21" s="493"/>
      <c r="U21" s="267">
        <v>0</v>
      </c>
      <c r="V21" s="301"/>
      <c r="W21" s="420"/>
      <c r="X21" s="742"/>
      <c r="Y21" s="757">
        <f>IFERROR($Z20/($D21*(1+$V$1)/100),0)</f>
        <v>105.51760317090232</v>
      </c>
      <c r="Z21" s="674">
        <f>IFERROR($D21/100*INT($Y21),"")</f>
        <v>45.034500000000001</v>
      </c>
      <c r="AA21" s="773"/>
    </row>
    <row r="22" spans="1:41" ht="12.75" customHeight="1">
      <c r="A22" s="571" t="s">
        <v>13</v>
      </c>
      <c r="B22" s="652">
        <f>IF(A22&lt;&gt;"",VLOOKUP($A22,$A$64:$N$201,2,0),"")</f>
        <v>16480</v>
      </c>
      <c r="C22" s="308">
        <f>IF(A22&lt;&gt;"",VLOOKUP($A22,$A$60:$N$201,3,0),"")</f>
        <v>54250</v>
      </c>
      <c r="D22" s="308">
        <f>IF(A22&lt;&gt;"",VLOOKUP($A22,$A$60:$N$201,4,0),"")</f>
        <v>54270</v>
      </c>
      <c r="E22" s="652">
        <f>IF(A22&lt;&gt;"",VLOOKUP($A22,$A$60:$N$201,5,0),"")</f>
        <v>45516</v>
      </c>
      <c r="F22" s="640">
        <f>IF($A22&lt;&gt;"",VLOOKUP($A22,$A$60:$N$201,6,0),"")</f>
        <v>54250</v>
      </c>
      <c r="G22" s="321">
        <f>IF($A22&lt;&gt;"",VLOOKUP($A22,$A$60:$N$201,7,0),"")</f>
        <v>-2.3E-3</v>
      </c>
      <c r="H22" s="322">
        <f>IF($A22&lt;&gt;"",VLOOKUP($A22,$A$60:$N$201,8,0),"")</f>
        <v>54800</v>
      </c>
      <c r="I22" s="323">
        <f>IF($A22&lt;&gt;"",VLOOKUP($A22,$A$60:$N$201,9,0),"")</f>
        <v>54920</v>
      </c>
      <c r="J22" s="324">
        <f>IF($A22&lt;&gt;"",VLOOKUP($A22,$A$60:$N$201,10,0),"")</f>
        <v>54010</v>
      </c>
      <c r="K22" s="325">
        <f>IF($A22&lt;&gt;"",VLOOKUP($A22,$A$60:$N$201,11,0),"")</f>
        <v>54380</v>
      </c>
      <c r="L22" s="326">
        <f>IF($A22&lt;&gt;"",VLOOKUP($A22,$A$60:$N$201,12,0),"")</f>
        <v>91775172553</v>
      </c>
      <c r="M22" s="517">
        <f>IF($A22&lt;&gt;"",VLOOKUP($A22,$A$60:$N$201,13,0),"")</f>
        <v>168775546</v>
      </c>
      <c r="N22" s="252">
        <f>IF($A22&lt;&gt;"",VLOOKUP($A22,$A$60:$N$201,14,0),"")</f>
        <v>71497</v>
      </c>
      <c r="O22" s="278">
        <f>IF($A22&lt;&gt;"",VLOOKUP($A22,$A$60:$O$201,15,0),"")</f>
        <v>45378.647210648145</v>
      </c>
      <c r="P22" s="289">
        <v>21</v>
      </c>
      <c r="Q22" s="547"/>
      <c r="R22" s="725"/>
      <c r="S22" s="713"/>
      <c r="T22" s="492"/>
      <c r="U22" s="530"/>
      <c r="V22" s="300"/>
      <c r="W22" s="542"/>
      <c r="X22" s="743"/>
      <c r="Y22" s="733" t="str">
        <f t="shared" ref="Y22:Y44" si="3">IF(V22&gt;0,V22,"")</f>
        <v/>
      </c>
      <c r="Z22" s="505">
        <f>C22/100*V22-(X22*V22)</f>
        <v>0</v>
      </c>
      <c r="AA22" s="675" t="str">
        <f>IF(V22&lt;&gt;0,F22/100*V22,"")</f>
        <v/>
      </c>
    </row>
    <row r="23" spans="1:41" ht="12.75" customHeight="1">
      <c r="A23" s="572" t="s">
        <v>13</v>
      </c>
      <c r="B23" s="653">
        <f>IF(A23&lt;&gt;"",VLOOKUP($A23,$A$64:$N$201,2,0),"")</f>
        <v>16480</v>
      </c>
      <c r="C23" s="309">
        <f>IF(A23&lt;&gt;"",VLOOKUP($A23,$A$60:$N$201,3,0),"")</f>
        <v>54250</v>
      </c>
      <c r="D23" s="574">
        <f>IF(A23&lt;&gt;"",VLOOKUP($A23,$A$60:$N$201,4,0),"")</f>
        <v>54270</v>
      </c>
      <c r="E23" s="653">
        <f>IF(A23&lt;&gt;"",VLOOKUP($A23,$A$60:$N$201,5,0),"")</f>
        <v>45516</v>
      </c>
      <c r="F23" s="641">
        <f>IF($A23&lt;&gt;"",VLOOKUP($A23,$A$60:$N$201,6,0),"")</f>
        <v>54250</v>
      </c>
      <c r="G23" s="327">
        <f>IF($A23&lt;&gt;"",VLOOKUP($A23,$A$60:$N$201,7,0),"")</f>
        <v>-2.3E-3</v>
      </c>
      <c r="H23" s="338">
        <f>IF($A23&lt;&gt;"",VLOOKUP($A23,$A$60:$N$201,8,0),"")</f>
        <v>54800</v>
      </c>
      <c r="I23" s="339">
        <f>IF($A23&lt;&gt;"",VLOOKUP($A23,$A$60:$N$201,9,0),"")</f>
        <v>54920</v>
      </c>
      <c r="J23" s="340">
        <f>IF($A23&lt;&gt;"",VLOOKUP($A23,$A$60:$N$201,10,0),"")</f>
        <v>54010</v>
      </c>
      <c r="K23" s="341">
        <f>IF($A23&lt;&gt;"",VLOOKUP($A23,$A$60:$N$201,11,0),"")</f>
        <v>54380</v>
      </c>
      <c r="L23" s="342">
        <f>IF($A23&lt;&gt;"",VLOOKUP($A23,$A$60:$N$201,12,0),"")</f>
        <v>91775172553</v>
      </c>
      <c r="M23" s="519">
        <f>IF($A23&lt;&gt;"",VLOOKUP($A23,$A$60:$N$201,13,0),"")</f>
        <v>168775546</v>
      </c>
      <c r="N23" s="235">
        <f>IF($A23&lt;&gt;"",VLOOKUP($A23,$A$60:$N$201,14,0),"")</f>
        <v>71497</v>
      </c>
      <c r="O23" s="279">
        <f>IF($A23&lt;&gt;"",VLOOKUP($A23,$A$60:$O$201,15,0),"")</f>
        <v>45378.647210648145</v>
      </c>
      <c r="P23" s="288">
        <v>22</v>
      </c>
      <c r="Q23" s="263"/>
      <c r="R23" s="718"/>
      <c r="S23" s="706"/>
      <c r="T23" s="494"/>
      <c r="U23" s="531"/>
      <c r="V23" s="301"/>
      <c r="W23" s="543"/>
      <c r="X23" s="737"/>
      <c r="Y23" s="734" t="str">
        <f t="shared" si="3"/>
        <v/>
      </c>
      <c r="Z23" s="545">
        <f t="shared" ref="Z23:Z29" si="4">C23/100*V23-(X23*V23)</f>
        <v>0</v>
      </c>
      <c r="AA23" s="676" t="str">
        <f t="shared" ref="AA23:AA29" si="5">IF(V23&lt;&gt;0,F23/100*V23,"")</f>
        <v/>
      </c>
    </row>
    <row r="24" spans="1:41" ht="12.75" customHeight="1">
      <c r="A24" s="308" t="s">
        <v>13</v>
      </c>
      <c r="B24" s="652">
        <f>IF(A24&lt;&gt;"",VLOOKUP($A24,$A$64:$N$201,2,0),"")</f>
        <v>16480</v>
      </c>
      <c r="C24" s="308">
        <f>IF(A24&lt;&gt;"",VLOOKUP($A24,$A$60:$N$201,3,0),"")</f>
        <v>54250</v>
      </c>
      <c r="D24" s="308">
        <f>IF(A24&lt;&gt;"",VLOOKUP($A24,$A$60:$N$201,4,0),"")</f>
        <v>54270</v>
      </c>
      <c r="E24" s="652">
        <f>IF(A24&lt;&gt;"",VLOOKUP($A24,$A$60:$N$201,5,0),"")</f>
        <v>45516</v>
      </c>
      <c r="F24" s="640">
        <f>IF($A24&lt;&gt;"",VLOOKUP($A24,$A$60:$N$201,6,0),"")</f>
        <v>54250</v>
      </c>
      <c r="G24" s="321">
        <f>IF($A24&lt;&gt;"",VLOOKUP($A24,$A$60:$N$201,7,0),"")</f>
        <v>-2.3E-3</v>
      </c>
      <c r="H24" s="322">
        <f>IF($A24&lt;&gt;"",VLOOKUP($A24,$A$60:$N$201,8,0),"")</f>
        <v>54800</v>
      </c>
      <c r="I24" s="227">
        <f>IF($A24&lt;&gt;"",VLOOKUP($A24,$A$60:$N$201,9,0),"")</f>
        <v>54920</v>
      </c>
      <c r="J24" s="324">
        <f>IF($A24&lt;&gt;"",VLOOKUP($A24,$A$60:$N$201,10,0),"")</f>
        <v>54010</v>
      </c>
      <c r="K24" s="325">
        <f>IF($A24&lt;&gt;"",VLOOKUP($A24,$A$60:$N$201,11,0),"")</f>
        <v>54380</v>
      </c>
      <c r="L24" s="326">
        <f>IF($A24&lt;&gt;"",VLOOKUP($A24,$A$60:$N$201,12,0),"")</f>
        <v>91775172553</v>
      </c>
      <c r="M24" s="518">
        <f>IF($A24&lt;&gt;"",VLOOKUP($A24,$A$60:$N$201,13,0),"")</f>
        <v>168775546</v>
      </c>
      <c r="N24" s="252">
        <f>IF($A24&lt;&gt;"",VLOOKUP($A24,$A$60:$N$201,14,0),"")</f>
        <v>71497</v>
      </c>
      <c r="O24" s="278">
        <f>IF($A24&lt;&gt;"",VLOOKUP($A24,$A$60:$O$201,15,0),"")</f>
        <v>45378.647210648145</v>
      </c>
      <c r="P24" s="289">
        <v>23</v>
      </c>
      <c r="Q24" s="265"/>
      <c r="R24" s="719"/>
      <c r="S24" s="707"/>
      <c r="T24" s="492"/>
      <c r="U24" s="530"/>
      <c r="V24" s="300"/>
      <c r="W24" s="544"/>
      <c r="X24" s="738"/>
      <c r="Y24" s="733" t="str">
        <f t="shared" si="3"/>
        <v/>
      </c>
      <c r="Z24" s="546">
        <f t="shared" si="4"/>
        <v>0</v>
      </c>
      <c r="AA24" s="675" t="str">
        <f t="shared" si="5"/>
        <v/>
      </c>
    </row>
    <row r="25" spans="1:41" ht="12.75" customHeight="1">
      <c r="A25" s="573" t="s">
        <v>13</v>
      </c>
      <c r="B25" s="654">
        <f>IF(A25&lt;&gt;"",VLOOKUP($A25,$A$64:$N$201,2,0),"")</f>
        <v>16480</v>
      </c>
      <c r="C25" s="666">
        <f>IF(A25&lt;&gt;"",VLOOKUP($A25,$A$60:$N$201,3,0),"")</f>
        <v>54250</v>
      </c>
      <c r="D25" s="573">
        <f>IF(A25&lt;&gt;"",VLOOKUP($A25,$A$60:$N$201,4,0),"")</f>
        <v>54270</v>
      </c>
      <c r="E25" s="654">
        <f>IF(A25&lt;&gt;"",VLOOKUP($A25,$A$60:$N$201,5,0),"")</f>
        <v>45516</v>
      </c>
      <c r="F25" s="642">
        <f>IF($A25&lt;&gt;"",VLOOKUP($A25,$A$60:$N$201,6,0),"")</f>
        <v>54250</v>
      </c>
      <c r="G25" s="350">
        <f>IF($A25&lt;&gt;"",VLOOKUP($A25,$A$60:$N$201,7,0),"")</f>
        <v>-2.3E-3</v>
      </c>
      <c r="H25" s="351">
        <f>IF($A25&lt;&gt;"",VLOOKUP($A25,$A$60:$N$201,8,0),"")</f>
        <v>54800</v>
      </c>
      <c r="I25" s="352">
        <f>IF($A25&lt;&gt;"",VLOOKUP($A25,$A$60:$N$201,9,0),"")</f>
        <v>54920</v>
      </c>
      <c r="J25" s="353">
        <f>IF($A25&lt;&gt;"",VLOOKUP($A25,$A$60:$N$201,10,0),"")</f>
        <v>54010</v>
      </c>
      <c r="K25" s="354">
        <f>IF($A25&lt;&gt;"",VLOOKUP($A25,$A$60:$N$201,11,0),"")</f>
        <v>54380</v>
      </c>
      <c r="L25" s="355">
        <f>IF($A25&lt;&gt;"",VLOOKUP($A25,$A$60:$N$201,12,0),"")</f>
        <v>91775172553</v>
      </c>
      <c r="M25" s="520">
        <f>IF($A25&lt;&gt;"",VLOOKUP($A25,$A$60:$N$201,13,0),"")</f>
        <v>168775546</v>
      </c>
      <c r="N25" s="356">
        <f>IF($A25&lt;&gt;"",VLOOKUP($A25,$A$60:$N$201,14,0),"")</f>
        <v>71497</v>
      </c>
      <c r="O25" s="357">
        <f>IF($A25&lt;&gt;"",VLOOKUP($A25,$A$60:$O$201,15,0),"")</f>
        <v>45378.647210648145</v>
      </c>
      <c r="P25" s="288">
        <v>24</v>
      </c>
      <c r="Q25" s="358"/>
      <c r="R25" s="727"/>
      <c r="S25" s="712"/>
      <c r="T25" s="500"/>
      <c r="U25" s="532"/>
      <c r="V25" s="522"/>
      <c r="W25" s="420"/>
      <c r="X25" s="742"/>
      <c r="Y25" s="735" t="str">
        <f t="shared" si="3"/>
        <v/>
      </c>
      <c r="Z25" s="419">
        <f t="shared" si="4"/>
        <v>0</v>
      </c>
      <c r="AA25" s="677" t="str">
        <f t="shared" si="5"/>
        <v/>
      </c>
    </row>
    <row r="26" spans="1:41" ht="12.75" customHeight="1">
      <c r="A26" s="571" t="s">
        <v>13</v>
      </c>
      <c r="B26" s="652">
        <f>IF(A26&lt;&gt;"",VLOOKUP($A26,$A$64:$N$201,2,0),"")</f>
        <v>16480</v>
      </c>
      <c r="C26" s="308">
        <f>IF(A26&lt;&gt;"",VLOOKUP($A26,$A$60:$N$201,3,0),"")</f>
        <v>54250</v>
      </c>
      <c r="D26" s="308">
        <f>IF(A26&lt;&gt;"",VLOOKUP($A26,$A$60:$N$201,4,0),"")</f>
        <v>54270</v>
      </c>
      <c r="E26" s="652">
        <f>IF(A26&lt;&gt;"",VLOOKUP($A26,$A$60:$N$201,5,0),"")</f>
        <v>45516</v>
      </c>
      <c r="F26" s="640">
        <f>IF($A26&lt;&gt;"",VLOOKUP($A26,$A$60:$N$201,6,0),"")</f>
        <v>54250</v>
      </c>
      <c r="G26" s="310">
        <f>IF($A26&lt;&gt;"",VLOOKUP($A26,$A$60:$N$201,7,0),"")</f>
        <v>-2.3E-3</v>
      </c>
      <c r="H26" s="238">
        <f>IF($A26&lt;&gt;"",VLOOKUP($A26,$A$60:$N$201,8,0),"")</f>
        <v>54800</v>
      </c>
      <c r="I26" s="230">
        <f>IF($A26&lt;&gt;"",VLOOKUP($A26,$A$60:$N$201,9,0),"")</f>
        <v>54920</v>
      </c>
      <c r="J26" s="284">
        <f>IF($A26&lt;&gt;"",VLOOKUP($A26,$A$60:$N$201,10,0),"")</f>
        <v>54010</v>
      </c>
      <c r="K26" s="234">
        <f>IF($A26&lt;&gt;"",VLOOKUP($A26,$A$60:$N$201,11,0),"")</f>
        <v>54380</v>
      </c>
      <c r="L26" s="252">
        <f>IF($A26&lt;&gt;"",VLOOKUP($A26,$A$60:$N$201,12,0),"")</f>
        <v>91775172553</v>
      </c>
      <c r="M26" s="517">
        <f>IF($A26&lt;&gt;"",VLOOKUP($A26,$A$60:$N$201,13,0),"")</f>
        <v>168775546</v>
      </c>
      <c r="N26" s="252">
        <f>IF($A26&lt;&gt;"",VLOOKUP($A26,$A$60:$N$201,14,0),"")</f>
        <v>71497</v>
      </c>
      <c r="O26" s="276">
        <f>IF($A26&lt;&gt;"",VLOOKUP($A26,$A$60:$O$201,15,0),"")</f>
        <v>45378.647210648145</v>
      </c>
      <c r="P26" s="289">
        <v>25</v>
      </c>
      <c r="Q26" s="547"/>
      <c r="R26" s="719"/>
      <c r="S26" s="713"/>
      <c r="T26" s="492"/>
      <c r="U26" s="530"/>
      <c r="V26" s="595"/>
      <c r="W26" s="544"/>
      <c r="X26" s="738"/>
      <c r="Y26" s="733" t="str">
        <f t="shared" si="3"/>
        <v/>
      </c>
      <c r="Z26" s="546">
        <f t="shared" si="4"/>
        <v>0</v>
      </c>
      <c r="AA26" s="675" t="str">
        <f t="shared" si="5"/>
        <v/>
      </c>
      <c r="AC26" s="226"/>
    </row>
    <row r="27" spans="1:41" ht="12.75" customHeight="1">
      <c r="A27" s="599" t="s">
        <v>13</v>
      </c>
      <c r="B27" s="653">
        <f>IF(A27&lt;&gt;"",VLOOKUP($A27,$A$64:$N$201,2,0),"")</f>
        <v>16480</v>
      </c>
      <c r="C27" s="309">
        <f>IF(A27&lt;&gt;"",VLOOKUP($A27,$A$60:$N$201,3,0),"")</f>
        <v>54250</v>
      </c>
      <c r="D27" s="574">
        <f>IF(A27&lt;&gt;"",VLOOKUP($A27,$A$60:$N$201,4,0),"")</f>
        <v>54270</v>
      </c>
      <c r="E27" s="653">
        <f>IF(A27&lt;&gt;"",VLOOKUP($A27,$A$60:$N$201,5,0),"")</f>
        <v>45516</v>
      </c>
      <c r="F27" s="641">
        <f>IF($A27&lt;&gt;"",VLOOKUP($A27,$A$60:$N$201,6,0),"")</f>
        <v>54250</v>
      </c>
      <c r="G27" s="311">
        <f>IF($A27&lt;&gt;"",VLOOKUP($A27,$A$60:$N$201,7,0),"")</f>
        <v>-2.3E-3</v>
      </c>
      <c r="H27" s="508">
        <f>IF($A27&lt;&gt;"",VLOOKUP($A27,$A$60:$N$201,8,0),"")</f>
        <v>54800</v>
      </c>
      <c r="I27" s="509">
        <f>IF($A27&lt;&gt;"",VLOOKUP($A27,$A$60:$N$201,9,0),"")</f>
        <v>54920</v>
      </c>
      <c r="J27" s="510">
        <f>IF($A27&lt;&gt;"",VLOOKUP($A27,$A$60:$N$201,10,0),"")</f>
        <v>54010</v>
      </c>
      <c r="K27" s="511">
        <f>IF($A27&lt;&gt;"",VLOOKUP($A27,$A$60:$N$201,11,0),"")</f>
        <v>54380</v>
      </c>
      <c r="L27" s="512">
        <f>IF($A27&lt;&gt;"",VLOOKUP($A27,$A$60:$N$201,12,0),"")</f>
        <v>91775172553</v>
      </c>
      <c r="M27" s="519">
        <f>IF($A27&lt;&gt;"",VLOOKUP($A27,$A$60:$N$201,13,0),"")</f>
        <v>168775546</v>
      </c>
      <c r="N27" s="512">
        <f>IF($A27&lt;&gt;"",VLOOKUP($A27,$A$60:$N$201,14,0),"")</f>
        <v>71497</v>
      </c>
      <c r="O27" s="513">
        <f>IF($A27&lt;&gt;"",VLOOKUP($A27,$A$60:$O$201,15,0),"")</f>
        <v>45378.647210648145</v>
      </c>
      <c r="P27" s="288">
        <v>26</v>
      </c>
      <c r="Q27" s="548"/>
      <c r="R27" s="728"/>
      <c r="S27" s="706"/>
      <c r="T27" s="494"/>
      <c r="U27" s="531"/>
      <c r="V27" s="596"/>
      <c r="W27" s="543"/>
      <c r="X27" s="737"/>
      <c r="Y27" s="734" t="str">
        <f t="shared" si="3"/>
        <v/>
      </c>
      <c r="Z27" s="545">
        <f t="shared" si="4"/>
        <v>0</v>
      </c>
      <c r="AA27" s="676" t="str">
        <f t="shared" si="5"/>
        <v/>
      </c>
    </row>
    <row r="28" spans="1:41" ht="12.75" customHeight="1">
      <c r="A28" s="308" t="s">
        <v>13</v>
      </c>
      <c r="B28" s="652">
        <f>IF(A28&lt;&gt;"",VLOOKUP($A28,$A$64:$N$201,2,0),"")</f>
        <v>16480</v>
      </c>
      <c r="C28" s="308">
        <f>IF(A28&lt;&gt;"",VLOOKUP($A28,$A$60:$N$201,3,0),"")</f>
        <v>54250</v>
      </c>
      <c r="D28" s="308">
        <f>IF(A28&lt;&gt;"",VLOOKUP($A28,$A$60:$N$201,4,0),"")</f>
        <v>54270</v>
      </c>
      <c r="E28" s="652">
        <f>IF(A28&lt;&gt;"",VLOOKUP($A28,$A$60:$N$201,5,0),"")</f>
        <v>45516</v>
      </c>
      <c r="F28" s="640">
        <f>IF($A28&lt;&gt;"",VLOOKUP($A28,$A$60:$N$201,6,0),"")</f>
        <v>54250</v>
      </c>
      <c r="G28" s="310">
        <f>IF($A28&lt;&gt;"",VLOOKUP($A28,$A$60:$N$201,7,0),"")</f>
        <v>-2.3E-3</v>
      </c>
      <c r="H28" s="236">
        <f>IF($A28&lt;&gt;"",VLOOKUP($A28,$A$60:$N$201,8,0),"")</f>
        <v>54800</v>
      </c>
      <c r="I28" s="227">
        <f>IF($A28&lt;&gt;"",VLOOKUP($A28,$A$60:$N$201,9,0),"")</f>
        <v>54920</v>
      </c>
      <c r="J28" s="227">
        <f>IF($A28&lt;&gt;"",VLOOKUP($A28,$A$60:$N$201,10,0),"")</f>
        <v>54010</v>
      </c>
      <c r="K28" s="231">
        <f>IF($A28&lt;&gt;"",VLOOKUP($A28,$A$60:$N$201,11,0),"")</f>
        <v>54380</v>
      </c>
      <c r="L28" s="259">
        <f>IF($A28&lt;&gt;"",VLOOKUP($A28,$A$60:$N$201,12,0),"")</f>
        <v>91775172553</v>
      </c>
      <c r="M28" s="518">
        <f>IF($A28&lt;&gt;"",VLOOKUP($A28,$A$60:$N$201,13,0),"")</f>
        <v>168775546</v>
      </c>
      <c r="N28" s="259">
        <f>IF($A28&lt;&gt;"",VLOOKUP($A28,$A$60:$N$201,14,0),"")</f>
        <v>71497</v>
      </c>
      <c r="O28" s="275">
        <f>IF($A28&lt;&gt;"",VLOOKUP($A28,$A$60:$O$201,15,0),"")</f>
        <v>45378.647210648145</v>
      </c>
      <c r="P28" s="289">
        <v>27</v>
      </c>
      <c r="Q28" s="549"/>
      <c r="R28" s="721"/>
      <c r="S28" s="707"/>
      <c r="T28" s="492"/>
      <c r="U28" s="530"/>
      <c r="V28" s="595"/>
      <c r="W28" s="544"/>
      <c r="X28" s="738"/>
      <c r="Y28" s="733" t="str">
        <f t="shared" si="3"/>
        <v/>
      </c>
      <c r="Z28" s="546">
        <f t="shared" si="4"/>
        <v>0</v>
      </c>
      <c r="AA28" s="675" t="str">
        <f t="shared" si="5"/>
        <v/>
      </c>
    </row>
    <row r="29" spans="1:41" ht="12.75" customHeight="1">
      <c r="A29" s="573" t="s">
        <v>13</v>
      </c>
      <c r="B29" s="654">
        <f>IF(A29&lt;&gt;"",VLOOKUP($A29,$A$64:$N$201,2,0),"")</f>
        <v>16480</v>
      </c>
      <c r="C29" s="666">
        <f>IF(A29&lt;&gt;"",VLOOKUP($A29,$A$60:$N$201,3,0),"")</f>
        <v>54250</v>
      </c>
      <c r="D29" s="573">
        <f>IF(A29&lt;&gt;"",VLOOKUP($A29,$A$60:$N$201,4,0),"")</f>
        <v>54270</v>
      </c>
      <c r="E29" s="654">
        <f>IF(A29&lt;&gt;"",VLOOKUP($A29,$A$60:$N$201,5,0),"")</f>
        <v>45516</v>
      </c>
      <c r="F29" s="642">
        <f>IF($A29&lt;&gt;"",VLOOKUP($A29,$A$60:$N$201,6,0),"")</f>
        <v>54250</v>
      </c>
      <c r="G29" s="360">
        <f>IF($A29&lt;&gt;"",VLOOKUP($A29,$A$60:$N$201,7,0),"")</f>
        <v>-2.3E-3</v>
      </c>
      <c r="H29" s="361">
        <f>IF($A29&lt;&gt;"",VLOOKUP($A29,$A$60:$N$201,8,0),"")</f>
        <v>54800</v>
      </c>
      <c r="I29" s="362">
        <f>IF($A29&lt;&gt;"",VLOOKUP($A29,$A$60:$N$201,9,0),"")</f>
        <v>54920</v>
      </c>
      <c r="J29" s="363">
        <f>IF($A29&lt;&gt;"",VLOOKUP($A29,$A$60:$N$201,10,0),"")</f>
        <v>54010</v>
      </c>
      <c r="K29" s="364">
        <f>IF($A29&lt;&gt;"",VLOOKUP($A29,$A$60:$N$201,11,0),"")</f>
        <v>54380</v>
      </c>
      <c r="L29" s="356">
        <f>IF($A29&lt;&gt;"",VLOOKUP($A29,$A$60:$N$201,12,0),"")</f>
        <v>91775172553</v>
      </c>
      <c r="M29" s="520">
        <f>IF($A29&lt;&gt;"",VLOOKUP($A29,$A$60:$N$201,13,0),"")</f>
        <v>168775546</v>
      </c>
      <c r="N29" s="356">
        <f>IF($A29&lt;&gt;"",VLOOKUP($A29,$A$60:$N$201,14,0),"")</f>
        <v>71497</v>
      </c>
      <c r="O29" s="365">
        <f>IF($A29&lt;&gt;"",VLOOKUP($A29,$A$60:$O$201,15,0),"")</f>
        <v>45378.647210648145</v>
      </c>
      <c r="P29" s="288">
        <v>28</v>
      </c>
      <c r="Q29" s="358"/>
      <c r="R29" s="726"/>
      <c r="S29" s="712"/>
      <c r="T29" s="493"/>
      <c r="U29" s="531"/>
      <c r="V29" s="597"/>
      <c r="W29" s="420"/>
      <c r="X29" s="742"/>
      <c r="Y29" s="735" t="str">
        <f t="shared" si="3"/>
        <v/>
      </c>
      <c r="Z29" s="419">
        <f t="shared" si="4"/>
        <v>0</v>
      </c>
      <c r="AA29" s="677" t="str">
        <f t="shared" si="5"/>
        <v/>
      </c>
    </row>
    <row r="30" spans="1:41" ht="12.75" customHeight="1">
      <c r="A30" s="485" t="s">
        <v>590</v>
      </c>
      <c r="B30" s="249"/>
      <c r="C30" s="306">
        <v>129.77000000000001</v>
      </c>
      <c r="D30" s="256"/>
      <c r="E30" s="249"/>
      <c r="F30" s="576">
        <v>129.77000000000001</v>
      </c>
      <c r="G30" s="310"/>
      <c r="H30" s="238"/>
      <c r="I30" s="230"/>
      <c r="J30" s="284"/>
      <c r="K30" s="234"/>
      <c r="L30" s="252"/>
      <c r="M30" s="521"/>
      <c r="N30" s="502">
        <v>77</v>
      </c>
      <c r="O30" s="278">
        <v>45377.640717592592</v>
      </c>
      <c r="P30" s="289">
        <v>29</v>
      </c>
      <c r="Q30" s="551"/>
      <c r="R30" s="719"/>
      <c r="S30" s="713"/>
      <c r="T30" s="492"/>
      <c r="U30" s="594"/>
      <c r="V30" s="595"/>
      <c r="W30" s="550"/>
      <c r="X30" s="743"/>
      <c r="Y30" s="678" t="str">
        <f t="shared" si="3"/>
        <v/>
      </c>
      <c r="Z30" s="555">
        <f t="shared" ref="Z30:Z44" si="6">C30*100*V30-(X30*V30)</f>
        <v>0</v>
      </c>
      <c r="AA30" s="675" t="str">
        <f>IF(V30&lt;&gt;0,F30*100*V30,"")</f>
        <v/>
      </c>
    </row>
    <row r="31" spans="1:41" ht="12.75" customHeight="1">
      <c r="A31" s="486" t="s">
        <v>591</v>
      </c>
      <c r="B31" s="655"/>
      <c r="C31" s="239">
        <v>86.34</v>
      </c>
      <c r="D31" s="239"/>
      <c r="E31" s="655"/>
      <c r="F31" s="582">
        <v>86.34</v>
      </c>
      <c r="G31" s="312"/>
      <c r="H31" s="237"/>
      <c r="I31" s="228"/>
      <c r="J31" s="282"/>
      <c r="K31" s="232"/>
      <c r="L31" s="235"/>
      <c r="M31" s="235"/>
      <c r="N31" s="503">
        <v>266</v>
      </c>
      <c r="O31" s="279">
        <v>45377.650416666664</v>
      </c>
      <c r="P31" s="288">
        <v>30</v>
      </c>
      <c r="Q31" s="552"/>
      <c r="R31" s="718"/>
      <c r="S31" s="706"/>
      <c r="T31" s="494"/>
      <c r="U31" s="531"/>
      <c r="V31" s="596">
        <v>0</v>
      </c>
      <c r="W31" s="543"/>
      <c r="X31" s="737"/>
      <c r="Y31" s="679" t="str">
        <f t="shared" si="3"/>
        <v/>
      </c>
      <c r="Z31" s="556">
        <f t="shared" si="6"/>
        <v>0</v>
      </c>
      <c r="AA31" s="676" t="str">
        <f t="shared" ref="AA31:AA44" si="7">IF(V31&lt;&gt;0,F31*100*V31,"")</f>
        <v/>
      </c>
    </row>
    <row r="32" spans="1:41" ht="12.75" customHeight="1">
      <c r="A32" s="485" t="s">
        <v>592</v>
      </c>
      <c r="B32" s="249"/>
      <c r="C32" s="306">
        <v>40.01</v>
      </c>
      <c r="D32" s="256"/>
      <c r="E32" s="249"/>
      <c r="F32" s="576">
        <v>40.01</v>
      </c>
      <c r="G32" s="310"/>
      <c r="H32" s="240"/>
      <c r="I32" s="229"/>
      <c r="J32" s="287"/>
      <c r="K32" s="233"/>
      <c r="L32" s="248"/>
      <c r="M32" s="248"/>
      <c r="N32" s="504">
        <v>148</v>
      </c>
      <c r="O32" s="280">
        <v>45377.663206018522</v>
      </c>
      <c r="P32" s="289">
        <v>31</v>
      </c>
      <c r="Q32" s="553"/>
      <c r="R32" s="729"/>
      <c r="S32" s="714"/>
      <c r="T32" s="495"/>
      <c r="U32" s="594"/>
      <c r="V32" s="595"/>
      <c r="W32" s="550"/>
      <c r="X32" s="743"/>
      <c r="Y32" s="680" t="str">
        <f t="shared" si="3"/>
        <v/>
      </c>
      <c r="Z32" s="557">
        <f t="shared" si="6"/>
        <v>0</v>
      </c>
      <c r="AA32" s="675" t="str">
        <f t="shared" si="7"/>
        <v/>
      </c>
    </row>
    <row r="33" spans="1:27" ht="12.75" customHeight="1">
      <c r="A33" s="486" t="s">
        <v>593</v>
      </c>
      <c r="B33" s="655"/>
      <c r="C33" s="239">
        <v>22.03</v>
      </c>
      <c r="D33" s="239"/>
      <c r="E33" s="655"/>
      <c r="F33" s="582">
        <v>22.03</v>
      </c>
      <c r="G33" s="312"/>
      <c r="H33" s="237"/>
      <c r="I33" s="228"/>
      <c r="J33" s="282"/>
      <c r="K33" s="232"/>
      <c r="L33" s="235"/>
      <c r="M33" s="235"/>
      <c r="N33" s="503">
        <v>286</v>
      </c>
      <c r="O33" s="279">
        <v>45377.66269675926</v>
      </c>
      <c r="P33" s="288">
        <v>32</v>
      </c>
      <c r="Q33" s="552"/>
      <c r="R33" s="718"/>
      <c r="S33" s="706"/>
      <c r="T33" s="494"/>
      <c r="U33" s="531"/>
      <c r="V33" s="596"/>
      <c r="W33" s="543"/>
      <c r="X33" s="737"/>
      <c r="Y33" s="679" t="str">
        <f t="shared" si="3"/>
        <v/>
      </c>
      <c r="Z33" s="556">
        <f t="shared" si="6"/>
        <v>0</v>
      </c>
      <c r="AA33" s="676" t="str">
        <f t="shared" si="7"/>
        <v/>
      </c>
    </row>
    <row r="34" spans="1:27" ht="12.75" customHeight="1">
      <c r="A34" s="485" t="s">
        <v>594</v>
      </c>
      <c r="B34" s="249"/>
      <c r="C34" s="306">
        <v>12.5</v>
      </c>
      <c r="D34" s="256"/>
      <c r="E34" s="249"/>
      <c r="F34" s="576">
        <v>12.5</v>
      </c>
      <c r="G34" s="310"/>
      <c r="H34" s="240"/>
      <c r="I34" s="229"/>
      <c r="J34" s="287"/>
      <c r="K34" s="233"/>
      <c r="L34" s="248"/>
      <c r="M34" s="248"/>
      <c r="N34" s="504">
        <v>391</v>
      </c>
      <c r="O34" s="280">
        <v>45377.663217592592</v>
      </c>
      <c r="P34" s="289">
        <v>33</v>
      </c>
      <c r="Q34" s="553"/>
      <c r="R34" s="729"/>
      <c r="S34" s="714"/>
      <c r="T34" s="495"/>
      <c r="U34" s="594"/>
      <c r="V34" s="595"/>
      <c r="W34" s="550"/>
      <c r="X34" s="743"/>
      <c r="Y34" s="680" t="str">
        <f t="shared" si="3"/>
        <v/>
      </c>
      <c r="Z34" s="557">
        <f t="shared" si="6"/>
        <v>0</v>
      </c>
      <c r="AA34" s="675" t="str">
        <f t="shared" si="7"/>
        <v/>
      </c>
    </row>
    <row r="35" spans="1:27" ht="12.75" customHeight="1">
      <c r="A35" s="486" t="s">
        <v>595</v>
      </c>
      <c r="B35" s="655"/>
      <c r="C35" s="239">
        <v>8.15</v>
      </c>
      <c r="D35" s="239"/>
      <c r="E35" s="655"/>
      <c r="F35" s="582">
        <v>8.15</v>
      </c>
      <c r="G35" s="312"/>
      <c r="H35" s="237"/>
      <c r="I35" s="228"/>
      <c r="J35" s="282"/>
      <c r="K35" s="232"/>
      <c r="L35" s="235"/>
      <c r="M35" s="235"/>
      <c r="N35" s="503">
        <v>522</v>
      </c>
      <c r="O35" s="279">
        <v>45377.663043981483</v>
      </c>
      <c r="P35" s="288">
        <v>34</v>
      </c>
      <c r="Q35" s="552"/>
      <c r="R35" s="718"/>
      <c r="S35" s="706"/>
      <c r="T35" s="494"/>
      <c r="U35" s="531"/>
      <c r="V35" s="596"/>
      <c r="W35" s="543"/>
      <c r="X35" s="737"/>
      <c r="Y35" s="428" t="str">
        <f t="shared" si="3"/>
        <v/>
      </c>
      <c r="Z35" s="545">
        <f t="shared" si="6"/>
        <v>0</v>
      </c>
      <c r="AA35" s="676" t="str">
        <f t="shared" si="7"/>
        <v/>
      </c>
    </row>
    <row r="36" spans="1:27" ht="12.75" customHeight="1">
      <c r="A36" s="485" t="s">
        <v>596</v>
      </c>
      <c r="B36" s="249"/>
      <c r="C36" s="306">
        <v>5.59</v>
      </c>
      <c r="D36" s="256"/>
      <c r="E36" s="249"/>
      <c r="F36" s="576">
        <v>5.59</v>
      </c>
      <c r="G36" s="310"/>
      <c r="H36" s="240"/>
      <c r="I36" s="229"/>
      <c r="J36" s="287"/>
      <c r="K36" s="233"/>
      <c r="L36" s="248"/>
      <c r="M36" s="248"/>
      <c r="N36" s="504">
        <v>2331</v>
      </c>
      <c r="O36" s="280">
        <v>45377.662754629629</v>
      </c>
      <c r="P36" s="289">
        <v>35</v>
      </c>
      <c r="Q36" s="553"/>
      <c r="R36" s="729"/>
      <c r="S36" s="714"/>
      <c r="T36" s="495"/>
      <c r="U36" s="594"/>
      <c r="V36" s="595"/>
      <c r="W36" s="550"/>
      <c r="X36" s="743"/>
      <c r="Y36" s="418" t="str">
        <f t="shared" si="3"/>
        <v/>
      </c>
      <c r="Z36" s="546">
        <f t="shared" si="6"/>
        <v>0</v>
      </c>
      <c r="AA36" s="675" t="str">
        <f t="shared" si="7"/>
        <v/>
      </c>
    </row>
    <row r="37" spans="1:27" ht="12.75" customHeight="1">
      <c r="A37" s="486" t="s">
        <v>597</v>
      </c>
      <c r="B37" s="655"/>
      <c r="C37" s="239">
        <v>4.3899999999999997</v>
      </c>
      <c r="D37" s="239"/>
      <c r="E37" s="655"/>
      <c r="F37" s="582">
        <v>4.3899999999999997</v>
      </c>
      <c r="G37" s="312"/>
      <c r="H37" s="237"/>
      <c r="I37" s="228"/>
      <c r="J37" s="282"/>
      <c r="K37" s="232"/>
      <c r="L37" s="235"/>
      <c r="M37" s="235"/>
      <c r="N37" s="503">
        <v>701</v>
      </c>
      <c r="O37" s="279">
        <v>45377.662939814814</v>
      </c>
      <c r="P37" s="288">
        <v>36</v>
      </c>
      <c r="Q37" s="552"/>
      <c r="R37" s="718"/>
      <c r="S37" s="706"/>
      <c r="T37" s="494"/>
      <c r="U37" s="531"/>
      <c r="V37" s="596"/>
      <c r="W37" s="543"/>
      <c r="X37" s="737"/>
      <c r="Y37" s="679" t="str">
        <f t="shared" si="3"/>
        <v/>
      </c>
      <c r="Z37" s="556">
        <f t="shared" si="6"/>
        <v>0</v>
      </c>
      <c r="AA37" s="676" t="str">
        <f t="shared" si="7"/>
        <v/>
      </c>
    </row>
    <row r="38" spans="1:27" ht="12.75" customHeight="1">
      <c r="A38" s="485" t="s">
        <v>598</v>
      </c>
      <c r="B38" s="249"/>
      <c r="C38" s="306">
        <v>3.36</v>
      </c>
      <c r="D38" s="256"/>
      <c r="E38" s="249"/>
      <c r="F38" s="576">
        <v>3.36</v>
      </c>
      <c r="G38" s="310"/>
      <c r="H38" s="240"/>
      <c r="I38" s="229"/>
      <c r="J38" s="287"/>
      <c r="K38" s="233"/>
      <c r="L38" s="248"/>
      <c r="M38" s="248"/>
      <c r="N38" s="504">
        <v>686</v>
      </c>
      <c r="O38" s="280">
        <v>45377.662488425929</v>
      </c>
      <c r="P38" s="289">
        <v>37</v>
      </c>
      <c r="Q38" s="553"/>
      <c r="R38" s="729"/>
      <c r="S38" s="715"/>
      <c r="T38" s="495"/>
      <c r="U38" s="594"/>
      <c r="V38" s="595"/>
      <c r="W38" s="550"/>
      <c r="X38" s="743"/>
      <c r="Y38" s="680" t="str">
        <f t="shared" si="3"/>
        <v/>
      </c>
      <c r="Z38" s="557">
        <f t="shared" si="6"/>
        <v>0</v>
      </c>
      <c r="AA38" s="675" t="str">
        <f t="shared" si="7"/>
        <v/>
      </c>
    </row>
    <row r="39" spans="1:27" ht="12.75" customHeight="1">
      <c r="A39" s="620" t="s">
        <v>599</v>
      </c>
      <c r="B39" s="656"/>
      <c r="C39" s="604">
        <v>3.18</v>
      </c>
      <c r="D39" s="604"/>
      <c r="E39" s="656"/>
      <c r="F39" s="606">
        <v>3.18</v>
      </c>
      <c r="G39" s="607"/>
      <c r="H39" s="608"/>
      <c r="I39" s="609"/>
      <c r="J39" s="610"/>
      <c r="K39" s="611"/>
      <c r="L39" s="612"/>
      <c r="M39" s="612"/>
      <c r="N39" s="621">
        <v>212</v>
      </c>
      <c r="O39" s="613">
        <v>45377.659930555557</v>
      </c>
      <c r="P39" s="622">
        <v>38</v>
      </c>
      <c r="Q39" s="623"/>
      <c r="R39" s="722"/>
      <c r="S39" s="710"/>
      <c r="T39" s="616"/>
      <c r="U39" s="531"/>
      <c r="V39" s="596"/>
      <c r="W39" s="617"/>
      <c r="X39" s="740"/>
      <c r="Y39" s="681" t="str">
        <f t="shared" si="3"/>
        <v/>
      </c>
      <c r="Z39" s="624">
        <f t="shared" si="6"/>
        <v>0</v>
      </c>
      <c r="AA39" s="682" t="str">
        <f t="shared" si="7"/>
        <v/>
      </c>
    </row>
    <row r="40" spans="1:27" ht="12.75" customHeight="1">
      <c r="A40" s="485" t="s">
        <v>629</v>
      </c>
      <c r="B40" s="249"/>
      <c r="C40" s="306"/>
      <c r="D40" s="256"/>
      <c r="E40" s="249"/>
      <c r="F40" s="576"/>
      <c r="G40" s="310"/>
      <c r="H40" s="238"/>
      <c r="I40" s="230"/>
      <c r="J40" s="284"/>
      <c r="K40" s="234"/>
      <c r="L40" s="252"/>
      <c r="M40" s="252"/>
      <c r="N40" s="502">
        <v>325</v>
      </c>
      <c r="O40" s="278">
        <v>45377.660624999997</v>
      </c>
      <c r="P40" s="289">
        <v>39</v>
      </c>
      <c r="Q40" s="602"/>
      <c r="R40" s="719"/>
      <c r="S40" s="707"/>
      <c r="T40" s="492"/>
      <c r="U40" s="594"/>
      <c r="V40" s="595"/>
      <c r="W40" s="544"/>
      <c r="X40" s="738"/>
      <c r="Y40" s="683" t="str">
        <f t="shared" si="3"/>
        <v/>
      </c>
      <c r="Z40" s="559">
        <f t="shared" si="6"/>
        <v>0</v>
      </c>
      <c r="AA40" s="675" t="str">
        <f t="shared" si="7"/>
        <v/>
      </c>
    </row>
    <row r="41" spans="1:27" ht="12.75" customHeight="1">
      <c r="A41" s="486" t="s">
        <v>630</v>
      </c>
      <c r="B41" s="655"/>
      <c r="C41" s="239">
        <v>383.5</v>
      </c>
      <c r="D41" s="239"/>
      <c r="E41" s="655"/>
      <c r="F41" s="582">
        <v>383.5</v>
      </c>
      <c r="G41" s="312"/>
      <c r="H41" s="237"/>
      <c r="I41" s="228"/>
      <c r="J41" s="282"/>
      <c r="K41" s="232"/>
      <c r="L41" s="235"/>
      <c r="M41" s="235"/>
      <c r="N41" s="503">
        <v>267</v>
      </c>
      <c r="O41" s="279">
        <v>45377.659594907411</v>
      </c>
      <c r="P41" s="288">
        <v>40</v>
      </c>
      <c r="Q41" s="552"/>
      <c r="R41" s="718"/>
      <c r="S41" s="706"/>
      <c r="T41" s="494"/>
      <c r="U41" s="531"/>
      <c r="V41" s="596"/>
      <c r="W41" s="543"/>
      <c r="X41" s="737"/>
      <c r="Y41" s="684" t="str">
        <f t="shared" si="3"/>
        <v/>
      </c>
      <c r="Z41" s="558">
        <f t="shared" si="6"/>
        <v>0</v>
      </c>
      <c r="AA41" s="676" t="str">
        <f t="shared" si="7"/>
        <v/>
      </c>
    </row>
    <row r="42" spans="1:27" ht="12.75" customHeight="1">
      <c r="A42" s="485" t="s">
        <v>631</v>
      </c>
      <c r="B42" s="249"/>
      <c r="C42" s="427">
        <v>270</v>
      </c>
      <c r="D42" s="427"/>
      <c r="E42" s="249"/>
      <c r="F42" s="583">
        <v>270</v>
      </c>
      <c r="G42" s="313"/>
      <c r="H42" s="240"/>
      <c r="I42" s="229"/>
      <c r="J42" s="287"/>
      <c r="K42" s="233"/>
      <c r="L42" s="248"/>
      <c r="M42" s="248"/>
      <c r="N42" s="504">
        <v>261</v>
      </c>
      <c r="O42" s="280">
        <v>45377.663055555553</v>
      </c>
      <c r="P42" s="289">
        <v>41</v>
      </c>
      <c r="Q42" s="553"/>
      <c r="R42" s="729"/>
      <c r="S42" s="714"/>
      <c r="T42" s="495"/>
      <c r="U42" s="594"/>
      <c r="V42" s="596"/>
      <c r="W42" s="550"/>
      <c r="X42" s="743"/>
      <c r="Y42" s="418" t="str">
        <f t="shared" si="3"/>
        <v/>
      </c>
      <c r="Z42" s="546">
        <f t="shared" si="6"/>
        <v>0</v>
      </c>
      <c r="AA42" s="675" t="str">
        <f t="shared" si="7"/>
        <v/>
      </c>
    </row>
    <row r="43" spans="1:27" ht="12.75" customHeight="1">
      <c r="A43" s="486" t="s">
        <v>632</v>
      </c>
      <c r="B43" s="655"/>
      <c r="C43" s="239">
        <v>274</v>
      </c>
      <c r="D43" s="391"/>
      <c r="E43" s="655"/>
      <c r="F43" s="582">
        <v>274</v>
      </c>
      <c r="G43" s="312"/>
      <c r="H43" s="237"/>
      <c r="I43" s="228"/>
      <c r="J43" s="282"/>
      <c r="K43" s="232"/>
      <c r="L43" s="235"/>
      <c r="M43" s="235"/>
      <c r="N43" s="503">
        <v>84</v>
      </c>
      <c r="O43" s="279">
        <v>45377.659861111111</v>
      </c>
      <c r="P43" s="288">
        <v>42</v>
      </c>
      <c r="Q43" s="552"/>
      <c r="R43" s="718"/>
      <c r="S43" s="706"/>
      <c r="T43" s="494"/>
      <c r="U43" s="531"/>
      <c r="V43" s="595"/>
      <c r="W43" s="543"/>
      <c r="X43" s="737"/>
      <c r="Y43" s="428" t="str">
        <f t="shared" si="3"/>
        <v/>
      </c>
      <c r="Z43" s="545">
        <f t="shared" si="6"/>
        <v>0</v>
      </c>
      <c r="AA43" s="676" t="str">
        <f t="shared" si="7"/>
        <v/>
      </c>
    </row>
    <row r="44" spans="1:27" ht="12.75" customHeight="1">
      <c r="A44" s="485" t="s">
        <v>633</v>
      </c>
      <c r="B44" s="249"/>
      <c r="C44" s="427"/>
      <c r="D44" s="427"/>
      <c r="E44" s="249"/>
      <c r="F44" s="583"/>
      <c r="G44" s="313"/>
      <c r="H44" s="240"/>
      <c r="I44" s="229"/>
      <c r="J44" s="287"/>
      <c r="K44" s="233"/>
      <c r="L44" s="248"/>
      <c r="M44" s="248"/>
      <c r="N44" s="504">
        <v>481</v>
      </c>
      <c r="O44" s="280">
        <v>45377.663055555553</v>
      </c>
      <c r="P44" s="289">
        <v>43</v>
      </c>
      <c r="Q44" s="553"/>
      <c r="R44" s="729"/>
      <c r="S44" s="714"/>
      <c r="T44" s="495"/>
      <c r="U44" s="594"/>
      <c r="V44" s="596"/>
      <c r="W44" s="600"/>
      <c r="X44" s="743"/>
      <c r="Y44" s="418" t="str">
        <f t="shared" si="3"/>
        <v/>
      </c>
      <c r="Z44" s="546">
        <f t="shared" si="6"/>
        <v>0</v>
      </c>
      <c r="AA44" s="675" t="str">
        <f t="shared" si="7"/>
        <v/>
      </c>
    </row>
    <row r="45" spans="1:27" ht="12.75" customHeight="1">
      <c r="A45" s="539" t="s">
        <v>634</v>
      </c>
      <c r="B45" s="657"/>
      <c r="C45" s="239">
        <v>142.36000000000001</v>
      </c>
      <c r="D45" s="391"/>
      <c r="E45" s="657"/>
      <c r="F45" s="582">
        <v>142.36000000000001</v>
      </c>
      <c r="G45" s="312"/>
      <c r="H45" s="237"/>
      <c r="I45" s="228"/>
      <c r="J45" s="282"/>
      <c r="K45" s="232"/>
      <c r="L45" s="235"/>
      <c r="M45" s="235"/>
      <c r="N45" s="235">
        <v>1</v>
      </c>
      <c r="O45" s="279">
        <v>45377.588460648149</v>
      </c>
      <c r="P45" s="562">
        <v>44</v>
      </c>
      <c r="Q45" s="560"/>
      <c r="R45" s="718"/>
      <c r="S45" s="716"/>
      <c r="T45" s="494"/>
      <c r="U45" s="531"/>
      <c r="V45" s="373"/>
      <c r="W45" s="543"/>
      <c r="X45" s="737"/>
      <c r="Y45" s="428" t="str">
        <f t="shared" ref="Y45:Y59" si="8">IF(V45&gt;0,V45,"")</f>
        <v/>
      </c>
      <c r="Z45" s="545">
        <f t="shared" ref="Z45:Z59" si="9">C45*100*V45-(X45*V45)</f>
        <v>0</v>
      </c>
      <c r="AA45" s="676" t="str">
        <f>IF(V45&lt;&gt;0,F45*100*V45,"")</f>
        <v/>
      </c>
    </row>
    <row r="46" spans="1:27" ht="12.75" customHeight="1">
      <c r="A46" s="487" t="s">
        <v>635</v>
      </c>
      <c r="B46" s="658"/>
      <c r="C46" s="427"/>
      <c r="D46" s="427"/>
      <c r="E46" s="658"/>
      <c r="F46" s="583"/>
      <c r="G46" s="313"/>
      <c r="H46" s="240"/>
      <c r="I46" s="229"/>
      <c r="J46" s="287"/>
      <c r="K46" s="233"/>
      <c r="L46" s="248"/>
      <c r="M46" s="248"/>
      <c r="N46" s="248">
        <v>25</v>
      </c>
      <c r="O46" s="280">
        <v>45377.65960648148</v>
      </c>
      <c r="P46" s="563">
        <v>45</v>
      </c>
      <c r="Q46" s="553"/>
      <c r="R46" s="729"/>
      <c r="S46" s="714"/>
      <c r="T46" s="495"/>
      <c r="U46" s="594"/>
      <c r="V46" s="417"/>
      <c r="W46" s="600"/>
      <c r="X46" s="743"/>
      <c r="Y46" s="418" t="str">
        <f t="shared" si="8"/>
        <v/>
      </c>
      <c r="Z46" s="546">
        <f t="shared" si="9"/>
        <v>0</v>
      </c>
      <c r="AA46" s="675" t="str">
        <f t="shared" ref="AA46:AA59" si="10">IF(V46&lt;&gt;0,F46*100*V46,"")</f>
        <v/>
      </c>
    </row>
    <row r="47" spans="1:27" ht="12.75" customHeight="1">
      <c r="A47" s="488" t="s">
        <v>636</v>
      </c>
      <c r="B47" s="657"/>
      <c r="C47" s="239">
        <v>93.07</v>
      </c>
      <c r="D47" s="391"/>
      <c r="E47" s="657"/>
      <c r="F47" s="582">
        <v>93.07</v>
      </c>
      <c r="G47" s="312"/>
      <c r="H47" s="237"/>
      <c r="I47" s="228"/>
      <c r="J47" s="282"/>
      <c r="K47" s="232"/>
      <c r="L47" s="235"/>
      <c r="M47" s="235"/>
      <c r="N47" s="235">
        <v>206</v>
      </c>
      <c r="O47" s="279">
        <v>45377.66196759259</v>
      </c>
      <c r="P47" s="564">
        <v>46</v>
      </c>
      <c r="Q47" s="561"/>
      <c r="R47" s="718"/>
      <c r="S47" s="706"/>
      <c r="T47" s="494"/>
      <c r="U47" s="531"/>
      <c r="V47" s="373"/>
      <c r="W47" s="543"/>
      <c r="X47" s="737"/>
      <c r="Y47" s="428" t="str">
        <f t="shared" si="8"/>
        <v/>
      </c>
      <c r="Z47" s="545">
        <f t="shared" si="9"/>
        <v>0</v>
      </c>
      <c r="AA47" s="676" t="str">
        <f t="shared" si="10"/>
        <v/>
      </c>
    </row>
    <row r="48" spans="1:27" ht="12.75" customHeight="1">
      <c r="A48" s="487" t="s">
        <v>637</v>
      </c>
      <c r="B48" s="658"/>
      <c r="C48" s="427">
        <v>49.1</v>
      </c>
      <c r="D48" s="427"/>
      <c r="E48" s="658"/>
      <c r="F48" s="583">
        <v>49.1</v>
      </c>
      <c r="G48" s="313"/>
      <c r="H48" s="240"/>
      <c r="I48" s="229"/>
      <c r="J48" s="287"/>
      <c r="K48" s="233"/>
      <c r="L48" s="248"/>
      <c r="M48" s="248"/>
      <c r="N48" s="248">
        <v>580</v>
      </c>
      <c r="O48" s="280">
        <v>45377.66196759259</v>
      </c>
      <c r="P48" s="563">
        <v>47</v>
      </c>
      <c r="Q48" s="553"/>
      <c r="R48" s="729"/>
      <c r="S48" s="714"/>
      <c r="T48" s="495"/>
      <c r="U48" s="594"/>
      <c r="V48" s="417"/>
      <c r="W48" s="600"/>
      <c r="X48" s="743"/>
      <c r="Y48" s="418" t="str">
        <f t="shared" si="8"/>
        <v/>
      </c>
      <c r="Z48" s="546">
        <f t="shared" si="9"/>
        <v>0</v>
      </c>
      <c r="AA48" s="675" t="str">
        <f t="shared" si="10"/>
        <v/>
      </c>
    </row>
    <row r="49" spans="1:40" ht="12.75" customHeight="1">
      <c r="A49" s="603" t="s">
        <v>638</v>
      </c>
      <c r="B49" s="659"/>
      <c r="C49" s="604">
        <v>54.06</v>
      </c>
      <c r="D49" s="605"/>
      <c r="E49" s="659"/>
      <c r="F49" s="606">
        <v>54.06</v>
      </c>
      <c r="G49" s="607"/>
      <c r="H49" s="608"/>
      <c r="I49" s="609"/>
      <c r="J49" s="610"/>
      <c r="K49" s="611"/>
      <c r="L49" s="612"/>
      <c r="M49" s="612"/>
      <c r="N49" s="612">
        <v>283</v>
      </c>
      <c r="O49" s="613">
        <v>45377.661712962959</v>
      </c>
      <c r="P49" s="614">
        <v>48</v>
      </c>
      <c r="Q49" s="615"/>
      <c r="R49" s="722"/>
      <c r="S49" s="710"/>
      <c r="T49" s="616"/>
      <c r="U49" s="531"/>
      <c r="V49" s="373"/>
      <c r="W49" s="617"/>
      <c r="X49" s="740"/>
      <c r="Y49" s="618" t="str">
        <f t="shared" si="8"/>
        <v/>
      </c>
      <c r="Z49" s="619">
        <f t="shared" si="9"/>
        <v>0</v>
      </c>
      <c r="AA49" s="682" t="str">
        <f t="shared" si="10"/>
        <v/>
      </c>
    </row>
    <row r="50" spans="1:40" ht="12.75" customHeight="1">
      <c r="A50" s="485" t="s">
        <v>600</v>
      </c>
      <c r="B50" s="643">
        <v>6</v>
      </c>
      <c r="C50" s="251">
        <v>1.5009999999999999</v>
      </c>
      <c r="D50" s="251">
        <v>1.589</v>
      </c>
      <c r="E50" s="643">
        <v>9</v>
      </c>
      <c r="F50" s="601">
        <v>1.5009999999999999</v>
      </c>
      <c r="G50" s="310">
        <v>-0.14219999999999999</v>
      </c>
      <c r="H50" s="238">
        <v>1.03</v>
      </c>
      <c r="I50" s="230">
        <v>2.25</v>
      </c>
      <c r="J50" s="284">
        <v>1.03</v>
      </c>
      <c r="K50" s="234">
        <v>1.75</v>
      </c>
      <c r="L50" s="252">
        <v>129325</v>
      </c>
      <c r="M50" s="252">
        <v>809</v>
      </c>
      <c r="N50" s="252">
        <v>237</v>
      </c>
      <c r="O50" s="278">
        <v>45377.66196759259</v>
      </c>
      <c r="P50" s="563">
        <v>49</v>
      </c>
      <c r="Q50" s="602"/>
      <c r="R50" s="719"/>
      <c r="S50" s="707"/>
      <c r="T50" s="492"/>
      <c r="U50" s="594"/>
      <c r="V50" s="417"/>
      <c r="W50" s="421"/>
      <c r="X50" s="738"/>
      <c r="Y50" s="418" t="str">
        <f t="shared" si="8"/>
        <v/>
      </c>
      <c r="Z50" s="546">
        <f t="shared" si="9"/>
        <v>0</v>
      </c>
      <c r="AA50" s="675" t="str">
        <f t="shared" si="10"/>
        <v/>
      </c>
    </row>
    <row r="51" spans="1:40" ht="12.75" customHeight="1">
      <c r="A51" s="488" t="s">
        <v>601</v>
      </c>
      <c r="B51" s="657">
        <v>56</v>
      </c>
      <c r="C51" s="239">
        <v>2.2509999999999999</v>
      </c>
      <c r="D51" s="391">
        <v>3.1989999999999998</v>
      </c>
      <c r="E51" s="657">
        <v>11</v>
      </c>
      <c r="F51" s="582">
        <v>2.9</v>
      </c>
      <c r="G51" s="312">
        <v>5.7999999999999996E-3</v>
      </c>
      <c r="H51" s="237">
        <v>2.95</v>
      </c>
      <c r="I51" s="228">
        <v>3.9</v>
      </c>
      <c r="J51" s="282">
        <v>2.8</v>
      </c>
      <c r="K51" s="232">
        <v>2.883</v>
      </c>
      <c r="L51" s="235">
        <v>388530</v>
      </c>
      <c r="M51" s="235">
        <v>1197</v>
      </c>
      <c r="N51" s="235">
        <v>247</v>
      </c>
      <c r="O51" s="279">
        <v>45377.661944444444</v>
      </c>
      <c r="P51" s="564">
        <v>50</v>
      </c>
      <c r="Q51" s="561"/>
      <c r="R51" s="718"/>
      <c r="S51" s="706"/>
      <c r="T51" s="494"/>
      <c r="U51" s="531"/>
      <c r="V51" s="373"/>
      <c r="W51" s="543"/>
      <c r="X51" s="737"/>
      <c r="Y51" s="428" t="str">
        <f t="shared" si="8"/>
        <v/>
      </c>
      <c r="Z51" s="545">
        <f t="shared" si="9"/>
        <v>0</v>
      </c>
      <c r="AA51" s="676" t="str">
        <f t="shared" si="10"/>
        <v/>
      </c>
    </row>
    <row r="52" spans="1:40" ht="12.75" customHeight="1">
      <c r="A52" s="487" t="s">
        <v>602</v>
      </c>
      <c r="B52" s="658">
        <v>15</v>
      </c>
      <c r="C52" s="427">
        <v>5.65</v>
      </c>
      <c r="D52" s="427">
        <v>5.84</v>
      </c>
      <c r="E52" s="658">
        <v>7</v>
      </c>
      <c r="F52" s="583">
        <v>5.84</v>
      </c>
      <c r="G52" s="313">
        <v>2.0799999999999999E-2</v>
      </c>
      <c r="H52" s="240">
        <v>5.8</v>
      </c>
      <c r="I52" s="229">
        <v>8.39</v>
      </c>
      <c r="J52" s="287">
        <v>5.2</v>
      </c>
      <c r="K52" s="233">
        <v>5.7210000000000001</v>
      </c>
      <c r="L52" s="248">
        <v>1920104</v>
      </c>
      <c r="M52" s="248">
        <v>2877</v>
      </c>
      <c r="N52" s="248">
        <v>568</v>
      </c>
      <c r="O52" s="280">
        <v>45377.662199074075</v>
      </c>
      <c r="P52" s="563">
        <v>51</v>
      </c>
      <c r="Q52" s="553"/>
      <c r="R52" s="729"/>
      <c r="S52" s="714"/>
      <c r="T52" s="495"/>
      <c r="U52" s="594"/>
      <c r="V52" s="417"/>
      <c r="W52" s="600"/>
      <c r="X52" s="743"/>
      <c r="Y52" s="418" t="str">
        <f t="shared" si="8"/>
        <v/>
      </c>
      <c r="Z52" s="546">
        <f t="shared" si="9"/>
        <v>0</v>
      </c>
      <c r="AA52" s="675" t="str">
        <f t="shared" si="10"/>
        <v/>
      </c>
    </row>
    <row r="53" spans="1:40" ht="12.75" customHeight="1">
      <c r="A53" s="488" t="s">
        <v>603</v>
      </c>
      <c r="B53" s="657">
        <v>10</v>
      </c>
      <c r="C53" s="239">
        <v>9.4009999999999998</v>
      </c>
      <c r="D53" s="391">
        <v>10.15</v>
      </c>
      <c r="E53" s="657">
        <v>1</v>
      </c>
      <c r="F53" s="582">
        <v>9.6</v>
      </c>
      <c r="G53" s="312">
        <v>3.2199999999999999E-2</v>
      </c>
      <c r="H53" s="237">
        <v>13</v>
      </c>
      <c r="I53" s="228">
        <v>13.92</v>
      </c>
      <c r="J53" s="282">
        <v>9.3000000000000007</v>
      </c>
      <c r="K53" s="232">
        <v>9.3000000000000007</v>
      </c>
      <c r="L53" s="235">
        <v>2760742</v>
      </c>
      <c r="M53" s="235">
        <v>2534</v>
      </c>
      <c r="N53" s="235">
        <v>314</v>
      </c>
      <c r="O53" s="279">
        <v>45377.651979166665</v>
      </c>
      <c r="P53" s="564">
        <v>52</v>
      </c>
      <c r="Q53" s="561"/>
      <c r="R53" s="718"/>
      <c r="S53" s="706"/>
      <c r="T53" s="494"/>
      <c r="U53" s="531"/>
      <c r="V53" s="373"/>
      <c r="W53" s="543"/>
      <c r="X53" s="737"/>
      <c r="Y53" s="428" t="str">
        <f t="shared" si="8"/>
        <v/>
      </c>
      <c r="Z53" s="545">
        <f t="shared" si="9"/>
        <v>0</v>
      </c>
      <c r="AA53" s="676" t="str">
        <f t="shared" si="10"/>
        <v/>
      </c>
    </row>
    <row r="54" spans="1:40" ht="12.75" customHeight="1">
      <c r="A54" s="487" t="s">
        <v>604</v>
      </c>
      <c r="B54" s="658">
        <v>15</v>
      </c>
      <c r="C54" s="427">
        <v>15.5</v>
      </c>
      <c r="D54" s="427">
        <v>16.2</v>
      </c>
      <c r="E54" s="658">
        <v>20</v>
      </c>
      <c r="F54" s="583">
        <v>16</v>
      </c>
      <c r="G54" s="313">
        <v>7.4800000000000005E-2</v>
      </c>
      <c r="H54" s="240">
        <v>15.95</v>
      </c>
      <c r="I54" s="229">
        <v>22.75</v>
      </c>
      <c r="J54" s="287">
        <v>14</v>
      </c>
      <c r="K54" s="233">
        <v>14.885999999999999</v>
      </c>
      <c r="L54" s="248">
        <v>6401713</v>
      </c>
      <c r="M54" s="248">
        <v>3525</v>
      </c>
      <c r="N54" s="248">
        <v>352</v>
      </c>
      <c r="O54" s="280">
        <v>45377.663206018522</v>
      </c>
      <c r="P54" s="563">
        <v>53</v>
      </c>
      <c r="Q54" s="553"/>
      <c r="R54" s="729"/>
      <c r="S54" s="714"/>
      <c r="T54" s="495"/>
      <c r="U54" s="594"/>
      <c r="V54" s="417"/>
      <c r="W54" s="600"/>
      <c r="X54" s="743"/>
      <c r="Y54" s="418" t="str">
        <f t="shared" si="8"/>
        <v/>
      </c>
      <c r="Z54" s="546">
        <f t="shared" si="9"/>
        <v>0</v>
      </c>
      <c r="AA54" s="675" t="str">
        <f t="shared" si="10"/>
        <v/>
      </c>
    </row>
    <row r="55" spans="1:40" ht="12.75" customHeight="1">
      <c r="A55" s="488" t="s">
        <v>605</v>
      </c>
      <c r="B55" s="657">
        <v>20</v>
      </c>
      <c r="C55" s="239">
        <v>25.5</v>
      </c>
      <c r="D55" s="391">
        <v>25.898</v>
      </c>
      <c r="E55" s="657">
        <v>1</v>
      </c>
      <c r="F55" s="582">
        <v>25.001000000000001</v>
      </c>
      <c r="G55" s="312">
        <v>2.81E-2</v>
      </c>
      <c r="H55" s="237">
        <v>22.8</v>
      </c>
      <c r="I55" s="228">
        <v>37</v>
      </c>
      <c r="J55" s="282">
        <v>22</v>
      </c>
      <c r="K55" s="232">
        <v>24.317</v>
      </c>
      <c r="L55" s="235">
        <v>13514645</v>
      </c>
      <c r="M55" s="235">
        <v>4786</v>
      </c>
      <c r="N55" s="235">
        <v>644</v>
      </c>
      <c r="O55" s="279">
        <v>45377.660543981481</v>
      </c>
      <c r="P55" s="564">
        <v>54</v>
      </c>
      <c r="Q55" s="561"/>
      <c r="R55" s="718"/>
      <c r="S55" s="706"/>
      <c r="T55" s="494"/>
      <c r="U55" s="531"/>
      <c r="V55" s="373"/>
      <c r="W55" s="543"/>
      <c r="X55" s="737"/>
      <c r="Y55" s="428" t="str">
        <f t="shared" si="8"/>
        <v/>
      </c>
      <c r="Z55" s="545">
        <f t="shared" si="9"/>
        <v>0</v>
      </c>
      <c r="AA55" s="676" t="str">
        <f t="shared" si="10"/>
        <v/>
      </c>
    </row>
    <row r="56" spans="1:40" ht="12.75" customHeight="1">
      <c r="A56" s="487" t="s">
        <v>606</v>
      </c>
      <c r="B56" s="658">
        <v>10</v>
      </c>
      <c r="C56" s="427">
        <v>38.200000000000003</v>
      </c>
      <c r="D56" s="427">
        <v>41.634</v>
      </c>
      <c r="E56" s="658">
        <v>6</v>
      </c>
      <c r="F56" s="583">
        <v>38.805999999999997</v>
      </c>
      <c r="G56" s="313">
        <v>2.35E-2</v>
      </c>
      <c r="H56" s="240">
        <v>31.001000000000001</v>
      </c>
      <c r="I56" s="229">
        <v>49</v>
      </c>
      <c r="J56" s="287">
        <v>31.001000000000001</v>
      </c>
      <c r="K56" s="233">
        <v>37.912999999999997</v>
      </c>
      <c r="L56" s="248">
        <v>11061698</v>
      </c>
      <c r="M56" s="248">
        <v>2581</v>
      </c>
      <c r="N56" s="248">
        <v>378</v>
      </c>
      <c r="O56" s="280">
        <v>45377.663217592592</v>
      </c>
      <c r="P56" s="563">
        <v>55</v>
      </c>
      <c r="Q56" s="553"/>
      <c r="R56" s="729"/>
      <c r="S56" s="714"/>
      <c r="T56" s="495"/>
      <c r="U56" s="594"/>
      <c r="V56" s="417"/>
      <c r="W56" s="600"/>
      <c r="X56" s="743"/>
      <c r="Y56" s="418" t="str">
        <f t="shared" si="8"/>
        <v/>
      </c>
      <c r="Z56" s="546">
        <f t="shared" si="9"/>
        <v>0</v>
      </c>
      <c r="AA56" s="675" t="str">
        <f t="shared" si="10"/>
        <v/>
      </c>
    </row>
    <row r="57" spans="1:40" ht="12.75" customHeight="1">
      <c r="A57" s="488" t="s">
        <v>607</v>
      </c>
      <c r="B57" s="657">
        <v>8</v>
      </c>
      <c r="C57" s="239">
        <v>58.000999999999998</v>
      </c>
      <c r="D57" s="239">
        <v>61</v>
      </c>
      <c r="E57" s="657">
        <v>10</v>
      </c>
      <c r="F57" s="582">
        <v>59</v>
      </c>
      <c r="G57" s="312">
        <v>2.4700000000000003E-2</v>
      </c>
      <c r="H57" s="237">
        <v>51</v>
      </c>
      <c r="I57" s="228">
        <v>73</v>
      </c>
      <c r="J57" s="282">
        <v>51</v>
      </c>
      <c r="K57" s="232">
        <v>57.575000000000003</v>
      </c>
      <c r="L57" s="235">
        <v>14248064</v>
      </c>
      <c r="M57" s="235">
        <v>2283</v>
      </c>
      <c r="N57" s="235">
        <v>450</v>
      </c>
      <c r="O57" s="279">
        <v>45377.663124999999</v>
      </c>
      <c r="P57" s="564">
        <v>56</v>
      </c>
      <c r="Q57" s="561"/>
      <c r="R57" s="718"/>
      <c r="S57" s="706"/>
      <c r="T57" s="494"/>
      <c r="U57" s="531"/>
      <c r="V57" s="417"/>
      <c r="W57" s="543"/>
      <c r="X57" s="737"/>
      <c r="Y57" s="428" t="str">
        <f t="shared" si="8"/>
        <v/>
      </c>
      <c r="Z57" s="545">
        <f t="shared" si="9"/>
        <v>0</v>
      </c>
      <c r="AA57" s="676" t="str">
        <f t="shared" si="10"/>
        <v/>
      </c>
    </row>
    <row r="58" spans="1:40" ht="12.75" customHeight="1">
      <c r="A58" s="487" t="s">
        <v>608</v>
      </c>
      <c r="B58" s="658">
        <v>6</v>
      </c>
      <c r="C58" s="427">
        <v>136.001</v>
      </c>
      <c r="D58" s="501">
        <v>145</v>
      </c>
      <c r="E58" s="658">
        <v>25</v>
      </c>
      <c r="F58" s="583">
        <v>140</v>
      </c>
      <c r="G58" s="313">
        <v>-2.8500000000000001E-2</v>
      </c>
      <c r="H58" s="240">
        <v>125</v>
      </c>
      <c r="I58" s="229">
        <v>165</v>
      </c>
      <c r="J58" s="287">
        <v>125</v>
      </c>
      <c r="K58" s="233">
        <v>140</v>
      </c>
      <c r="L58" s="248">
        <v>3261454</v>
      </c>
      <c r="M58" s="248">
        <v>225</v>
      </c>
      <c r="N58" s="248">
        <v>42</v>
      </c>
      <c r="O58" s="280">
        <v>45377.656944444447</v>
      </c>
      <c r="P58" s="563">
        <v>57</v>
      </c>
      <c r="Q58" s="553"/>
      <c r="R58" s="729"/>
      <c r="S58" s="714"/>
      <c r="T58" s="495"/>
      <c r="U58" s="594"/>
      <c r="V58" s="373"/>
      <c r="W58" s="600"/>
      <c r="X58" s="743"/>
      <c r="Y58" s="418" t="str">
        <f t="shared" si="8"/>
        <v/>
      </c>
      <c r="Z58" s="546">
        <f t="shared" si="9"/>
        <v>0</v>
      </c>
      <c r="AA58" s="675" t="str">
        <f t="shared" si="10"/>
        <v/>
      </c>
    </row>
    <row r="59" spans="1:40" ht="12.75" customHeight="1">
      <c r="A59" s="489" t="s">
        <v>609</v>
      </c>
      <c r="B59" s="660">
        <v>10</v>
      </c>
      <c r="C59" s="359">
        <v>190</v>
      </c>
      <c r="D59" s="359">
        <v>205</v>
      </c>
      <c r="E59" s="660">
        <v>7</v>
      </c>
      <c r="F59" s="584">
        <v>205</v>
      </c>
      <c r="G59" s="370">
        <v>7.6100000000000001E-2</v>
      </c>
      <c r="H59" s="361">
        <v>180</v>
      </c>
      <c r="I59" s="362">
        <v>220</v>
      </c>
      <c r="J59" s="363">
        <v>180</v>
      </c>
      <c r="K59" s="364">
        <v>190.5</v>
      </c>
      <c r="L59" s="356">
        <v>962700</v>
      </c>
      <c r="M59" s="356">
        <v>47</v>
      </c>
      <c r="N59" s="356">
        <v>30</v>
      </c>
      <c r="O59" s="357">
        <v>45377.661736111113</v>
      </c>
      <c r="P59" s="564">
        <v>58</v>
      </c>
      <c r="Q59" s="554"/>
      <c r="R59" s="726"/>
      <c r="S59" s="712"/>
      <c r="T59" s="493"/>
      <c r="U59" s="531"/>
      <c r="V59" s="417"/>
      <c r="W59" s="420"/>
      <c r="X59" s="742"/>
      <c r="Y59" s="625" t="str">
        <f t="shared" si="8"/>
        <v/>
      </c>
      <c r="Z59" s="419">
        <f t="shared" si="9"/>
        <v>0</v>
      </c>
      <c r="AA59" s="677" t="str">
        <f t="shared" si="10"/>
        <v/>
      </c>
    </row>
    <row r="60" spans="1:40" ht="12.75" customHeight="1">
      <c r="A60" s="534" t="s">
        <v>335</v>
      </c>
      <c r="B60" s="249"/>
      <c r="C60" s="306"/>
      <c r="D60" s="256"/>
      <c r="E60" s="249"/>
      <c r="F60" s="576"/>
      <c r="G60" s="310"/>
      <c r="H60" s="238"/>
      <c r="I60" s="230"/>
      <c r="J60" s="284"/>
      <c r="K60" s="234"/>
      <c r="L60" s="252"/>
      <c r="M60" s="234"/>
      <c r="N60" s="252"/>
      <c r="O60" s="278"/>
      <c r="P60" s="289">
        <v>59</v>
      </c>
      <c r="Q60" s="265">
        <v>0</v>
      </c>
      <c r="R60" s="748">
        <v>0</v>
      </c>
      <c r="S60" s="744">
        <v>0</v>
      </c>
      <c r="T60" s="247">
        <v>0</v>
      </c>
      <c r="U60" s="507"/>
      <c r="V60" s="269"/>
      <c r="W60" s="421"/>
      <c r="X60" s="750"/>
      <c r="Y60" s="685">
        <f>IF(D60&lt;&gt;0,($C61*(1-$V$1))-$D60,0)</f>
        <v>0</v>
      </c>
      <c r="Z60" s="686"/>
      <c r="AA60" s="770" t="str">
        <f>MID($A60,1,5)</f>
        <v xml:space="preserve">GGAL </v>
      </c>
    </row>
    <row r="61" spans="1:40" ht="12.75" customHeight="1">
      <c r="A61" s="533" t="s">
        <v>336</v>
      </c>
      <c r="B61" s="395"/>
      <c r="C61" s="359"/>
      <c r="D61" s="390"/>
      <c r="E61" s="660"/>
      <c r="F61" s="584">
        <v>2829.75</v>
      </c>
      <c r="G61" s="370"/>
      <c r="H61" s="361"/>
      <c r="I61" s="362"/>
      <c r="J61" s="363"/>
      <c r="K61" s="364"/>
      <c r="L61" s="356"/>
      <c r="M61" s="364"/>
      <c r="N61" s="356"/>
      <c r="O61" s="357"/>
      <c r="P61" s="288">
        <v>60</v>
      </c>
      <c r="Q61" s="358">
        <v>0</v>
      </c>
      <c r="R61" s="726">
        <v>0</v>
      </c>
      <c r="S61" s="745">
        <v>0</v>
      </c>
      <c r="T61" s="366">
        <v>0</v>
      </c>
      <c r="U61" s="506"/>
      <c r="V61" s="268">
        <v>0</v>
      </c>
      <c r="W61" s="420">
        <v>0</v>
      </c>
      <c r="X61" s="751">
        <v>0</v>
      </c>
      <c r="Y61" s="749" t="str">
        <f>IFERROR(INT($Y$1/(F60)),"")</f>
        <v/>
      </c>
      <c r="Z61" s="687"/>
      <c r="AA61" s="771"/>
    </row>
    <row r="62" spans="1:40" ht="12.75" hidden="1" customHeight="1">
      <c r="A62" s="270" t="s">
        <v>574</v>
      </c>
      <c r="B62" s="249"/>
      <c r="C62" s="402"/>
      <c r="D62" s="403"/>
      <c r="E62" s="249"/>
      <c r="F62" s="576"/>
      <c r="G62" s="310"/>
      <c r="H62" s="238"/>
      <c r="I62" s="230"/>
      <c r="J62" s="284"/>
      <c r="K62" s="234"/>
      <c r="L62" s="252"/>
      <c r="M62" s="234"/>
      <c r="N62" s="252"/>
      <c r="O62" s="278"/>
      <c r="P62" s="289">
        <v>61</v>
      </c>
      <c r="Q62" s="265">
        <v>0</v>
      </c>
      <c r="R62" s="719">
        <v>0</v>
      </c>
      <c r="S62" s="744">
        <v>0</v>
      </c>
      <c r="T62" s="247">
        <v>0</v>
      </c>
      <c r="U62" s="507"/>
      <c r="V62" s="269">
        <v>0</v>
      </c>
      <c r="W62" s="397">
        <v>0</v>
      </c>
      <c r="X62" s="752">
        <v>0</v>
      </c>
      <c r="Y62" s="685">
        <f>IF(D62&lt;&gt;0,($C63*(1-$V$1))-$D62,0)</f>
        <v>0</v>
      </c>
      <c r="Z62" s="686">
        <f>$F63*($AE$1*$AD$1)</f>
        <v>0</v>
      </c>
      <c r="AA62" s="768" t="str">
        <f>MID($A62,1,5)</f>
        <v xml:space="preserve">PAMP </v>
      </c>
    </row>
    <row r="63" spans="1:40" ht="12.75" hidden="1" customHeight="1">
      <c r="A63" s="394" t="s">
        <v>575</v>
      </c>
      <c r="B63" s="395"/>
      <c r="C63" s="404"/>
      <c r="D63" s="404"/>
      <c r="E63" s="395"/>
      <c r="F63" s="585"/>
      <c r="G63" s="370"/>
      <c r="H63" s="361"/>
      <c r="I63" s="362"/>
      <c r="J63" s="363"/>
      <c r="K63" s="364"/>
      <c r="L63" s="356"/>
      <c r="M63" s="364"/>
      <c r="N63" s="356"/>
      <c r="O63" s="396"/>
      <c r="P63" s="288">
        <v>62</v>
      </c>
      <c r="Q63" s="358">
        <v>0</v>
      </c>
      <c r="R63" s="726">
        <v>0</v>
      </c>
      <c r="S63" s="745">
        <v>0</v>
      </c>
      <c r="T63" s="366">
        <v>0</v>
      </c>
      <c r="U63" s="506"/>
      <c r="V63" s="368">
        <v>0</v>
      </c>
      <c r="W63" s="398">
        <v>0</v>
      </c>
      <c r="X63" s="753">
        <v>0</v>
      </c>
      <c r="Y63" s="688">
        <f>IFERROR(IF($Y$1&lt;&gt;"",INT($Y$1/(D62)),100),100)</f>
        <v>100</v>
      </c>
      <c r="Z63" s="689"/>
      <c r="AA63" s="769"/>
    </row>
    <row r="64" spans="1:40" ht="12.75" customHeight="1">
      <c r="A64" s="759" t="s">
        <v>13</v>
      </c>
      <c r="B64" s="652">
        <v>16480</v>
      </c>
      <c r="C64" s="308">
        <v>54250</v>
      </c>
      <c r="D64" s="308">
        <v>54270</v>
      </c>
      <c r="E64" s="652">
        <v>45516</v>
      </c>
      <c r="F64" s="308">
        <v>54250</v>
      </c>
      <c r="G64" s="310">
        <v>-2.3E-3</v>
      </c>
      <c r="H64" s="238">
        <v>54800</v>
      </c>
      <c r="I64" s="230">
        <v>54920</v>
      </c>
      <c r="J64" s="284">
        <v>54010</v>
      </c>
      <c r="K64" s="234">
        <v>54380</v>
      </c>
      <c r="L64" s="252">
        <v>91775172553</v>
      </c>
      <c r="M64" s="234">
        <v>168775546</v>
      </c>
      <c r="N64" s="252">
        <v>71497</v>
      </c>
      <c r="O64" s="278">
        <v>45378.647210648145</v>
      </c>
      <c r="P64" s="289">
        <v>63</v>
      </c>
      <c r="Q64" s="265">
        <v>0</v>
      </c>
      <c r="R64" s="719">
        <v>0</v>
      </c>
      <c r="S64" s="744">
        <v>0</v>
      </c>
      <c r="T64" s="247">
        <v>0</v>
      </c>
      <c r="U64" s="507"/>
      <c r="V64" s="376"/>
      <c r="W64" s="525">
        <f t="shared" ref="W64:W68" si="11">(V64*X64)</f>
        <v>0</v>
      </c>
      <c r="X64" s="743"/>
      <c r="Y64" s="685">
        <f>IF(D64&lt;&gt;0,($C65*(1-$V$1))-$D64,0)</f>
        <v>840</v>
      </c>
      <c r="Z64" s="690"/>
      <c r="AA64" s="691"/>
      <c r="AB64" s="38"/>
      <c r="AC64" s="379">
        <v>325</v>
      </c>
      <c r="AE64" s="47">
        <v>0.47860000000000003</v>
      </c>
      <c r="AF64" s="47">
        <f>AC64*AE64</f>
        <v>155.54500000000002</v>
      </c>
      <c r="AN64" s="392"/>
    </row>
    <row r="65" spans="1:40" ht="12.75" customHeight="1">
      <c r="A65" s="599" t="s">
        <v>2</v>
      </c>
      <c r="B65" s="653">
        <v>36291</v>
      </c>
      <c r="C65" s="309">
        <v>55110</v>
      </c>
      <c r="D65" s="574">
        <v>55130</v>
      </c>
      <c r="E65" s="653">
        <v>167041</v>
      </c>
      <c r="F65" s="574">
        <v>55110</v>
      </c>
      <c r="G65" s="312">
        <v>-4.5000000000000005E-3</v>
      </c>
      <c r="H65" s="237">
        <v>55410</v>
      </c>
      <c r="I65" s="228">
        <v>55670</v>
      </c>
      <c r="J65" s="282">
        <v>54860</v>
      </c>
      <c r="K65" s="232">
        <v>55360</v>
      </c>
      <c r="L65" s="235">
        <v>39377523338</v>
      </c>
      <c r="M65" s="232">
        <v>71324846</v>
      </c>
      <c r="N65" s="235">
        <v>22521</v>
      </c>
      <c r="O65" s="279">
        <v>45378.647141203706</v>
      </c>
      <c r="P65" s="288">
        <v>64</v>
      </c>
      <c r="Q65" s="263">
        <v>0</v>
      </c>
      <c r="R65" s="718">
        <v>0</v>
      </c>
      <c r="S65" s="746">
        <v>0</v>
      </c>
      <c r="T65" s="246">
        <v>0</v>
      </c>
      <c r="U65" s="506"/>
      <c r="V65" s="375"/>
      <c r="W65" s="524">
        <f>V64*(C64/100)</f>
        <v>0</v>
      </c>
      <c r="X65" s="737"/>
      <c r="Y65" s="514">
        <f>IFERROR(INT($Y$1/(F64/100)),"")</f>
        <v>187</v>
      </c>
      <c r="Z65" s="692"/>
      <c r="AA65" s="693"/>
      <c r="AB65" s="38"/>
      <c r="AC65" s="379">
        <v>179</v>
      </c>
      <c r="AE65" s="47">
        <v>0.47910000000000003</v>
      </c>
      <c r="AF65" s="47">
        <f t="shared" ref="AF65:AF67" si="12">AC65*AE65</f>
        <v>85.758900000000011</v>
      </c>
      <c r="AN65" s="392"/>
    </row>
    <row r="66" spans="1:40" ht="12.75" customHeight="1">
      <c r="A66" s="598" t="s">
        <v>15</v>
      </c>
      <c r="B66" s="661">
        <v>92674</v>
      </c>
      <c r="C66" s="306">
        <v>50.85</v>
      </c>
      <c r="D66" s="256">
        <v>50.9</v>
      </c>
      <c r="E66" s="661">
        <v>42393</v>
      </c>
      <c r="F66" s="586">
        <v>50.9</v>
      </c>
      <c r="G66" s="313">
        <v>9.8999999999999991E-3</v>
      </c>
      <c r="H66" s="240">
        <v>50.4</v>
      </c>
      <c r="I66" s="229">
        <v>50.9</v>
      </c>
      <c r="J66" s="287">
        <v>50.16</v>
      </c>
      <c r="K66" s="233">
        <v>50.4</v>
      </c>
      <c r="L66" s="248">
        <v>24156422</v>
      </c>
      <c r="M66" s="233">
        <v>47776634</v>
      </c>
      <c r="N66" s="248">
        <v>7508</v>
      </c>
      <c r="O66" s="280">
        <v>45378.647187499999</v>
      </c>
      <c r="P66" s="289">
        <v>65</v>
      </c>
      <c r="Q66" s="264">
        <v>0</v>
      </c>
      <c r="R66" s="729">
        <v>0</v>
      </c>
      <c r="S66" s="747">
        <v>0</v>
      </c>
      <c r="T66" s="245">
        <v>0</v>
      </c>
      <c r="U66" s="507"/>
      <c r="V66" s="303"/>
      <c r="W66" s="526">
        <f t="shared" si="11"/>
        <v>0</v>
      </c>
      <c r="X66" s="743"/>
      <c r="Y66" s="694">
        <f>IF(D66&lt;&gt;0,($C67*(1-$V$1))-$D66,0)</f>
        <v>-0.39000000000000057</v>
      </c>
      <c r="Z66" s="695">
        <f>IFERROR(IF(C66&lt;&gt;"",$Y$1/(D64/100)*(C66/100),""),"")</f>
        <v>95.078373552968003</v>
      </c>
      <c r="AA66" s="696">
        <f>IFERROR($AA$1/(D66/100)*(C64/100),"")</f>
        <v>106581.53241650295</v>
      </c>
      <c r="AB66" s="38"/>
      <c r="AC66" s="380"/>
      <c r="AF66" s="47">
        <f t="shared" si="12"/>
        <v>0</v>
      </c>
      <c r="AN66" s="392"/>
    </row>
    <row r="67" spans="1:40" ht="12.75" customHeight="1">
      <c r="A67" s="599" t="s">
        <v>3</v>
      </c>
      <c r="B67" s="662">
        <v>39697</v>
      </c>
      <c r="C67" s="239">
        <v>50.51</v>
      </c>
      <c r="D67" s="391">
        <v>50.98</v>
      </c>
      <c r="E67" s="664">
        <v>20192</v>
      </c>
      <c r="F67" s="577">
        <v>50.95</v>
      </c>
      <c r="G67" s="312">
        <v>1.29E-2</v>
      </c>
      <c r="H67" s="237">
        <v>51</v>
      </c>
      <c r="I67" s="228">
        <v>51</v>
      </c>
      <c r="J67" s="282">
        <v>50.2</v>
      </c>
      <c r="K67" s="232">
        <v>50.3</v>
      </c>
      <c r="L67" s="235">
        <v>1174069</v>
      </c>
      <c r="M67" s="232">
        <v>2325637</v>
      </c>
      <c r="N67" s="235">
        <v>509</v>
      </c>
      <c r="O67" s="279">
        <v>45378.646261574075</v>
      </c>
      <c r="P67" s="288">
        <v>66</v>
      </c>
      <c r="Q67" s="263">
        <v>0</v>
      </c>
      <c r="R67" s="718">
        <v>0</v>
      </c>
      <c r="S67" s="746">
        <v>0</v>
      </c>
      <c r="T67" s="246">
        <v>0</v>
      </c>
      <c r="U67" s="506"/>
      <c r="V67" s="302"/>
      <c r="W67" s="527">
        <f>V66*(F66/100)</f>
        <v>0</v>
      </c>
      <c r="X67" s="737"/>
      <c r="Y67" s="515">
        <f>IFERROR(INT($AA$1/(F66/100)),"")</f>
        <v>196</v>
      </c>
      <c r="Z67" s="697">
        <f>IFERROR(IF(C67&lt;&gt;"",$Y$1/(D65/100)*(C67/100),""),"")</f>
        <v>92.969390606618617</v>
      </c>
      <c r="AA67" s="698">
        <f>IFERROR($AA$1/(D67/100)*(C65/100),"")</f>
        <v>108101.21616320127</v>
      </c>
      <c r="AB67" s="38"/>
      <c r="AC67" s="381"/>
      <c r="AD67" s="378"/>
      <c r="AE67" s="378"/>
      <c r="AF67" s="378">
        <f t="shared" si="12"/>
        <v>0</v>
      </c>
      <c r="AN67" s="392"/>
    </row>
    <row r="68" spans="1:40" ht="12.75" customHeight="1">
      <c r="A68" s="598" t="s">
        <v>14</v>
      </c>
      <c r="B68" s="661">
        <v>110558</v>
      </c>
      <c r="C68" s="306">
        <v>54.27</v>
      </c>
      <c r="D68" s="256">
        <v>52</v>
      </c>
      <c r="E68" s="661">
        <v>44500</v>
      </c>
      <c r="F68" s="586">
        <v>54.28</v>
      </c>
      <c r="G68" s="313">
        <v>6.9999999999999993E-3</v>
      </c>
      <c r="H68" s="240">
        <v>53.6</v>
      </c>
      <c r="I68" s="229">
        <v>54.45</v>
      </c>
      <c r="J68" s="287">
        <v>53.53</v>
      </c>
      <c r="K68" s="233">
        <v>53.9</v>
      </c>
      <c r="L68" s="248">
        <v>68584755</v>
      </c>
      <c r="M68" s="233">
        <v>127356977</v>
      </c>
      <c r="N68" s="248">
        <v>53335</v>
      </c>
      <c r="O68" s="280">
        <v>45378.647210648145</v>
      </c>
      <c r="P68" s="289">
        <v>67</v>
      </c>
      <c r="Q68" s="264">
        <v>0</v>
      </c>
      <c r="R68" s="729">
        <v>0</v>
      </c>
      <c r="S68" s="747">
        <v>0</v>
      </c>
      <c r="T68" s="245">
        <v>0</v>
      </c>
      <c r="U68" s="507"/>
      <c r="V68" s="373"/>
      <c r="W68" s="528">
        <f t="shared" si="11"/>
        <v>0</v>
      </c>
      <c r="X68" s="739"/>
      <c r="Y68" s="699">
        <f>IF(D68&lt;&gt;0,($C69*(1-$V$1))-$D68,0)</f>
        <v>2.2899999999999991</v>
      </c>
      <c r="Z68" s="700">
        <f>IFERROR(IF(C68&lt;&gt;"",$Y$1/(D64/100)*(C68/100),""),"")</f>
        <v>101.473025225557</v>
      </c>
      <c r="AA68" s="701">
        <f>IFERROR($Z$1/(D68/100)*(C64/100),"")</f>
        <v>104326.92307692306</v>
      </c>
      <c r="AB68" s="38"/>
      <c r="AC68" s="382">
        <f>SUM(AC64:AC67)</f>
        <v>504</v>
      </c>
      <c r="AD68" s="383"/>
      <c r="AE68" s="383"/>
      <c r="AF68" s="383">
        <f>SUM(AF64:AF67)</f>
        <v>241.30390000000003</v>
      </c>
    </row>
    <row r="69" spans="1:40" ht="12.75" customHeight="1">
      <c r="A69" s="758" t="s">
        <v>4</v>
      </c>
      <c r="B69" s="663">
        <v>201233</v>
      </c>
      <c r="C69" s="359">
        <v>54.29</v>
      </c>
      <c r="D69" s="390">
        <v>54.31</v>
      </c>
      <c r="E69" s="520">
        <v>44500</v>
      </c>
      <c r="F69" s="585">
        <v>54.29</v>
      </c>
      <c r="G69" s="370">
        <v>7.1999999999999998E-3</v>
      </c>
      <c r="H69" s="361">
        <v>53.89</v>
      </c>
      <c r="I69" s="362">
        <v>54.45</v>
      </c>
      <c r="J69" s="363">
        <v>53.52</v>
      </c>
      <c r="K69" s="364">
        <v>53.9</v>
      </c>
      <c r="L69" s="356">
        <v>10723175</v>
      </c>
      <c r="M69" s="364">
        <v>19891920</v>
      </c>
      <c r="N69" s="356">
        <v>8615</v>
      </c>
      <c r="O69" s="357">
        <v>45378.647210648145</v>
      </c>
      <c r="P69" s="288">
        <v>68</v>
      </c>
      <c r="Q69" s="358">
        <v>0</v>
      </c>
      <c r="R69" s="726">
        <v>0</v>
      </c>
      <c r="S69" s="745">
        <v>0</v>
      </c>
      <c r="T69" s="366">
        <v>0</v>
      </c>
      <c r="U69" s="506"/>
      <c r="V69" s="405"/>
      <c r="W69" s="529">
        <f>V68*(C68/100)</f>
        <v>0</v>
      </c>
      <c r="X69" s="742"/>
      <c r="Y69" s="516">
        <f>IFERROR(INT($Z$1/(F68/100)),"")</f>
        <v>184</v>
      </c>
      <c r="Z69" s="702">
        <f>IFERROR(IF(C69&lt;&gt;"",$Y$1/(D65/100)*(C69/100),""),"")</f>
        <v>99.926909840295465</v>
      </c>
      <c r="AA69" s="703">
        <f>IFERROR($Z$1/(D69/100)*(C65/100),"")</f>
        <v>101473.02522555699</v>
      </c>
      <c r="AB69" s="38"/>
      <c r="AC69" s="763">
        <f>AF68/AC68</f>
        <v>0.47877757936507942</v>
      </c>
      <c r="AD69" s="763"/>
      <c r="AE69" s="763"/>
      <c r="AF69" s="763"/>
    </row>
    <row r="70" spans="1:40" ht="12.75" customHeight="1">
      <c r="A70" s="759" t="s">
        <v>16</v>
      </c>
      <c r="B70" s="661">
        <v>1144</v>
      </c>
      <c r="C70" s="306">
        <v>56100</v>
      </c>
      <c r="D70" s="256">
        <v>56130</v>
      </c>
      <c r="E70" s="661">
        <v>23588</v>
      </c>
      <c r="F70" s="576">
        <v>56120</v>
      </c>
      <c r="G70" s="310">
        <v>-1.0200000000000001E-2</v>
      </c>
      <c r="H70" s="238">
        <v>57600</v>
      </c>
      <c r="I70" s="230">
        <v>57840</v>
      </c>
      <c r="J70" s="284">
        <v>55220</v>
      </c>
      <c r="K70" s="234">
        <v>56700</v>
      </c>
      <c r="L70" s="252">
        <v>6395275078</v>
      </c>
      <c r="M70" s="234">
        <v>11324846</v>
      </c>
      <c r="N70" s="252">
        <v>3346</v>
      </c>
      <c r="O70" s="278">
        <v>45378.64707175926</v>
      </c>
      <c r="P70" s="289">
        <v>69</v>
      </c>
      <c r="Q70" s="265"/>
      <c r="R70" s="719">
        <v>0</v>
      </c>
      <c r="S70" s="744">
        <v>0</v>
      </c>
      <c r="T70" s="247">
        <v>0</v>
      </c>
      <c r="U70" s="507"/>
      <c r="V70" s="300">
        <v>0</v>
      </c>
      <c r="W70" s="525">
        <f t="shared" ref="W70:W82" si="13">(V70*X70)</f>
        <v>0</v>
      </c>
      <c r="X70" s="743"/>
      <c r="Y70" s="685">
        <f>IF(D70&lt;&gt;0,($C71*(1-$V$1))-$D70,0)</f>
        <v>790</v>
      </c>
      <c r="Z70" s="704"/>
      <c r="AA70" s="691"/>
      <c r="AB70" s="38"/>
      <c r="AC70" s="372">
        <v>506</v>
      </c>
      <c r="AE70" s="47">
        <v>0.48499999999999999</v>
      </c>
      <c r="AF70" s="47">
        <f>AC70*AE70</f>
        <v>245.41</v>
      </c>
    </row>
    <row r="71" spans="1:40" ht="12.75" customHeight="1">
      <c r="A71" s="599" t="s">
        <v>5</v>
      </c>
      <c r="B71" s="662">
        <v>1144</v>
      </c>
      <c r="C71" s="239">
        <v>56920</v>
      </c>
      <c r="D71" s="391">
        <v>57000</v>
      </c>
      <c r="E71" s="664">
        <v>23588</v>
      </c>
      <c r="F71" s="577">
        <v>57000</v>
      </c>
      <c r="G71" s="312">
        <v>-0.01</v>
      </c>
      <c r="H71" s="237">
        <v>57800</v>
      </c>
      <c r="I71" s="228">
        <v>58390</v>
      </c>
      <c r="J71" s="282">
        <v>56760</v>
      </c>
      <c r="K71" s="232">
        <v>57580</v>
      </c>
      <c r="L71" s="235">
        <v>8684736217</v>
      </c>
      <c r="M71" s="232">
        <v>15193751</v>
      </c>
      <c r="N71" s="235">
        <v>3382</v>
      </c>
      <c r="O71" s="279">
        <v>45378.647199074076</v>
      </c>
      <c r="P71" s="288">
        <v>70</v>
      </c>
      <c r="Q71" s="263">
        <v>0</v>
      </c>
      <c r="R71" s="718">
        <v>0</v>
      </c>
      <c r="S71" s="746">
        <v>0</v>
      </c>
      <c r="T71" s="246">
        <v>0</v>
      </c>
      <c r="U71" s="506"/>
      <c r="V71" s="375">
        <v>0</v>
      </c>
      <c r="W71" s="523">
        <f>V70*(F71/100)</f>
        <v>0</v>
      </c>
      <c r="X71" s="737"/>
      <c r="Y71" s="514">
        <f>IFERROR(INT($Y$1/(F70/100)),"")</f>
        <v>180</v>
      </c>
      <c r="Z71" s="692"/>
      <c r="AA71" s="693"/>
      <c r="AB71" s="38"/>
      <c r="AC71" s="372">
        <v>350</v>
      </c>
      <c r="AE71" s="47">
        <v>0.47600999999999999</v>
      </c>
      <c r="AF71" s="47">
        <f t="shared" ref="AF71:AF73" si="14">AC71*AE71</f>
        <v>166.6035</v>
      </c>
    </row>
    <row r="72" spans="1:40" ht="12.75" customHeight="1">
      <c r="A72" s="598" t="s">
        <v>17</v>
      </c>
      <c r="B72" s="661">
        <v>634</v>
      </c>
      <c r="C72" s="306">
        <v>52.47</v>
      </c>
      <c r="D72" s="256">
        <v>52.85</v>
      </c>
      <c r="E72" s="661">
        <v>54322</v>
      </c>
      <c r="F72" s="586">
        <v>52.84</v>
      </c>
      <c r="G72" s="313">
        <v>-1E-4</v>
      </c>
      <c r="H72" s="240">
        <v>52.25</v>
      </c>
      <c r="I72" s="229">
        <v>52.85</v>
      </c>
      <c r="J72" s="287">
        <v>52.25</v>
      </c>
      <c r="K72" s="233">
        <v>52.85</v>
      </c>
      <c r="L72" s="248">
        <v>434831</v>
      </c>
      <c r="M72" s="233">
        <v>828785</v>
      </c>
      <c r="N72" s="248">
        <v>216</v>
      </c>
      <c r="O72" s="280">
        <v>45378.645914351851</v>
      </c>
      <c r="P72" s="289">
        <v>71</v>
      </c>
      <c r="Q72" s="264">
        <v>0</v>
      </c>
      <c r="R72" s="729">
        <v>0</v>
      </c>
      <c r="S72" s="747">
        <v>0</v>
      </c>
      <c r="T72" s="245">
        <v>0</v>
      </c>
      <c r="U72" s="507"/>
      <c r="V72" s="303">
        <v>0</v>
      </c>
      <c r="W72" s="526">
        <f t="shared" ref="W72" si="15">(V72*X72)</f>
        <v>0</v>
      </c>
      <c r="X72" s="743"/>
      <c r="Y72" s="694">
        <f>IF(D72&lt;&gt;0,($C73*(1-$V$1))-$D72,0)</f>
        <v>-0.35000000000000142</v>
      </c>
      <c r="Z72" s="695">
        <f>IFERROR(IF(C72&lt;&gt;"",$Y$1/(D70/100)*(C72/100),""),"")</f>
        <v>94.856398246659097</v>
      </c>
      <c r="AA72" s="696">
        <f>IFERROR($AA$1/(D72/100)*(C70/100),"")</f>
        <v>106149.47965941345</v>
      </c>
      <c r="AB72" s="38"/>
      <c r="AC72" s="372"/>
      <c r="AF72" s="47">
        <f t="shared" si="14"/>
        <v>0</v>
      </c>
    </row>
    <row r="73" spans="1:40" ht="12.75" customHeight="1">
      <c r="A73" s="599" t="s">
        <v>6</v>
      </c>
      <c r="B73" s="662">
        <v>634</v>
      </c>
      <c r="C73" s="239">
        <v>52.5</v>
      </c>
      <c r="D73" s="391">
        <v>52.85</v>
      </c>
      <c r="E73" s="664">
        <v>100000</v>
      </c>
      <c r="F73" s="577">
        <v>52.7</v>
      </c>
      <c r="G73" s="312">
        <v>8.6E-3</v>
      </c>
      <c r="H73" s="237">
        <v>52.88</v>
      </c>
      <c r="I73" s="228">
        <v>52.88</v>
      </c>
      <c r="J73" s="282">
        <v>52.3</v>
      </c>
      <c r="K73" s="232">
        <v>52.25</v>
      </c>
      <c r="L73" s="235">
        <v>144312</v>
      </c>
      <c r="M73" s="232">
        <v>275343</v>
      </c>
      <c r="N73" s="235">
        <v>108</v>
      </c>
      <c r="O73" s="279">
        <v>45378.645555555559</v>
      </c>
      <c r="P73" s="288">
        <v>72</v>
      </c>
      <c r="Q73" s="263">
        <v>0</v>
      </c>
      <c r="R73" s="718">
        <v>0</v>
      </c>
      <c r="S73" s="746">
        <v>0</v>
      </c>
      <c r="T73" s="246">
        <v>0</v>
      </c>
      <c r="U73" s="506"/>
      <c r="V73" s="302">
        <v>0</v>
      </c>
      <c r="W73" s="527">
        <f>V72*(F72/100)</f>
        <v>0</v>
      </c>
      <c r="X73" s="737"/>
      <c r="Y73" s="515">
        <f>IFERROR(INT($AA$1/(F72/100)),"")</f>
        <v>189</v>
      </c>
      <c r="Z73" s="697">
        <f>IFERROR(IF(C73&lt;&gt;"",$Y$1/(D71/100)*(C73/100),""),"")</f>
        <v>93.461996918276185</v>
      </c>
      <c r="AA73" s="698">
        <f>IFERROR($AA$1/(D73/100)*(C71/100),"")</f>
        <v>107701.04068117315</v>
      </c>
      <c r="AB73" s="38"/>
      <c r="AC73" s="378"/>
      <c r="AD73" s="378"/>
      <c r="AE73" s="378"/>
      <c r="AF73" s="378">
        <f t="shared" si="14"/>
        <v>0</v>
      </c>
    </row>
    <row r="74" spans="1:40" ht="12.75" customHeight="1">
      <c r="A74" s="598" t="s">
        <v>18</v>
      </c>
      <c r="B74" s="661">
        <v>45</v>
      </c>
      <c r="C74" s="306">
        <v>56.12</v>
      </c>
      <c r="D74" s="256">
        <v>56.34</v>
      </c>
      <c r="E74" s="661">
        <v>18348</v>
      </c>
      <c r="F74" s="586">
        <v>56.19</v>
      </c>
      <c r="G74" s="313">
        <v>1E-3</v>
      </c>
      <c r="H74" s="240">
        <v>56.08</v>
      </c>
      <c r="I74" s="229">
        <v>56.5</v>
      </c>
      <c r="J74" s="287">
        <v>55.46</v>
      </c>
      <c r="K74" s="233">
        <v>56.13</v>
      </c>
      <c r="L74" s="248">
        <v>2911736</v>
      </c>
      <c r="M74" s="233">
        <v>5208765</v>
      </c>
      <c r="N74" s="248">
        <v>1804</v>
      </c>
      <c r="O74" s="280">
        <v>45378.64702546296</v>
      </c>
      <c r="P74" s="289">
        <v>73</v>
      </c>
      <c r="Q74" s="264">
        <v>0</v>
      </c>
      <c r="R74" s="729">
        <v>0</v>
      </c>
      <c r="S74" s="747">
        <v>0</v>
      </c>
      <c r="T74" s="245">
        <v>0</v>
      </c>
      <c r="U74" s="507"/>
      <c r="V74" s="373">
        <v>0</v>
      </c>
      <c r="W74" s="528">
        <f t="shared" si="13"/>
        <v>0</v>
      </c>
      <c r="X74" s="739"/>
      <c r="Y74" s="699">
        <f>IF(D74&lt;&gt;0,($C75*(1-$V$1))-$D74,0)</f>
        <v>-0.30000000000000426</v>
      </c>
      <c r="Z74" s="700">
        <f>IFERROR(IF(C74&lt;&gt;"",$Y$1/(D70/100)*(C74/100),""),"")</f>
        <v>101.45494700976765</v>
      </c>
      <c r="AA74" s="701">
        <f>IFERROR($Z$1/(D74/100)*(C70/100),"")</f>
        <v>99574.014909478166</v>
      </c>
      <c r="AB74" s="38"/>
      <c r="AC74" s="382">
        <f>SUM(AC70:AC73)</f>
        <v>856</v>
      </c>
      <c r="AD74" s="383"/>
      <c r="AE74" s="383" t="s">
        <v>588</v>
      </c>
      <c r="AF74" s="383">
        <f>SUM(AF70:AF73)</f>
        <v>412.01350000000002</v>
      </c>
    </row>
    <row r="75" spans="1:40" ht="12.75" customHeight="1">
      <c r="A75" s="758" t="s">
        <v>7</v>
      </c>
      <c r="B75" s="663">
        <v>45</v>
      </c>
      <c r="C75" s="359">
        <v>56.04</v>
      </c>
      <c r="D75" s="390">
        <v>56.38</v>
      </c>
      <c r="E75" s="520">
        <v>18348</v>
      </c>
      <c r="F75" s="585">
        <v>56.23</v>
      </c>
      <c r="G75" s="370">
        <v>3.9000000000000003E-3</v>
      </c>
      <c r="H75" s="361">
        <v>56.1</v>
      </c>
      <c r="I75" s="362">
        <v>56.65</v>
      </c>
      <c r="J75" s="363">
        <v>55.56</v>
      </c>
      <c r="K75" s="364">
        <v>56.01</v>
      </c>
      <c r="L75" s="367">
        <v>595818</v>
      </c>
      <c r="M75" s="364">
        <v>1065486</v>
      </c>
      <c r="N75" s="356">
        <v>731</v>
      </c>
      <c r="O75" s="357">
        <v>45378.647037037037</v>
      </c>
      <c r="P75" s="288">
        <v>74</v>
      </c>
      <c r="Q75" s="358">
        <v>0</v>
      </c>
      <c r="R75" s="726">
        <v>0</v>
      </c>
      <c r="S75" s="745">
        <v>0</v>
      </c>
      <c r="T75" s="366">
        <v>0</v>
      </c>
      <c r="U75" s="506"/>
      <c r="V75" s="374">
        <v>0</v>
      </c>
      <c r="W75" s="529">
        <f>V74*(F74/100)</f>
        <v>0</v>
      </c>
      <c r="X75" s="742"/>
      <c r="Y75" s="516">
        <f>IFERROR(INT($Z$1/(F74/100)),"")</f>
        <v>177</v>
      </c>
      <c r="Z75" s="702">
        <f>IFERROR(IF(C75&lt;&gt;"",$Y$1/(D71/100)*(C75/100),""),"")</f>
        <v>99.764005853337096</v>
      </c>
      <c r="AA75" s="703">
        <f>IFERROR($Z$1/(D75/100)*(C71/100),"")</f>
        <v>100957.78644909542</v>
      </c>
      <c r="AB75" s="38"/>
      <c r="AC75" s="763">
        <f>AF74/AC74</f>
        <v>0.48132418224299067</v>
      </c>
      <c r="AD75" s="763"/>
      <c r="AE75" s="763"/>
      <c r="AF75" s="763"/>
    </row>
    <row r="76" spans="1:40" ht="12.75" customHeight="1">
      <c r="A76" s="760" t="s">
        <v>582</v>
      </c>
      <c r="B76" s="249">
        <v>45000</v>
      </c>
      <c r="C76" s="306">
        <v>175.501</v>
      </c>
      <c r="D76" s="256">
        <v>175.97200000000001</v>
      </c>
      <c r="E76" s="249">
        <v>24941315</v>
      </c>
      <c r="F76" s="576">
        <v>175.5</v>
      </c>
      <c r="G76" s="310">
        <v>-9.4999999999999998E-3</v>
      </c>
      <c r="H76" s="238">
        <v>179</v>
      </c>
      <c r="I76" s="230">
        <v>179.40700000000001</v>
      </c>
      <c r="J76" s="284">
        <v>175.16200000000001</v>
      </c>
      <c r="K76" s="234">
        <v>177.2</v>
      </c>
      <c r="L76" s="252">
        <v>8187039515</v>
      </c>
      <c r="M76" s="234">
        <v>4630139000</v>
      </c>
      <c r="N76" s="252">
        <v>2018</v>
      </c>
      <c r="O76" s="278">
        <v>45378.646423611113</v>
      </c>
      <c r="P76" s="289">
        <v>75</v>
      </c>
      <c r="Q76" s="265">
        <v>0</v>
      </c>
      <c r="R76" s="719">
        <v>0</v>
      </c>
      <c r="S76" s="744">
        <v>0</v>
      </c>
      <c r="T76" s="247">
        <v>0</v>
      </c>
      <c r="U76" s="507"/>
      <c r="V76" s="387"/>
      <c r="W76" s="414">
        <f>V76*X76</f>
        <v>0</v>
      </c>
      <c r="X76" s="743"/>
      <c r="Y76" s="685">
        <f>IF(D76&lt;&gt;0,($C77*(1-$V$1))-$D76,0)</f>
        <v>2.0279999999999916</v>
      </c>
      <c r="Z76" s="704"/>
      <c r="AA76" s="691"/>
      <c r="AB76" s="38"/>
    </row>
    <row r="77" spans="1:40" ht="12.75" customHeight="1">
      <c r="A77" s="599" t="s">
        <v>583</v>
      </c>
      <c r="B77" s="657">
        <v>939186</v>
      </c>
      <c r="C77" s="239">
        <v>178</v>
      </c>
      <c r="D77" s="391">
        <v>178.2</v>
      </c>
      <c r="E77" s="665">
        <v>849284</v>
      </c>
      <c r="F77" s="577">
        <v>178.2</v>
      </c>
      <c r="G77" s="312">
        <v>-4.4000000000000003E-3</v>
      </c>
      <c r="H77" s="237">
        <v>179</v>
      </c>
      <c r="I77" s="228">
        <v>182.577</v>
      </c>
      <c r="J77" s="282">
        <v>177.70099999999999</v>
      </c>
      <c r="K77" s="232">
        <v>179</v>
      </c>
      <c r="L77" s="235">
        <v>2021153778</v>
      </c>
      <c r="M77" s="232">
        <v>1126736749</v>
      </c>
      <c r="N77" s="235">
        <v>1202</v>
      </c>
      <c r="O77" s="279">
        <v>45378.647141203706</v>
      </c>
      <c r="P77" s="288">
        <v>76</v>
      </c>
      <c r="Q77" s="263">
        <v>0</v>
      </c>
      <c r="R77" s="718">
        <v>0</v>
      </c>
      <c r="S77" s="746">
        <v>0</v>
      </c>
      <c r="T77" s="246">
        <v>0</v>
      </c>
      <c r="U77" s="506"/>
      <c r="V77" s="384">
        <v>0</v>
      </c>
      <c r="W77" s="409">
        <f>V76*(F76/100)</f>
        <v>0</v>
      </c>
      <c r="X77" s="737"/>
      <c r="Y77" s="514">
        <f>IFERROR(INT($Y$1/(F76/100)),"")</f>
        <v>57819</v>
      </c>
      <c r="Z77" s="692"/>
      <c r="AA77" s="693"/>
      <c r="AB77" s="38"/>
    </row>
    <row r="78" spans="1:40" ht="12.75" hidden="1" customHeight="1">
      <c r="A78" s="598" t="s">
        <v>584</v>
      </c>
      <c r="B78" s="249">
        <v>680517191</v>
      </c>
      <c r="C78" s="306">
        <v>0.16400000000000001</v>
      </c>
      <c r="D78" s="256">
        <v>0.16500000000000001</v>
      </c>
      <c r="E78" s="249">
        <v>74479442</v>
      </c>
      <c r="F78" s="586">
        <v>0.16500000000000001</v>
      </c>
      <c r="G78" s="313">
        <v>-2.3599999999999999E-2</v>
      </c>
      <c r="H78" s="240">
        <v>0.16900000000000001</v>
      </c>
      <c r="I78" s="229">
        <v>0.17599999999999999</v>
      </c>
      <c r="J78" s="287">
        <v>0.161</v>
      </c>
      <c r="K78" s="233">
        <v>0.16900000000000001</v>
      </c>
      <c r="L78" s="248">
        <v>2394342</v>
      </c>
      <c r="M78" s="233">
        <v>1448705855</v>
      </c>
      <c r="N78" s="248">
        <v>584</v>
      </c>
      <c r="O78" s="280">
        <v>45378.646226851852</v>
      </c>
      <c r="P78" s="289">
        <v>77</v>
      </c>
      <c r="Q78" s="264">
        <v>0</v>
      </c>
      <c r="R78" s="729">
        <v>0</v>
      </c>
      <c r="S78" s="747">
        <v>0</v>
      </c>
      <c r="T78" s="245">
        <v>0</v>
      </c>
      <c r="U78" s="507"/>
      <c r="V78" s="388">
        <v>0</v>
      </c>
      <c r="W78" s="410">
        <f t="shared" ref="W78" si="16">(V78*X78)</f>
        <v>0</v>
      </c>
      <c r="X78" s="743"/>
      <c r="Y78" s="694">
        <f>IF(D78&lt;&gt;0,($C79*(1-$V$1))-$D78,0)</f>
        <v>-1.0000000000000009E-3</v>
      </c>
      <c r="Z78" s="695">
        <f>IFERROR(IF(C78&lt;&gt;"",$Y$1/(D76/100)*(C78/100),""),"")</f>
        <v>94.569455009838762</v>
      </c>
      <c r="AA78" s="696">
        <f>IFERROR($AA$1/(D78/100)*(C76/100),"")</f>
        <v>106364.24242424243</v>
      </c>
      <c r="AB78" s="38"/>
    </row>
    <row r="79" spans="1:40" ht="12.75" hidden="1" customHeight="1">
      <c r="A79" s="599" t="s">
        <v>585</v>
      </c>
      <c r="B79" s="657">
        <v>182926829</v>
      </c>
      <c r="C79" s="239">
        <v>0.16400000000000001</v>
      </c>
      <c r="D79" s="391"/>
      <c r="E79" s="665"/>
      <c r="F79" s="577"/>
      <c r="G79" s="312"/>
      <c r="H79" s="237"/>
      <c r="I79" s="228"/>
      <c r="J79" s="282"/>
      <c r="K79" s="232">
        <v>0.161</v>
      </c>
      <c r="L79" s="235"/>
      <c r="M79" s="232"/>
      <c r="N79" s="235"/>
      <c r="O79" s="279"/>
      <c r="P79" s="288">
        <v>78</v>
      </c>
      <c r="Q79" s="263">
        <v>0</v>
      </c>
      <c r="R79" s="718">
        <v>0</v>
      </c>
      <c r="S79" s="746">
        <v>0</v>
      </c>
      <c r="T79" s="246">
        <v>0</v>
      </c>
      <c r="U79" s="506"/>
      <c r="V79" s="385">
        <v>0</v>
      </c>
      <c r="W79" s="411">
        <f>V78*(F78/100)</f>
        <v>0</v>
      </c>
      <c r="X79" s="737"/>
      <c r="Y79" s="515">
        <f>IFERROR(INT($AA$1/(F78/100)),"")</f>
        <v>60606</v>
      </c>
      <c r="Z79" s="697">
        <f>IFERROR(IF(C79&lt;&gt;"",$Y$1/(D77/100)*(C79/100),""),"")</f>
        <v>93.387071475821259</v>
      </c>
      <c r="AA79" s="698" t="str">
        <f>IFERROR($AA$1/(D79/100)*(C77/100),"")</f>
        <v/>
      </c>
      <c r="AB79" s="38"/>
    </row>
    <row r="80" spans="1:40" ht="12.75" customHeight="1">
      <c r="A80" s="598" t="s">
        <v>586</v>
      </c>
      <c r="B80" s="249">
        <v>457609287</v>
      </c>
      <c r="C80" s="402">
        <v>0.17499999999999999</v>
      </c>
      <c r="D80" s="403">
        <v>0.17699999999999999</v>
      </c>
      <c r="E80" s="249">
        <v>357400098</v>
      </c>
      <c r="F80" s="586">
        <v>0.17699999999999999</v>
      </c>
      <c r="G80" s="313">
        <v>-2.7400000000000001E-2</v>
      </c>
      <c r="H80" s="240">
        <v>0.17299999999999999</v>
      </c>
      <c r="I80" s="229">
        <v>0.17699999999999999</v>
      </c>
      <c r="J80" s="287">
        <v>0.17299999999999999</v>
      </c>
      <c r="K80" s="233">
        <v>0.182</v>
      </c>
      <c r="L80" s="248">
        <v>2847573</v>
      </c>
      <c r="M80" s="233">
        <v>1621962943</v>
      </c>
      <c r="N80" s="248">
        <v>783</v>
      </c>
      <c r="O80" s="280">
        <v>45378.647141203706</v>
      </c>
      <c r="P80" s="289">
        <v>79</v>
      </c>
      <c r="Q80" s="264">
        <v>0</v>
      </c>
      <c r="R80" s="729">
        <v>0</v>
      </c>
      <c r="S80" s="747">
        <v>0</v>
      </c>
      <c r="T80" s="245">
        <v>0</v>
      </c>
      <c r="U80" s="507"/>
      <c r="V80" s="389">
        <v>0</v>
      </c>
      <c r="W80" s="412">
        <f t="shared" si="13"/>
        <v>0</v>
      </c>
      <c r="X80" s="739"/>
      <c r="Y80" s="699">
        <f>IF(D80&lt;&gt;0,($C81*(1-$V$1))-$D80,0)</f>
        <v>-2.0000000000000018E-3</v>
      </c>
      <c r="Z80" s="700">
        <f>IFERROR(IF(C80&lt;&gt;"",$Y$1/(D76/100)*(C80/100),""),"")</f>
        <v>100.91252821171818</v>
      </c>
      <c r="AA80" s="701">
        <f>IFERROR($Z$1/(D80/100)*(C76/100),"")</f>
        <v>99153.107344632779</v>
      </c>
      <c r="AB80" s="38"/>
      <c r="AC80"/>
    </row>
    <row r="81" spans="1:29" ht="12.75" customHeight="1">
      <c r="A81" s="758" t="s">
        <v>587</v>
      </c>
      <c r="B81" s="395">
        <v>10000</v>
      </c>
      <c r="C81" s="359">
        <v>0.17499999999999999</v>
      </c>
      <c r="D81" s="390">
        <v>0.17599999999999999</v>
      </c>
      <c r="E81" s="660">
        <v>453765</v>
      </c>
      <c r="F81" s="585">
        <v>0.17599999999999999</v>
      </c>
      <c r="G81" s="370">
        <v>-5.6000000000000008E-3</v>
      </c>
      <c r="H81" s="361">
        <v>0.17699999999999999</v>
      </c>
      <c r="I81" s="362">
        <v>0.17699999999999999</v>
      </c>
      <c r="J81" s="363">
        <v>0.17399999999999999</v>
      </c>
      <c r="K81" s="364">
        <v>0.17699999999999999</v>
      </c>
      <c r="L81" s="356">
        <v>2129</v>
      </c>
      <c r="M81" s="364">
        <v>1217159</v>
      </c>
      <c r="N81" s="356">
        <v>19</v>
      </c>
      <c r="O81" s="357">
        <v>45378.627789351849</v>
      </c>
      <c r="P81" s="288">
        <v>80</v>
      </c>
      <c r="Q81" s="358">
        <v>0</v>
      </c>
      <c r="R81" s="726">
        <v>0</v>
      </c>
      <c r="S81" s="745">
        <v>0</v>
      </c>
      <c r="T81" s="366">
        <v>0</v>
      </c>
      <c r="U81" s="506"/>
      <c r="V81" s="386">
        <v>0</v>
      </c>
      <c r="W81" s="413">
        <f>V80*(F80/100)</f>
        <v>0</v>
      </c>
      <c r="X81" s="742"/>
      <c r="Y81" s="516">
        <f>IFERROR(INT($Z$1/(F80/100)),"")</f>
        <v>56497</v>
      </c>
      <c r="Z81" s="702">
        <f>IFERROR(IF(C81&lt;&gt;"",$Y$1/(D77/100)*(C81/100),""),"")</f>
        <v>99.65083846505317</v>
      </c>
      <c r="AA81" s="703">
        <f>IFERROR($Z$1/(D81/100)*(C77/100),"")</f>
        <v>101136.36363636365</v>
      </c>
      <c r="AB81" s="38"/>
      <c r="AC81"/>
    </row>
    <row r="82" spans="1:29" ht="12.75" customHeight="1">
      <c r="A82" s="760" t="s">
        <v>618</v>
      </c>
      <c r="B82" s="249">
        <v>208384</v>
      </c>
      <c r="C82" s="306">
        <v>101.11</v>
      </c>
      <c r="D82" s="256">
        <v>102</v>
      </c>
      <c r="E82" s="249">
        <v>39643052</v>
      </c>
      <c r="F82" s="576">
        <v>102</v>
      </c>
      <c r="G82" s="310">
        <v>1.78E-2</v>
      </c>
      <c r="H82" s="238">
        <v>100.992</v>
      </c>
      <c r="I82" s="230">
        <v>102.6</v>
      </c>
      <c r="J82" s="284">
        <v>100.5</v>
      </c>
      <c r="K82" s="234">
        <v>100.21</v>
      </c>
      <c r="L82" s="252">
        <v>87478796</v>
      </c>
      <c r="M82" s="234">
        <v>86093558</v>
      </c>
      <c r="N82" s="252">
        <v>363</v>
      </c>
      <c r="O82" s="278">
        <v>45378.646145833336</v>
      </c>
      <c r="P82" s="289">
        <v>81</v>
      </c>
      <c r="Q82" s="265">
        <v>0</v>
      </c>
      <c r="R82" s="719">
        <v>0</v>
      </c>
      <c r="S82" s="744">
        <v>0</v>
      </c>
      <c r="T82" s="247">
        <v>0</v>
      </c>
      <c r="U82" s="507"/>
      <c r="V82" s="376"/>
      <c r="W82" s="414">
        <f t="shared" si="13"/>
        <v>0</v>
      </c>
      <c r="X82" s="743"/>
      <c r="Y82" s="685">
        <f>IF(D82&lt;&gt;0,($C83*(1-$V$1))-$D82,0)</f>
        <v>0.29999999999999716</v>
      </c>
      <c r="Z82" s="704"/>
      <c r="AA82" s="691"/>
      <c r="AB82" s="38"/>
      <c r="AC82"/>
    </row>
    <row r="83" spans="1:29" ht="12.75" customHeight="1">
      <c r="A83" s="599" t="s">
        <v>619</v>
      </c>
      <c r="B83" s="657">
        <v>28910068</v>
      </c>
      <c r="C83" s="239">
        <v>102.3</v>
      </c>
      <c r="D83" s="391">
        <v>102.35</v>
      </c>
      <c r="E83" s="665">
        <v>9235379</v>
      </c>
      <c r="F83" s="577">
        <v>102.35</v>
      </c>
      <c r="G83" s="312">
        <v>5.7999999999999996E-3</v>
      </c>
      <c r="H83" s="237">
        <v>101.8</v>
      </c>
      <c r="I83" s="228">
        <v>104.8</v>
      </c>
      <c r="J83" s="282">
        <v>101.8</v>
      </c>
      <c r="K83" s="232">
        <v>101.75</v>
      </c>
      <c r="L83" s="235">
        <v>5667777942</v>
      </c>
      <c r="M83" s="232">
        <v>5538999433</v>
      </c>
      <c r="N83" s="235">
        <v>1444</v>
      </c>
      <c r="O83" s="279">
        <v>45378.647210648145</v>
      </c>
      <c r="P83" s="288">
        <v>82</v>
      </c>
      <c r="Q83" s="263">
        <v>0</v>
      </c>
      <c r="R83" s="718">
        <v>0</v>
      </c>
      <c r="S83" s="746">
        <v>0</v>
      </c>
      <c r="T83" s="246">
        <v>0</v>
      </c>
      <c r="U83" s="506"/>
      <c r="V83" s="375"/>
      <c r="W83" s="409">
        <f>V82*(D83/100)</f>
        <v>0</v>
      </c>
      <c r="X83" s="737"/>
      <c r="Y83" s="514">
        <f>IFERROR(INT($Y$1/(F82/100)),"")</f>
        <v>99483</v>
      </c>
      <c r="Z83" s="692"/>
      <c r="AA83" s="693"/>
      <c r="AB83" s="38"/>
      <c r="AC83"/>
    </row>
    <row r="84" spans="1:29" ht="12.75" hidden="1" customHeight="1">
      <c r="A84" s="598" t="s">
        <v>620</v>
      </c>
      <c r="B84" s="249"/>
      <c r="C84" s="306"/>
      <c r="D84" s="256"/>
      <c r="E84" s="249"/>
      <c r="F84" s="586"/>
      <c r="G84" s="313"/>
      <c r="H84" s="240"/>
      <c r="I84" s="229"/>
      <c r="J84" s="287"/>
      <c r="K84" s="233"/>
      <c r="L84" s="248"/>
      <c r="M84" s="233"/>
      <c r="N84" s="248"/>
      <c r="O84" s="280"/>
      <c r="P84" s="289">
        <v>83</v>
      </c>
      <c r="Q84" s="264">
        <v>0</v>
      </c>
      <c r="R84" s="729">
        <v>0</v>
      </c>
      <c r="S84" s="747">
        <v>0</v>
      </c>
      <c r="T84" s="245">
        <v>0</v>
      </c>
      <c r="U84" s="507"/>
      <c r="V84" s="303"/>
      <c r="W84" s="410">
        <f t="shared" ref="W84" si="17">(V84*X84)</f>
        <v>0</v>
      </c>
      <c r="X84" s="743"/>
      <c r="Y84" s="694">
        <f>IF(D84&lt;&gt;0,($C85*(1-$V$1))-$D84,0)</f>
        <v>0</v>
      </c>
      <c r="Z84" s="695" t="str">
        <f>IFERROR(IF(C84&lt;&gt;"",$Y$1/(D82/100)*(C84/100),""),"")</f>
        <v/>
      </c>
      <c r="AA84" s="696" t="str">
        <f>IFERROR($AA$1/(D84/100)*(C82/100),"")</f>
        <v/>
      </c>
      <c r="AB84" s="38"/>
      <c r="AC84"/>
    </row>
    <row r="85" spans="1:29" ht="12.75" hidden="1" customHeight="1">
      <c r="A85" s="599" t="s">
        <v>621</v>
      </c>
      <c r="B85" s="657"/>
      <c r="C85" s="239"/>
      <c r="D85" s="391"/>
      <c r="E85" s="665"/>
      <c r="F85" s="577"/>
      <c r="G85" s="312"/>
      <c r="H85" s="237"/>
      <c r="I85" s="228"/>
      <c r="J85" s="282"/>
      <c r="K85" s="232"/>
      <c r="L85" s="235"/>
      <c r="M85" s="232"/>
      <c r="N85" s="235"/>
      <c r="O85" s="279"/>
      <c r="P85" s="288">
        <v>84</v>
      </c>
      <c r="Q85" s="263">
        <v>0</v>
      </c>
      <c r="R85" s="718">
        <v>0</v>
      </c>
      <c r="S85" s="746">
        <v>0</v>
      </c>
      <c r="T85" s="246">
        <v>0</v>
      </c>
      <c r="U85" s="506"/>
      <c r="V85" s="302">
        <v>0</v>
      </c>
      <c r="W85" s="411">
        <f>V84*(F84/100)</f>
        <v>0</v>
      </c>
      <c r="X85" s="737"/>
      <c r="Y85" s="515" t="str">
        <f>IFERROR(INT($AA$1/(F84/100)),"")</f>
        <v/>
      </c>
      <c r="Z85" s="697" t="str">
        <f>IFERROR(IF(C85&lt;&gt;"",$Y$1/(D83/100)*(C85/100),""),"")</f>
        <v/>
      </c>
      <c r="AA85" s="698" t="str">
        <f>IFERROR($AA$1/(D85/100)*(C83/100),"")</f>
        <v/>
      </c>
      <c r="AB85" s="38"/>
      <c r="AC85"/>
    </row>
    <row r="86" spans="1:29" ht="12.75" customHeight="1">
      <c r="A86" s="598" t="s">
        <v>622</v>
      </c>
      <c r="B86" s="249"/>
      <c r="C86" s="306"/>
      <c r="D86" s="256"/>
      <c r="E86" s="249"/>
      <c r="F86" s="586"/>
      <c r="G86" s="313"/>
      <c r="H86" s="240"/>
      <c r="I86" s="229"/>
      <c r="J86" s="287"/>
      <c r="K86" s="233"/>
      <c r="L86" s="248"/>
      <c r="M86" s="233"/>
      <c r="N86" s="248"/>
      <c r="O86" s="280"/>
      <c r="P86" s="289">
        <v>85</v>
      </c>
      <c r="Q86" s="264">
        <v>0</v>
      </c>
      <c r="R86" s="729">
        <v>0</v>
      </c>
      <c r="S86" s="747">
        <v>0</v>
      </c>
      <c r="T86" s="245">
        <v>0</v>
      </c>
      <c r="U86" s="507"/>
      <c r="V86" s="373">
        <v>0</v>
      </c>
      <c r="W86" s="412">
        <f t="shared" ref="W86" si="18">(V86*X86)</f>
        <v>0</v>
      </c>
      <c r="X86" s="739"/>
      <c r="Y86" s="699">
        <f>IF(D86&lt;&gt;0,($C87*(1-$V$1))-$D86,0)</f>
        <v>0</v>
      </c>
      <c r="Z86" s="700" t="str">
        <f>IFERROR(IF(C86&lt;&gt;"",$Y$1/(D82/100)*(C86/100),""),"")</f>
        <v/>
      </c>
      <c r="AA86" s="701" t="str">
        <f>IFERROR($Z$1/(D86/100)*(C82/100),"")</f>
        <v/>
      </c>
      <c r="AB86" s="38"/>
      <c r="AC86"/>
    </row>
    <row r="87" spans="1:29" ht="12.75" customHeight="1">
      <c r="A87" s="758" t="s">
        <v>623</v>
      </c>
      <c r="B87" s="395"/>
      <c r="C87" s="359"/>
      <c r="D87" s="390"/>
      <c r="E87" s="660"/>
      <c r="F87" s="585"/>
      <c r="G87" s="370"/>
      <c r="H87" s="361"/>
      <c r="I87" s="362"/>
      <c r="J87" s="363"/>
      <c r="K87" s="364"/>
      <c r="L87" s="356"/>
      <c r="M87" s="364"/>
      <c r="N87" s="356"/>
      <c r="O87" s="357"/>
      <c r="P87" s="288">
        <v>86</v>
      </c>
      <c r="Q87" s="358">
        <v>0</v>
      </c>
      <c r="R87" s="726">
        <v>0</v>
      </c>
      <c r="S87" s="745">
        <v>0</v>
      </c>
      <c r="T87" s="366">
        <v>0</v>
      </c>
      <c r="U87" s="506"/>
      <c r="V87" s="374">
        <v>0</v>
      </c>
      <c r="W87" s="415">
        <f>V86*(F86/100)</f>
        <v>0</v>
      </c>
      <c r="X87" s="742"/>
      <c r="Y87" s="516" t="str">
        <f>IFERROR(INT($Z$1/(F86/100)),"")</f>
        <v/>
      </c>
      <c r="Z87" s="702" t="str">
        <f>IFERROR(IF(C87&lt;&gt;"",$Y$1/(D83/100)*(C87/100),""),"")</f>
        <v/>
      </c>
      <c r="AA87" s="703" t="str">
        <f>IFERROR($Z$1/(D87/100)*(C83/100),"")</f>
        <v/>
      </c>
      <c r="AB87" s="38"/>
      <c r="AC87"/>
    </row>
    <row r="88" spans="1:29" ht="12.75" customHeight="1">
      <c r="A88" s="760" t="s">
        <v>568</v>
      </c>
      <c r="B88" s="249">
        <v>150</v>
      </c>
      <c r="C88" s="306">
        <v>86200</v>
      </c>
      <c r="D88" s="256">
        <v>86470</v>
      </c>
      <c r="E88" s="249">
        <v>10390</v>
      </c>
      <c r="F88" s="576">
        <v>86470</v>
      </c>
      <c r="G88" s="310">
        <v>4.1999999999999997E-3</v>
      </c>
      <c r="H88" s="238">
        <v>87890</v>
      </c>
      <c r="I88" s="230">
        <v>89940</v>
      </c>
      <c r="J88" s="284">
        <v>86120</v>
      </c>
      <c r="K88" s="234">
        <v>86100</v>
      </c>
      <c r="L88" s="252">
        <v>68883740</v>
      </c>
      <c r="M88" s="234">
        <v>79121</v>
      </c>
      <c r="N88" s="252">
        <v>309</v>
      </c>
      <c r="O88" s="278">
        <v>45378.64508101852</v>
      </c>
      <c r="P88" s="289">
        <v>87</v>
      </c>
      <c r="Q88" s="265">
        <v>0</v>
      </c>
      <c r="R88" s="719">
        <v>0</v>
      </c>
      <c r="S88" s="744">
        <v>0</v>
      </c>
      <c r="T88" s="247">
        <v>0</v>
      </c>
      <c r="U88" s="507"/>
      <c r="V88" s="376"/>
      <c r="W88" s="414">
        <f t="shared" ref="W88" si="19">(V88*X88)</f>
        <v>0</v>
      </c>
      <c r="X88" s="743"/>
      <c r="Y88" s="685">
        <f>IF(D88&lt;&gt;0,($C89*(1-$V$1))-$D88,0)</f>
        <v>1160</v>
      </c>
      <c r="Z88" s="704"/>
      <c r="AA88" s="691"/>
      <c r="AB88" s="38"/>
      <c r="AC88"/>
    </row>
    <row r="89" spans="1:29" ht="12.75" customHeight="1">
      <c r="A89" s="599" t="s">
        <v>569</v>
      </c>
      <c r="B89" s="657">
        <v>75</v>
      </c>
      <c r="C89" s="239">
        <v>87630</v>
      </c>
      <c r="D89" s="391">
        <v>87750</v>
      </c>
      <c r="E89" s="665">
        <v>390</v>
      </c>
      <c r="F89" s="577">
        <v>87620</v>
      </c>
      <c r="G89" s="312">
        <v>-4.3E-3</v>
      </c>
      <c r="H89" s="237">
        <v>88800</v>
      </c>
      <c r="I89" s="228">
        <v>89250</v>
      </c>
      <c r="J89" s="282">
        <v>87200</v>
      </c>
      <c r="K89" s="232">
        <v>88000</v>
      </c>
      <c r="L89" s="235">
        <v>427069080</v>
      </c>
      <c r="M89" s="232">
        <v>484747</v>
      </c>
      <c r="N89" s="235">
        <v>1093</v>
      </c>
      <c r="O89" s="279">
        <v>45378.647037037037</v>
      </c>
      <c r="P89" s="288">
        <v>88</v>
      </c>
      <c r="Q89" s="263">
        <v>0</v>
      </c>
      <c r="R89" s="718">
        <v>0</v>
      </c>
      <c r="S89" s="746">
        <v>0</v>
      </c>
      <c r="T89" s="246">
        <v>0</v>
      </c>
      <c r="U89" s="506"/>
      <c r="V89" s="375">
        <v>0</v>
      </c>
      <c r="W89" s="409">
        <f>V88*(F88/100)</f>
        <v>0</v>
      </c>
      <c r="X89" s="737"/>
      <c r="Y89" s="514">
        <f>IFERROR(INT($Y$1/(F88/100)),"")</f>
        <v>117</v>
      </c>
      <c r="Z89" s="692"/>
      <c r="AA89" s="693"/>
      <c r="AB89" s="38"/>
      <c r="AC89"/>
    </row>
    <row r="90" spans="1:29" ht="12.75" hidden="1" customHeight="1">
      <c r="A90" s="598" t="s">
        <v>570</v>
      </c>
      <c r="B90" s="249"/>
      <c r="C90" s="306"/>
      <c r="D90" s="256"/>
      <c r="E90" s="249"/>
      <c r="F90" s="586"/>
      <c r="G90" s="313"/>
      <c r="H90" s="240"/>
      <c r="I90" s="229"/>
      <c r="J90" s="229"/>
      <c r="K90" s="261">
        <v>80.599999999999994</v>
      </c>
      <c r="L90" s="248"/>
      <c r="M90" s="233"/>
      <c r="N90" s="248"/>
      <c r="O90" s="280"/>
      <c r="P90" s="289">
        <v>89</v>
      </c>
      <c r="Q90" s="264">
        <v>0</v>
      </c>
      <c r="R90" s="729">
        <v>0</v>
      </c>
      <c r="S90" s="747">
        <v>0</v>
      </c>
      <c r="T90" s="245">
        <v>0</v>
      </c>
      <c r="U90" s="507"/>
      <c r="V90" s="303"/>
      <c r="W90" s="410">
        <f t="shared" ref="W90" si="20">(V90*X90)</f>
        <v>0</v>
      </c>
      <c r="X90" s="743"/>
      <c r="Y90" s="694">
        <f>IF(D90&lt;&gt;0,($C91*(1-$V$1))-$D90,0)</f>
        <v>0</v>
      </c>
      <c r="Z90" s="695" t="str">
        <f>IFERROR(IF(C90&lt;&gt;"",$Y$1/(D88/100)*(C90/100),""),"")</f>
        <v/>
      </c>
      <c r="AA90" s="696" t="str">
        <f>IFERROR($AA$1/(D90/100)*(C88/100),"")</f>
        <v/>
      </c>
      <c r="AB90" s="38"/>
      <c r="AC90"/>
    </row>
    <row r="91" spans="1:29" ht="12.75" hidden="1" customHeight="1">
      <c r="A91" s="599" t="s">
        <v>571</v>
      </c>
      <c r="B91" s="657"/>
      <c r="C91" s="239"/>
      <c r="D91" s="391"/>
      <c r="E91" s="665"/>
      <c r="F91" s="577"/>
      <c r="G91" s="312"/>
      <c r="H91" s="237"/>
      <c r="I91" s="228"/>
      <c r="J91" s="228"/>
      <c r="K91" s="258"/>
      <c r="L91" s="235"/>
      <c r="M91" s="232"/>
      <c r="N91" s="235"/>
      <c r="O91" s="279"/>
      <c r="P91" s="288">
        <v>90</v>
      </c>
      <c r="Q91" s="263">
        <v>0</v>
      </c>
      <c r="R91" s="718">
        <v>0</v>
      </c>
      <c r="S91" s="746">
        <v>0</v>
      </c>
      <c r="T91" s="246">
        <v>0</v>
      </c>
      <c r="U91" s="506"/>
      <c r="V91" s="302">
        <v>0</v>
      </c>
      <c r="W91" s="411">
        <f>V90*(F90/100)</f>
        <v>0</v>
      </c>
      <c r="X91" s="737"/>
      <c r="Y91" s="515" t="str">
        <f>IFERROR(INT($AA$1/(F90/100)),"")</f>
        <v/>
      </c>
      <c r="Z91" s="697" t="str">
        <f>IFERROR(IF(C91&lt;&gt;"",$Y$1/(D89/100)*(C91/100),""),"")</f>
        <v/>
      </c>
      <c r="AA91" s="698" t="str">
        <f>IFERROR($AA$1/(D91/100)*(C89/100),"")</f>
        <v/>
      </c>
      <c r="AB91" s="38"/>
      <c r="AC91"/>
    </row>
    <row r="92" spans="1:29" ht="12.75" customHeight="1">
      <c r="A92" s="598" t="s">
        <v>572</v>
      </c>
      <c r="B92" s="249">
        <v>3019</v>
      </c>
      <c r="C92" s="306">
        <v>85.53</v>
      </c>
      <c r="D92" s="256">
        <v>85</v>
      </c>
      <c r="E92" s="249">
        <v>200</v>
      </c>
      <c r="F92" s="586">
        <v>86.4</v>
      </c>
      <c r="G92" s="313">
        <v>1.46E-2</v>
      </c>
      <c r="H92" s="240">
        <v>87.45</v>
      </c>
      <c r="I92" s="229">
        <v>87.45</v>
      </c>
      <c r="J92" s="229">
        <v>85.15</v>
      </c>
      <c r="K92" s="261">
        <v>85.15</v>
      </c>
      <c r="L92" s="248">
        <v>22188</v>
      </c>
      <c r="M92" s="233">
        <v>25689</v>
      </c>
      <c r="N92" s="248">
        <v>59</v>
      </c>
      <c r="O92" s="280">
        <v>45378.638611111113</v>
      </c>
      <c r="P92" s="289">
        <v>91</v>
      </c>
      <c r="Q92" s="264">
        <v>0</v>
      </c>
      <c r="R92" s="729">
        <v>0</v>
      </c>
      <c r="S92" s="747">
        <v>0</v>
      </c>
      <c r="T92" s="245">
        <v>0</v>
      </c>
      <c r="U92" s="507"/>
      <c r="V92" s="373">
        <v>0</v>
      </c>
      <c r="W92" s="412">
        <f t="shared" ref="W92" si="21">(V92*X92)</f>
        <v>0</v>
      </c>
      <c r="X92" s="739"/>
      <c r="Y92" s="699">
        <f>IF(D92&lt;&gt;0,($C93*(1-$V$1))-$D92,0)</f>
        <v>1.0900000000000034</v>
      </c>
      <c r="Z92" s="700">
        <f>IFERROR(IF(C92&lt;&gt;"",$Y$1/(D88/100)*(C92/100),""),"")</f>
        <v>100.36993000511032</v>
      </c>
      <c r="AA92" s="701">
        <f>IFERROR($Z$1/(D92/100)*(C88/100),"")</f>
        <v>101411.76470588236</v>
      </c>
      <c r="AB92" s="38"/>
      <c r="AC92"/>
    </row>
    <row r="93" spans="1:29" ht="12.75" customHeight="1">
      <c r="A93" s="758" t="s">
        <v>573</v>
      </c>
      <c r="B93" s="395">
        <v>365</v>
      </c>
      <c r="C93" s="359">
        <v>86.09</v>
      </c>
      <c r="D93" s="390">
        <v>86.1</v>
      </c>
      <c r="E93" s="660">
        <v>32246</v>
      </c>
      <c r="F93" s="585">
        <v>86.1</v>
      </c>
      <c r="G93" s="370">
        <v>7.6E-3</v>
      </c>
      <c r="H93" s="361">
        <v>85.4</v>
      </c>
      <c r="I93" s="362">
        <v>86.5</v>
      </c>
      <c r="J93" s="362">
        <v>85</v>
      </c>
      <c r="K93" s="371">
        <v>85.45</v>
      </c>
      <c r="L93" s="356">
        <v>288134</v>
      </c>
      <c r="M93" s="364">
        <v>335062</v>
      </c>
      <c r="N93" s="356">
        <v>385</v>
      </c>
      <c r="O93" s="357">
        <v>45378.647037037037</v>
      </c>
      <c r="P93" s="288">
        <v>92</v>
      </c>
      <c r="Q93" s="358">
        <v>0</v>
      </c>
      <c r="R93" s="726">
        <v>0</v>
      </c>
      <c r="S93" s="745">
        <v>0</v>
      </c>
      <c r="T93" s="366">
        <v>0</v>
      </c>
      <c r="U93" s="506"/>
      <c r="V93" s="374">
        <v>0</v>
      </c>
      <c r="W93" s="415">
        <f>V92*(F92/100)</f>
        <v>0</v>
      </c>
      <c r="X93" s="742"/>
      <c r="Y93" s="516">
        <f>IFERROR(INT($Z$1/(F92/100)),"")</f>
        <v>115</v>
      </c>
      <c r="Z93" s="702">
        <f>IFERROR(IF(C93&lt;&gt;"",$Y$1/(D89/100)*(C93/100),""),"")</f>
        <v>99.55342155747239</v>
      </c>
      <c r="AA93" s="703">
        <f>IFERROR($Z$1/(D93/100)*(C89/100),"")</f>
        <v>101777.00348432055</v>
      </c>
      <c r="AB93" s="38"/>
      <c r="AC93"/>
    </row>
    <row r="94" spans="1:29" ht="12.75" customHeight="1">
      <c r="A94" s="760" t="s">
        <v>535</v>
      </c>
      <c r="B94" s="249">
        <v>40</v>
      </c>
      <c r="C94" s="306">
        <v>43345</v>
      </c>
      <c r="D94" s="256">
        <v>43400</v>
      </c>
      <c r="E94" s="249">
        <v>1786</v>
      </c>
      <c r="F94" s="576">
        <v>43400</v>
      </c>
      <c r="G94" s="310">
        <v>2.4900000000000002E-2</v>
      </c>
      <c r="H94" s="238">
        <v>43220</v>
      </c>
      <c r="I94" s="230">
        <v>44940</v>
      </c>
      <c r="J94" s="230">
        <v>42800</v>
      </c>
      <c r="K94" s="260">
        <v>42345</v>
      </c>
      <c r="L94" s="252">
        <v>27956932</v>
      </c>
      <c r="M94" s="234">
        <v>64158</v>
      </c>
      <c r="N94" s="252">
        <v>242</v>
      </c>
      <c r="O94" s="278">
        <v>45378.646967592591</v>
      </c>
      <c r="P94" s="289">
        <v>93</v>
      </c>
      <c r="Q94" s="265">
        <v>0</v>
      </c>
      <c r="R94" s="719">
        <v>0</v>
      </c>
      <c r="S94" s="744">
        <v>0</v>
      </c>
      <c r="T94" s="247">
        <v>0</v>
      </c>
      <c r="U94" s="507"/>
      <c r="V94" s="376">
        <v>0</v>
      </c>
      <c r="W94" s="414">
        <f t="shared" ref="W94" si="22">(V94*X94)</f>
        <v>0</v>
      </c>
      <c r="X94" s="743"/>
      <c r="Y94" s="685">
        <f>IF(D94&lt;&gt;0,($C95*(1-$V$1))-$D94,0)</f>
        <v>660</v>
      </c>
      <c r="Z94" s="704"/>
      <c r="AA94" s="691"/>
      <c r="AB94" s="38"/>
      <c r="AC94"/>
    </row>
    <row r="95" spans="1:29" ht="12.75" customHeight="1">
      <c r="A95" s="599" t="s">
        <v>536</v>
      </c>
      <c r="B95" s="657">
        <v>40</v>
      </c>
      <c r="C95" s="239">
        <v>44060</v>
      </c>
      <c r="D95" s="391">
        <v>44100</v>
      </c>
      <c r="E95" s="665">
        <v>198019</v>
      </c>
      <c r="F95" s="577">
        <v>44060</v>
      </c>
      <c r="G95" s="312">
        <v>4.6999999999999993E-3</v>
      </c>
      <c r="H95" s="237">
        <v>43840</v>
      </c>
      <c r="I95" s="228">
        <v>44550</v>
      </c>
      <c r="J95" s="228">
        <v>43110</v>
      </c>
      <c r="K95" s="258">
        <v>43850</v>
      </c>
      <c r="L95" s="235">
        <v>616013312</v>
      </c>
      <c r="M95" s="232">
        <v>1396529</v>
      </c>
      <c r="N95" s="235">
        <v>572</v>
      </c>
      <c r="O95" s="279">
        <v>45378.646967592591</v>
      </c>
      <c r="P95" s="288">
        <v>94</v>
      </c>
      <c r="Q95" s="263">
        <v>0</v>
      </c>
      <c r="R95" s="718">
        <v>0</v>
      </c>
      <c r="S95" s="746">
        <v>0</v>
      </c>
      <c r="T95" s="246">
        <v>0</v>
      </c>
      <c r="U95" s="506"/>
      <c r="V95" s="375">
        <v>0</v>
      </c>
      <c r="W95" s="409">
        <f>V94*(F94/100)</f>
        <v>0</v>
      </c>
      <c r="X95" s="737"/>
      <c r="Y95" s="514">
        <f>IFERROR(INT($Y$1/(F94/100)),"")</f>
        <v>233</v>
      </c>
      <c r="Z95" s="692"/>
      <c r="AA95" s="693"/>
      <c r="AB95" s="38"/>
      <c r="AC95"/>
    </row>
    <row r="96" spans="1:29" ht="12.75" hidden="1" customHeight="1">
      <c r="A96" s="598" t="s">
        <v>537</v>
      </c>
      <c r="B96" s="249"/>
      <c r="C96" s="306"/>
      <c r="D96" s="256"/>
      <c r="E96" s="249"/>
      <c r="F96" s="586"/>
      <c r="G96" s="313"/>
      <c r="H96" s="240"/>
      <c r="I96" s="229"/>
      <c r="J96" s="229"/>
      <c r="K96" s="261">
        <v>38.42</v>
      </c>
      <c r="L96" s="248"/>
      <c r="M96" s="233"/>
      <c r="N96" s="248"/>
      <c r="O96" s="280"/>
      <c r="P96" s="289">
        <v>95</v>
      </c>
      <c r="Q96" s="264">
        <v>0</v>
      </c>
      <c r="R96" s="729">
        <v>0</v>
      </c>
      <c r="S96" s="747">
        <v>0</v>
      </c>
      <c r="T96" s="245">
        <v>0</v>
      </c>
      <c r="U96" s="507"/>
      <c r="V96" s="303"/>
      <c r="W96" s="410">
        <f t="shared" ref="W96" si="23">(V96*X96)</f>
        <v>0</v>
      </c>
      <c r="X96" s="743"/>
      <c r="Y96" s="694">
        <f>IF(D96&lt;&gt;0,($C97*(1-$V$1))-$D96,0)</f>
        <v>0</v>
      </c>
      <c r="Z96" s="695" t="str">
        <f>IFERROR(IF(C96&lt;&gt;"",$Y$1/(D94/100)*(C96/100),""),"")</f>
        <v/>
      </c>
      <c r="AA96" s="696" t="str">
        <f>IFERROR($AA$1/(D96/100)*(C94/100),"")</f>
        <v/>
      </c>
      <c r="AB96" s="38"/>
      <c r="AC96"/>
    </row>
    <row r="97" spans="1:29" ht="12.75" hidden="1" customHeight="1">
      <c r="A97" s="599" t="s">
        <v>538</v>
      </c>
      <c r="B97" s="657"/>
      <c r="C97" s="239"/>
      <c r="D97" s="391"/>
      <c r="E97" s="665"/>
      <c r="F97" s="577"/>
      <c r="G97" s="312"/>
      <c r="H97" s="237"/>
      <c r="I97" s="228"/>
      <c r="J97" s="228"/>
      <c r="K97" s="258">
        <v>38.011000000000003</v>
      </c>
      <c r="L97" s="235"/>
      <c r="M97" s="232"/>
      <c r="N97" s="235"/>
      <c r="O97" s="279"/>
      <c r="P97" s="288">
        <v>96</v>
      </c>
      <c r="Q97" s="263">
        <v>0</v>
      </c>
      <c r="R97" s="718">
        <v>0</v>
      </c>
      <c r="S97" s="746">
        <v>0</v>
      </c>
      <c r="T97" s="246">
        <v>0</v>
      </c>
      <c r="U97" s="506"/>
      <c r="V97" s="302">
        <v>0</v>
      </c>
      <c r="W97" s="411">
        <f>V96*(F96/100)</f>
        <v>0</v>
      </c>
      <c r="X97" s="737"/>
      <c r="Y97" s="515" t="str">
        <f>IFERROR(INT($AA$1/(F96/100)),"")</f>
        <v/>
      </c>
      <c r="Z97" s="697" t="str">
        <f>IFERROR(IF(C97&lt;&gt;"",$Y$1/(D95/100)*(C97/100),""),"")</f>
        <v/>
      </c>
      <c r="AA97" s="698" t="str">
        <f>IFERROR($AA$1/(D97/100)*(C95/100),"")</f>
        <v/>
      </c>
      <c r="AB97" s="38"/>
    </row>
    <row r="98" spans="1:29" ht="12.75" customHeight="1">
      <c r="A98" s="598" t="s">
        <v>539</v>
      </c>
      <c r="B98" s="249">
        <v>1000</v>
      </c>
      <c r="C98" s="306">
        <v>42.703000000000003</v>
      </c>
      <c r="D98" s="256">
        <v>43.298999999999999</v>
      </c>
      <c r="E98" s="249">
        <v>51</v>
      </c>
      <c r="F98" s="586">
        <v>43.298999999999999</v>
      </c>
      <c r="G98" s="313">
        <v>1.8700000000000001E-2</v>
      </c>
      <c r="H98" s="240">
        <v>42.360999999999997</v>
      </c>
      <c r="I98" s="229">
        <v>43.298999999999999</v>
      </c>
      <c r="J98" s="229">
        <v>42.360999999999997</v>
      </c>
      <c r="K98" s="261">
        <v>42.5</v>
      </c>
      <c r="L98" s="248">
        <v>4065</v>
      </c>
      <c r="M98" s="233">
        <v>9419</v>
      </c>
      <c r="N98" s="248">
        <v>23</v>
      </c>
      <c r="O98" s="280">
        <v>45378.628761574073</v>
      </c>
      <c r="P98" s="289">
        <v>97</v>
      </c>
      <c r="Q98" s="264">
        <v>0</v>
      </c>
      <c r="R98" s="729">
        <v>0</v>
      </c>
      <c r="S98" s="747">
        <v>0</v>
      </c>
      <c r="T98" s="245">
        <v>0</v>
      </c>
      <c r="U98" s="507"/>
      <c r="V98" s="373">
        <v>0</v>
      </c>
      <c r="W98" s="412">
        <f t="shared" ref="W98" si="24">(V98*X98)</f>
        <v>0</v>
      </c>
      <c r="X98" s="739"/>
      <c r="Y98" s="699">
        <f>IF(D98&lt;&gt;0,($C99*(1-$V$1))-$D98,0)</f>
        <v>-0.49699999999999989</v>
      </c>
      <c r="Z98" s="700">
        <f>IFERROR(IF(C98&lt;&gt;"",$Y$1/(D94/100)*(C98/100),""),"")</f>
        <v>99.843377792787109</v>
      </c>
      <c r="AA98" s="701">
        <f>IFERROR($Z$1/(D98/100)*(C94/100),"")</f>
        <v>100106.2380193538</v>
      </c>
      <c r="AB98" s="38"/>
      <c r="AC98" s="11"/>
    </row>
    <row r="99" spans="1:29" ht="12.75" customHeight="1">
      <c r="A99" s="758" t="s">
        <v>540</v>
      </c>
      <c r="B99" s="395">
        <v>1000</v>
      </c>
      <c r="C99" s="359">
        <v>42.802</v>
      </c>
      <c r="D99" s="390">
        <v>43.198</v>
      </c>
      <c r="E99" s="660">
        <v>9720</v>
      </c>
      <c r="F99" s="585">
        <v>43.198</v>
      </c>
      <c r="G99" s="370">
        <v>1.1599999999999999E-2</v>
      </c>
      <c r="H99" s="361">
        <v>42.85</v>
      </c>
      <c r="I99" s="362">
        <v>43.3</v>
      </c>
      <c r="J99" s="362">
        <v>42.5</v>
      </c>
      <c r="K99" s="371">
        <v>42.698999999999998</v>
      </c>
      <c r="L99" s="356">
        <v>75829</v>
      </c>
      <c r="M99" s="364">
        <v>176479</v>
      </c>
      <c r="N99" s="356">
        <v>75</v>
      </c>
      <c r="O99" s="357">
        <v>45378.645243055558</v>
      </c>
      <c r="P99" s="288">
        <v>98</v>
      </c>
      <c r="Q99" s="358">
        <v>0</v>
      </c>
      <c r="R99" s="726">
        <v>0</v>
      </c>
      <c r="S99" s="745">
        <v>0</v>
      </c>
      <c r="T99" s="366">
        <v>0</v>
      </c>
      <c r="U99" s="506"/>
      <c r="V99" s="374">
        <v>0</v>
      </c>
      <c r="W99" s="415">
        <f>V98*(F98/100)</f>
        <v>0</v>
      </c>
      <c r="X99" s="742"/>
      <c r="Y99" s="516">
        <f>IFERROR(INT($Z$1/(F98/100)),"")</f>
        <v>230</v>
      </c>
      <c r="Z99" s="702">
        <f>IFERROR(IF(C99&lt;&gt;"",$Y$1/(D95/100)*(C99/100),""),"")</f>
        <v>98.486358859507718</v>
      </c>
      <c r="AA99" s="703">
        <f>IFERROR($Z$1/(D99/100)*(C95/100),"")</f>
        <v>101995.46275290522</v>
      </c>
      <c r="AB99" s="38"/>
      <c r="AC99" s="11"/>
    </row>
    <row r="100" spans="1:29" ht="12.75" customHeight="1">
      <c r="A100" s="760" t="s">
        <v>576</v>
      </c>
      <c r="B100" s="249">
        <v>11</v>
      </c>
      <c r="C100" s="306">
        <v>25000</v>
      </c>
      <c r="D100" s="256">
        <v>25400</v>
      </c>
      <c r="E100" s="249">
        <v>296</v>
      </c>
      <c r="F100" s="576">
        <v>25000</v>
      </c>
      <c r="G100" s="310">
        <v>3.2199999999999999E-2</v>
      </c>
      <c r="H100" s="238">
        <v>24500</v>
      </c>
      <c r="I100" s="230">
        <v>26000</v>
      </c>
      <c r="J100" s="230">
        <v>23500</v>
      </c>
      <c r="K100" s="260">
        <v>24220</v>
      </c>
      <c r="L100" s="252">
        <v>3194806</v>
      </c>
      <c r="M100" s="234">
        <v>12885</v>
      </c>
      <c r="N100" s="252">
        <v>61</v>
      </c>
      <c r="O100" s="278">
        <v>45378.645208333335</v>
      </c>
      <c r="P100" s="289">
        <v>99</v>
      </c>
      <c r="Q100" s="265">
        <v>0</v>
      </c>
      <c r="R100" s="719">
        <v>0</v>
      </c>
      <c r="S100" s="744">
        <v>0</v>
      </c>
      <c r="T100" s="247">
        <v>0</v>
      </c>
      <c r="U100" s="507"/>
      <c r="V100" s="376">
        <v>0</v>
      </c>
      <c r="W100" s="414">
        <f t="shared" ref="W100" si="25">(V100*X100)</f>
        <v>0</v>
      </c>
      <c r="X100" s="743"/>
      <c r="Y100" s="685">
        <f>IF(D100&lt;&gt;0,($C101*(1-$V$1))-$D100,0)</f>
        <v>25</v>
      </c>
      <c r="Z100" s="704"/>
      <c r="AA100" s="691"/>
      <c r="AB100" s="38"/>
      <c r="AC100" s="11"/>
    </row>
    <row r="101" spans="1:29" ht="12.75" customHeight="1">
      <c r="A101" s="599" t="s">
        <v>577</v>
      </c>
      <c r="B101" s="657">
        <v>775</v>
      </c>
      <c r="C101" s="239">
        <v>25425</v>
      </c>
      <c r="D101" s="391">
        <v>25600</v>
      </c>
      <c r="E101" s="665">
        <v>420</v>
      </c>
      <c r="F101" s="577">
        <v>25425</v>
      </c>
      <c r="G101" s="312">
        <v>-1.0500000000000001E-2</v>
      </c>
      <c r="H101" s="237">
        <v>25400</v>
      </c>
      <c r="I101" s="228">
        <v>25990</v>
      </c>
      <c r="J101" s="228">
        <v>25165</v>
      </c>
      <c r="K101" s="258">
        <v>25695</v>
      </c>
      <c r="L101" s="235">
        <v>26003401</v>
      </c>
      <c r="M101" s="232">
        <v>102502</v>
      </c>
      <c r="N101" s="235">
        <v>433</v>
      </c>
      <c r="O101" s="279">
        <v>45378.646504629629</v>
      </c>
      <c r="P101" s="288">
        <v>100</v>
      </c>
      <c r="Q101" s="263">
        <v>0</v>
      </c>
      <c r="R101" s="718">
        <v>0</v>
      </c>
      <c r="S101" s="746">
        <v>0</v>
      </c>
      <c r="T101" s="246">
        <v>0</v>
      </c>
      <c r="U101" s="506"/>
      <c r="V101" s="375">
        <v>0</v>
      </c>
      <c r="W101" s="409">
        <f>V100*(F100/100)</f>
        <v>0</v>
      </c>
      <c r="X101" s="737"/>
      <c r="Y101" s="514">
        <f>IFERROR(INT($Y$1/(F100/100)),"")</f>
        <v>405</v>
      </c>
      <c r="Z101" s="692"/>
      <c r="AA101" s="693"/>
      <c r="AB101" s="38"/>
      <c r="AC101" s="11"/>
    </row>
    <row r="102" spans="1:29" ht="12.75" hidden="1" customHeight="1">
      <c r="A102" s="598" t="s">
        <v>578</v>
      </c>
      <c r="B102" s="249"/>
      <c r="C102" s="306"/>
      <c r="D102" s="256"/>
      <c r="E102" s="249"/>
      <c r="F102" s="586"/>
      <c r="G102" s="313"/>
      <c r="H102" s="240"/>
      <c r="I102" s="229"/>
      <c r="J102" s="229"/>
      <c r="K102" s="261">
        <v>30.7</v>
      </c>
      <c r="L102" s="248"/>
      <c r="M102" s="233"/>
      <c r="N102" s="248"/>
      <c r="O102" s="280"/>
      <c r="P102" s="289">
        <v>101</v>
      </c>
      <c r="Q102" s="264">
        <v>0</v>
      </c>
      <c r="R102" s="729">
        <v>0</v>
      </c>
      <c r="S102" s="747">
        <v>0</v>
      </c>
      <c r="T102" s="245">
        <v>0</v>
      </c>
      <c r="U102" s="507"/>
      <c r="V102" s="303"/>
      <c r="W102" s="410">
        <f t="shared" ref="W102" si="26">(V102*X102)</f>
        <v>0</v>
      </c>
      <c r="X102" s="743"/>
      <c r="Y102" s="694">
        <f>IF(D102&lt;&gt;0,($C103*(1-$V$1))-$D102,0)</f>
        <v>0</v>
      </c>
      <c r="Z102" s="695" t="str">
        <f>IFERROR(IF(C102&lt;&gt;"",$Y$1/(D100/100)*(C102/100),""),"")</f>
        <v/>
      </c>
      <c r="AA102" s="696" t="str">
        <f>IFERROR($AA$1/(D102/100)*(C100/100),"")</f>
        <v/>
      </c>
      <c r="AB102" s="38"/>
      <c r="AC102" s="11"/>
    </row>
    <row r="103" spans="1:29" ht="12.75" hidden="1" customHeight="1">
      <c r="A103" s="599" t="s">
        <v>579</v>
      </c>
      <c r="B103" s="657"/>
      <c r="C103" s="239"/>
      <c r="D103" s="391">
        <v>25.5</v>
      </c>
      <c r="E103" s="665">
        <v>193255</v>
      </c>
      <c r="F103" s="577"/>
      <c r="G103" s="312"/>
      <c r="H103" s="237"/>
      <c r="I103" s="228"/>
      <c r="J103" s="228"/>
      <c r="K103" s="258">
        <v>31</v>
      </c>
      <c r="L103" s="235"/>
      <c r="M103" s="232"/>
      <c r="N103" s="235"/>
      <c r="O103" s="279"/>
      <c r="P103" s="288">
        <v>102</v>
      </c>
      <c r="Q103" s="263">
        <v>0</v>
      </c>
      <c r="R103" s="718">
        <v>0</v>
      </c>
      <c r="S103" s="746">
        <v>0</v>
      </c>
      <c r="T103" s="246">
        <v>0</v>
      </c>
      <c r="U103" s="506"/>
      <c r="V103" s="302">
        <v>0</v>
      </c>
      <c r="W103" s="411">
        <f>V102*(F102/100)</f>
        <v>0</v>
      </c>
      <c r="X103" s="737"/>
      <c r="Y103" s="515" t="str">
        <f>IFERROR(INT($AA$1/(F102/100)),"")</f>
        <v/>
      </c>
      <c r="Z103" s="697" t="str">
        <f>IFERROR(IF(C103&lt;&gt;"",$Y$1/(D101/100)*(C103/100),""),"")</f>
        <v/>
      </c>
      <c r="AA103" s="698">
        <f>IFERROR($AA$1/(D103/100)*(C101/100),"")</f>
        <v>99705.882352941175</v>
      </c>
      <c r="AB103" s="38"/>
      <c r="AC103" s="11"/>
    </row>
    <row r="104" spans="1:29" ht="12.75" customHeight="1">
      <c r="A104" s="598" t="s">
        <v>580</v>
      </c>
      <c r="B104" s="249">
        <v>100</v>
      </c>
      <c r="C104" s="306">
        <v>24.9</v>
      </c>
      <c r="D104" s="256">
        <v>25</v>
      </c>
      <c r="E104" s="249">
        <v>64</v>
      </c>
      <c r="F104" s="586">
        <v>25</v>
      </c>
      <c r="G104" s="313">
        <v>0.01</v>
      </c>
      <c r="H104" s="240">
        <v>25</v>
      </c>
      <c r="I104" s="229">
        <v>25.25</v>
      </c>
      <c r="J104" s="229">
        <v>24</v>
      </c>
      <c r="K104" s="261">
        <v>25</v>
      </c>
      <c r="L104" s="248">
        <v>1255</v>
      </c>
      <c r="M104" s="233">
        <v>5141</v>
      </c>
      <c r="N104" s="248">
        <v>9</v>
      </c>
      <c r="O104" s="280">
        <v>45378.63989583333</v>
      </c>
      <c r="P104" s="289">
        <v>103</v>
      </c>
      <c r="Q104" s="264">
        <v>0</v>
      </c>
      <c r="R104" s="729">
        <v>0</v>
      </c>
      <c r="S104" s="747">
        <v>0</v>
      </c>
      <c r="T104" s="245">
        <v>0</v>
      </c>
      <c r="U104" s="507"/>
      <c r="V104" s="373">
        <v>0</v>
      </c>
      <c r="W104" s="412">
        <f t="shared" ref="W104" si="27">(V104*X104)</f>
        <v>0</v>
      </c>
      <c r="X104" s="739"/>
      <c r="Y104" s="699">
        <f>IF(D104&lt;&gt;0,($C105*(1-$V$1))-$D104,0)</f>
        <v>-0.28999999999999915</v>
      </c>
      <c r="Z104" s="700">
        <f>IFERROR(IF(C104&lt;&gt;"",$Y$1/(D100/100)*(C104/100),""),"")</f>
        <v>99.475524728990919</v>
      </c>
      <c r="AA104" s="701">
        <f>IFERROR($Z$1/(D104/100)*(C100/100),"")</f>
        <v>100000</v>
      </c>
      <c r="AB104" s="38"/>
      <c r="AC104" s="11"/>
    </row>
    <row r="105" spans="1:29" ht="12.75" customHeight="1">
      <c r="A105" s="758" t="s">
        <v>581</v>
      </c>
      <c r="B105" s="395">
        <v>142</v>
      </c>
      <c r="C105" s="359">
        <v>24.71</v>
      </c>
      <c r="D105" s="390">
        <v>25.3</v>
      </c>
      <c r="E105" s="660">
        <v>100</v>
      </c>
      <c r="F105" s="585">
        <v>24.9</v>
      </c>
      <c r="G105" s="370">
        <v>-1.5800000000000002E-2</v>
      </c>
      <c r="H105" s="361">
        <v>25</v>
      </c>
      <c r="I105" s="362">
        <v>25.25</v>
      </c>
      <c r="J105" s="362">
        <v>24.7</v>
      </c>
      <c r="K105" s="371">
        <v>25.3</v>
      </c>
      <c r="L105" s="356">
        <v>6810</v>
      </c>
      <c r="M105" s="364">
        <v>27197</v>
      </c>
      <c r="N105" s="356">
        <v>64</v>
      </c>
      <c r="O105" s="357">
        <v>45378.643541666665</v>
      </c>
      <c r="P105" s="288">
        <v>104</v>
      </c>
      <c r="Q105" s="358">
        <v>0</v>
      </c>
      <c r="R105" s="726">
        <v>0</v>
      </c>
      <c r="S105" s="745">
        <v>0</v>
      </c>
      <c r="T105" s="366">
        <v>0</v>
      </c>
      <c r="U105" s="506"/>
      <c r="V105" s="374">
        <v>0</v>
      </c>
      <c r="W105" s="415">
        <f>V104*(F104/100)</f>
        <v>0</v>
      </c>
      <c r="X105" s="742"/>
      <c r="Y105" s="516">
        <f>IFERROR(INT($Z$1/(F104/100)),"")</f>
        <v>400</v>
      </c>
      <c r="Z105" s="702">
        <f>IFERROR(IF(C105&lt;&gt;"",$Y$1/(D101/100)*(C105/100),""),"")</f>
        <v>97.94525208294975</v>
      </c>
      <c r="AA105" s="703">
        <f>IFERROR($Z$1/(D105/100)*(C101/100),"")</f>
        <v>100494.07114624506</v>
      </c>
      <c r="AB105" s="38"/>
    </row>
    <row r="106" spans="1:29" ht="12.75" customHeight="1">
      <c r="A106" s="760" t="s">
        <v>611</v>
      </c>
      <c r="B106" s="249">
        <v>59</v>
      </c>
      <c r="C106" s="306">
        <v>92410</v>
      </c>
      <c r="D106" s="256">
        <v>92630</v>
      </c>
      <c r="E106" s="249">
        <v>10000</v>
      </c>
      <c r="F106" s="576">
        <v>92410</v>
      </c>
      <c r="G106" s="310">
        <v>-1.1299999999999999E-2</v>
      </c>
      <c r="H106" s="238">
        <v>95000</v>
      </c>
      <c r="I106" s="230">
        <v>95190</v>
      </c>
      <c r="J106" s="230">
        <v>90920</v>
      </c>
      <c r="K106" s="260">
        <v>93470</v>
      </c>
      <c r="L106" s="252">
        <v>20347123</v>
      </c>
      <c r="M106" s="234">
        <v>21805</v>
      </c>
      <c r="N106" s="252">
        <v>87</v>
      </c>
      <c r="O106" s="278">
        <v>45378.644895833335</v>
      </c>
      <c r="P106" s="289">
        <v>105</v>
      </c>
      <c r="Q106" s="265">
        <v>0</v>
      </c>
      <c r="R106" s="719">
        <v>0</v>
      </c>
      <c r="S106" s="744">
        <v>0</v>
      </c>
      <c r="T106" s="247">
        <v>0</v>
      </c>
      <c r="U106" s="507"/>
      <c r="V106" s="376"/>
      <c r="W106" s="414">
        <f t="shared" ref="W106" si="28">(V106*X106)</f>
        <v>0</v>
      </c>
      <c r="X106" s="743"/>
      <c r="Y106" s="685">
        <f>IF(D106&lt;&gt;0,($C107*(1-$V$1))-$D106,0)</f>
        <v>930</v>
      </c>
      <c r="Z106" s="704"/>
      <c r="AA106" s="691"/>
      <c r="AB106" s="38"/>
    </row>
    <row r="107" spans="1:29" ht="12.75" customHeight="1">
      <c r="A107" s="599" t="s">
        <v>612</v>
      </c>
      <c r="B107" s="657">
        <v>59</v>
      </c>
      <c r="C107" s="239">
        <v>93560</v>
      </c>
      <c r="D107" s="391">
        <v>94000</v>
      </c>
      <c r="E107" s="665">
        <v>18130</v>
      </c>
      <c r="F107" s="577">
        <v>94000</v>
      </c>
      <c r="G107" s="312">
        <v>5.3E-3</v>
      </c>
      <c r="H107" s="237">
        <v>93500</v>
      </c>
      <c r="I107" s="228">
        <v>97000</v>
      </c>
      <c r="J107" s="228">
        <v>92000</v>
      </c>
      <c r="K107" s="258">
        <v>93500</v>
      </c>
      <c r="L107" s="235">
        <v>631103712</v>
      </c>
      <c r="M107" s="232">
        <v>669725</v>
      </c>
      <c r="N107" s="235">
        <v>365</v>
      </c>
      <c r="O107" s="279">
        <v>45378.646516203706</v>
      </c>
      <c r="P107" s="288">
        <v>106</v>
      </c>
      <c r="Q107" s="263">
        <v>0</v>
      </c>
      <c r="R107" s="718">
        <v>0</v>
      </c>
      <c r="S107" s="746">
        <v>0</v>
      </c>
      <c r="T107" s="246">
        <v>0</v>
      </c>
      <c r="U107" s="506"/>
      <c r="V107" s="375">
        <v>0</v>
      </c>
      <c r="W107" s="409">
        <f>V106*(F106/100)</f>
        <v>0</v>
      </c>
      <c r="X107" s="737"/>
      <c r="Y107" s="514">
        <f>IFERROR(INT($Y$1/(F106/100)),"")</f>
        <v>109</v>
      </c>
      <c r="Z107" s="692"/>
      <c r="AA107" s="693"/>
      <c r="AB107" s="38"/>
    </row>
    <row r="108" spans="1:29" ht="12.75" hidden="1" customHeight="1">
      <c r="A108" s="598" t="s">
        <v>613</v>
      </c>
      <c r="B108" s="249">
        <v>987</v>
      </c>
      <c r="C108" s="306">
        <v>1E-3</v>
      </c>
      <c r="D108" s="256">
        <v>86.99</v>
      </c>
      <c r="E108" s="249">
        <v>2300</v>
      </c>
      <c r="F108" s="586">
        <v>87</v>
      </c>
      <c r="G108" s="313">
        <v>8.6E-3</v>
      </c>
      <c r="H108" s="240">
        <v>85.54</v>
      </c>
      <c r="I108" s="229">
        <v>87</v>
      </c>
      <c r="J108" s="229">
        <v>85.54</v>
      </c>
      <c r="K108" s="261">
        <v>86.25</v>
      </c>
      <c r="L108" s="248">
        <v>4169</v>
      </c>
      <c r="M108" s="233">
        <v>4832</v>
      </c>
      <c r="N108" s="248">
        <v>9</v>
      </c>
      <c r="O108" s="280">
        <v>45378.639178240737</v>
      </c>
      <c r="P108" s="289">
        <v>107</v>
      </c>
      <c r="Q108" s="264">
        <v>0</v>
      </c>
      <c r="R108" s="729">
        <v>0</v>
      </c>
      <c r="S108" s="747">
        <v>0</v>
      </c>
      <c r="T108" s="245">
        <v>0</v>
      </c>
      <c r="U108" s="507"/>
      <c r="V108" s="303"/>
      <c r="W108" s="410">
        <f t="shared" ref="W108" si="29">(V108*X108)</f>
        <v>0</v>
      </c>
      <c r="X108" s="743"/>
      <c r="Y108" s="694">
        <f>IF(D108&lt;&gt;0,($C109*(1-$V$1))-$D108,0)</f>
        <v>-0.5899999999999892</v>
      </c>
      <c r="Z108" s="695">
        <f>IFERROR(IF(C108&lt;&gt;"",$Y$1/(D106/100)*(C108/100),""),"")</f>
        <v>1.0954661041299471E-3</v>
      </c>
      <c r="AA108" s="696">
        <f>IFERROR($AA$1/(D108/100)*(C106/100),"")</f>
        <v>106230.60121853089</v>
      </c>
      <c r="AB108" s="38"/>
    </row>
    <row r="109" spans="1:29" ht="12.75" hidden="1" customHeight="1">
      <c r="A109" s="599" t="s">
        <v>614</v>
      </c>
      <c r="B109" s="657">
        <v>31052</v>
      </c>
      <c r="C109" s="239">
        <v>86.4</v>
      </c>
      <c r="D109" s="391">
        <v>87</v>
      </c>
      <c r="E109" s="665">
        <v>250000</v>
      </c>
      <c r="F109" s="577">
        <v>86.48</v>
      </c>
      <c r="G109" s="312">
        <v>1.1399999999999999E-2</v>
      </c>
      <c r="H109" s="237">
        <v>87</v>
      </c>
      <c r="I109" s="228">
        <v>87.09</v>
      </c>
      <c r="J109" s="228">
        <v>85.75</v>
      </c>
      <c r="K109" s="258">
        <v>85.5</v>
      </c>
      <c r="L109" s="235">
        <v>1462043</v>
      </c>
      <c r="M109" s="232">
        <v>1689835</v>
      </c>
      <c r="N109" s="235">
        <v>64</v>
      </c>
      <c r="O109" s="279">
        <v>45378.639062499999</v>
      </c>
      <c r="P109" s="288">
        <v>108</v>
      </c>
      <c r="Q109" s="263">
        <v>0</v>
      </c>
      <c r="R109" s="718">
        <v>0</v>
      </c>
      <c r="S109" s="746">
        <v>0</v>
      </c>
      <c r="T109" s="246">
        <v>0</v>
      </c>
      <c r="U109" s="506"/>
      <c r="V109" s="302">
        <v>0</v>
      </c>
      <c r="W109" s="411">
        <f>V108*(F108/100)</f>
        <v>0</v>
      </c>
      <c r="X109" s="737"/>
      <c r="Y109" s="515">
        <f>IFERROR(INT($AA$1/(F108/100)),"")</f>
        <v>114</v>
      </c>
      <c r="Z109" s="697">
        <f>IFERROR(IF(C109&lt;&gt;"",$Y$1/(D107/100)*(C109/100),""),"")</f>
        <v>93.268823186043889</v>
      </c>
      <c r="AA109" s="698">
        <f>IFERROR($AA$1/(D109/100)*(C107/100),"")</f>
        <v>107540.22988505747</v>
      </c>
      <c r="AB109" s="38"/>
    </row>
    <row r="110" spans="1:29" ht="12.75" customHeight="1">
      <c r="A110" s="598" t="s">
        <v>615</v>
      </c>
      <c r="B110" s="249">
        <v>2100</v>
      </c>
      <c r="C110" s="306">
        <v>90.01</v>
      </c>
      <c r="D110" s="256">
        <v>93</v>
      </c>
      <c r="E110" s="249">
        <v>1667</v>
      </c>
      <c r="F110" s="586">
        <v>92</v>
      </c>
      <c r="G110" s="313">
        <v>-1.6E-2</v>
      </c>
      <c r="H110" s="240">
        <v>90.01</v>
      </c>
      <c r="I110" s="229">
        <v>93.2</v>
      </c>
      <c r="J110" s="229">
        <v>90</v>
      </c>
      <c r="K110" s="261">
        <v>93.5</v>
      </c>
      <c r="L110" s="248">
        <v>31893</v>
      </c>
      <c r="M110" s="233">
        <v>34304</v>
      </c>
      <c r="N110" s="248">
        <v>18</v>
      </c>
      <c r="O110" s="280">
        <v>45378.626400462963</v>
      </c>
      <c r="P110" s="289">
        <v>109</v>
      </c>
      <c r="Q110" s="264">
        <v>0</v>
      </c>
      <c r="R110" s="729">
        <v>0</v>
      </c>
      <c r="S110" s="747">
        <v>0</v>
      </c>
      <c r="T110" s="245">
        <v>0</v>
      </c>
      <c r="U110" s="507"/>
      <c r="V110" s="373">
        <v>0</v>
      </c>
      <c r="W110" s="412">
        <f t="shared" ref="W110" si="30">(V110*X110)</f>
        <v>0</v>
      </c>
      <c r="X110" s="739"/>
      <c r="Y110" s="699">
        <f>IF(D110&lt;&gt;0,($C111*(1-$V$1))-$D110,0)</f>
        <v>-0.98999999999999488</v>
      </c>
      <c r="Z110" s="700">
        <f>IFERROR(IF(C110&lt;&gt;"",$Y$1/(D106/100)*(C110/100),""),"")</f>
        <v>98.602904032736546</v>
      </c>
      <c r="AA110" s="701">
        <f>IFERROR($Z$1/(D110/100)*(C106/100),"")</f>
        <v>99365.59139784945</v>
      </c>
      <c r="AB110" s="38"/>
    </row>
    <row r="111" spans="1:29" ht="12.75" customHeight="1">
      <c r="A111" s="758" t="s">
        <v>616</v>
      </c>
      <c r="B111" s="395">
        <v>100000</v>
      </c>
      <c r="C111" s="359">
        <v>92.01</v>
      </c>
      <c r="D111" s="390">
        <v>92.6</v>
      </c>
      <c r="E111" s="660">
        <v>2321</v>
      </c>
      <c r="F111" s="585">
        <v>92</v>
      </c>
      <c r="G111" s="370">
        <v>-1.6E-2</v>
      </c>
      <c r="H111" s="361">
        <v>90.5</v>
      </c>
      <c r="I111" s="362">
        <v>93.4</v>
      </c>
      <c r="J111" s="362">
        <v>90.5</v>
      </c>
      <c r="K111" s="371">
        <v>93.5</v>
      </c>
      <c r="L111" s="356">
        <v>69041</v>
      </c>
      <c r="M111" s="364">
        <v>74581</v>
      </c>
      <c r="N111" s="356">
        <v>44</v>
      </c>
      <c r="O111" s="357">
        <v>45378.637245370373</v>
      </c>
      <c r="P111" s="288">
        <v>110</v>
      </c>
      <c r="Q111" s="358">
        <v>0</v>
      </c>
      <c r="R111" s="726">
        <v>0</v>
      </c>
      <c r="S111" s="745">
        <v>0</v>
      </c>
      <c r="T111" s="366">
        <v>0</v>
      </c>
      <c r="U111" s="506"/>
      <c r="V111" s="374">
        <v>0</v>
      </c>
      <c r="W111" s="415">
        <f>V110*(F110/100)</f>
        <v>0</v>
      </c>
      <c r="X111" s="742"/>
      <c r="Y111" s="516">
        <f>IFERROR(INT($Z$1/(F110/100)),"")</f>
        <v>108</v>
      </c>
      <c r="Z111" s="702">
        <f>IFERROR(IF(C111&lt;&gt;"",$Y$1/(D107/100)*(C111/100),""),"")</f>
        <v>99.324819691526599</v>
      </c>
      <c r="AA111" s="703">
        <f>IFERROR($Z$1/(D111/100)*(C107/100),"")</f>
        <v>101036.717062635</v>
      </c>
      <c r="AB111" s="38"/>
    </row>
    <row r="112" spans="1:29" ht="12.75" customHeight="1">
      <c r="A112" s="760" t="s">
        <v>547</v>
      </c>
      <c r="B112" s="249">
        <v>900</v>
      </c>
      <c r="C112" s="306">
        <v>48810</v>
      </c>
      <c r="D112" s="256">
        <v>49095</v>
      </c>
      <c r="E112" s="249">
        <v>100</v>
      </c>
      <c r="F112" s="576">
        <v>49095</v>
      </c>
      <c r="G112" s="310">
        <v>-1.01E-2</v>
      </c>
      <c r="H112" s="238">
        <v>49510</v>
      </c>
      <c r="I112" s="230">
        <v>50060</v>
      </c>
      <c r="J112" s="230">
        <v>48690</v>
      </c>
      <c r="K112" s="260">
        <v>49600</v>
      </c>
      <c r="L112" s="252">
        <v>204525825</v>
      </c>
      <c r="M112" s="234">
        <v>413587</v>
      </c>
      <c r="N112" s="252">
        <v>538</v>
      </c>
      <c r="O112" s="278">
        <v>45378.646527777775</v>
      </c>
      <c r="P112" s="289">
        <v>111</v>
      </c>
      <c r="Q112" s="265">
        <v>0</v>
      </c>
      <c r="R112" s="719">
        <v>0</v>
      </c>
      <c r="S112" s="744">
        <v>0</v>
      </c>
      <c r="T112" s="247">
        <v>0</v>
      </c>
      <c r="U112" s="507"/>
      <c r="V112" s="376"/>
      <c r="W112" s="414">
        <f t="shared" ref="W112" si="31">(V112*X112)</f>
        <v>0</v>
      </c>
      <c r="X112" s="743"/>
      <c r="Y112" s="685">
        <f>IF(D112&lt;&gt;0,($C113*(1-$V$1))-$D112,0)</f>
        <v>445</v>
      </c>
      <c r="Z112" s="704"/>
      <c r="AA112" s="691"/>
      <c r="AB112" s="38"/>
    </row>
    <row r="113" spans="1:28" ht="12.75" customHeight="1">
      <c r="A113" s="599" t="s">
        <v>183</v>
      </c>
      <c r="B113" s="657">
        <v>5000</v>
      </c>
      <c r="C113" s="239">
        <v>49540</v>
      </c>
      <c r="D113" s="391">
        <v>49560</v>
      </c>
      <c r="E113" s="665">
        <v>3385</v>
      </c>
      <c r="F113" s="577">
        <v>49510</v>
      </c>
      <c r="G113" s="312">
        <v>-1.5100000000000001E-2</v>
      </c>
      <c r="H113" s="237">
        <v>51000</v>
      </c>
      <c r="I113" s="228">
        <v>51000</v>
      </c>
      <c r="J113" s="228">
        <v>49310</v>
      </c>
      <c r="K113" s="258">
        <v>50270</v>
      </c>
      <c r="L113" s="235">
        <v>1231243772</v>
      </c>
      <c r="M113" s="232">
        <v>2461956</v>
      </c>
      <c r="N113" s="235">
        <v>1281</v>
      </c>
      <c r="O113" s="279">
        <v>45378.647141203706</v>
      </c>
      <c r="P113" s="288">
        <v>112</v>
      </c>
      <c r="Q113" s="263">
        <v>0</v>
      </c>
      <c r="R113" s="718">
        <v>0</v>
      </c>
      <c r="S113" s="746">
        <v>0</v>
      </c>
      <c r="T113" s="246">
        <v>0</v>
      </c>
      <c r="U113" s="506"/>
      <c r="V113" s="375">
        <v>0</v>
      </c>
      <c r="W113" s="409">
        <f>V112*(F112/100)</f>
        <v>0</v>
      </c>
      <c r="X113" s="737"/>
      <c r="Y113" s="514">
        <f>IFERROR(INT($Y$1/(F112/100)),"")</f>
        <v>206</v>
      </c>
      <c r="Z113" s="692"/>
      <c r="AA113" s="693"/>
      <c r="AB113" s="38"/>
    </row>
    <row r="114" spans="1:28" ht="12.75" hidden="1" customHeight="1">
      <c r="A114" s="598" t="s">
        <v>548</v>
      </c>
      <c r="B114" s="249"/>
      <c r="C114" s="306"/>
      <c r="D114" s="256"/>
      <c r="E114" s="249"/>
      <c r="F114" s="586"/>
      <c r="G114" s="313"/>
      <c r="H114" s="240"/>
      <c r="I114" s="229"/>
      <c r="J114" s="229"/>
      <c r="K114" s="261">
        <v>38</v>
      </c>
      <c r="L114" s="248"/>
      <c r="M114" s="233"/>
      <c r="N114" s="248"/>
      <c r="O114" s="280"/>
      <c r="P114" s="289">
        <v>113</v>
      </c>
      <c r="Q114" s="264">
        <v>0</v>
      </c>
      <c r="R114" s="729">
        <v>0</v>
      </c>
      <c r="S114" s="747">
        <v>0</v>
      </c>
      <c r="T114" s="245">
        <v>0</v>
      </c>
      <c r="U114" s="507"/>
      <c r="V114" s="303"/>
      <c r="W114" s="410">
        <f t="shared" ref="W114" si="32">(V114*X114)</f>
        <v>0</v>
      </c>
      <c r="X114" s="743"/>
      <c r="Y114" s="694">
        <f>IF(D114&lt;&gt;0,($C115*(1-$V$1))-$D114,0)</f>
        <v>0</v>
      </c>
      <c r="Z114" s="695" t="str">
        <f>IFERROR(IF(C114&lt;&gt;"",$Y$1/(D112/100)*(C114/100),""),"")</f>
        <v/>
      </c>
      <c r="AA114" s="696" t="str">
        <f>IFERROR($AA$1/(D114/100)*(C112/100),"")</f>
        <v/>
      </c>
      <c r="AB114" s="38"/>
    </row>
    <row r="115" spans="1:28" ht="12.75" hidden="1" customHeight="1">
      <c r="A115" s="599" t="s">
        <v>230</v>
      </c>
      <c r="B115" s="657"/>
      <c r="C115" s="239"/>
      <c r="D115" s="391"/>
      <c r="E115" s="665"/>
      <c r="F115" s="577"/>
      <c r="G115" s="312"/>
      <c r="H115" s="237"/>
      <c r="I115" s="228"/>
      <c r="J115" s="228"/>
      <c r="K115" s="258">
        <v>35.875</v>
      </c>
      <c r="L115" s="235"/>
      <c r="M115" s="232"/>
      <c r="N115" s="235"/>
      <c r="O115" s="279"/>
      <c r="P115" s="288">
        <v>114</v>
      </c>
      <c r="Q115" s="263">
        <v>0</v>
      </c>
      <c r="R115" s="718">
        <v>0</v>
      </c>
      <c r="S115" s="746">
        <v>0</v>
      </c>
      <c r="T115" s="246">
        <v>0</v>
      </c>
      <c r="U115" s="506"/>
      <c r="V115" s="302">
        <v>0</v>
      </c>
      <c r="W115" s="411">
        <f>V114*(F114/100)</f>
        <v>0</v>
      </c>
      <c r="X115" s="737"/>
      <c r="Y115" s="515" t="str">
        <f>IFERROR(INT($AA$1/(F114/100)),"")</f>
        <v/>
      </c>
      <c r="Z115" s="697" t="str">
        <f>IFERROR(IF(C115&lt;&gt;"",$Y$1/(D113/100)*(C115/100),""),"")</f>
        <v/>
      </c>
      <c r="AA115" s="698" t="str">
        <f>IFERROR($AA$1/(D115/100)*(C113/100),"")</f>
        <v/>
      </c>
      <c r="AB115" s="38"/>
    </row>
    <row r="116" spans="1:28" ht="12.75" customHeight="1">
      <c r="A116" s="598" t="s">
        <v>549</v>
      </c>
      <c r="B116" s="249">
        <v>4400</v>
      </c>
      <c r="C116" s="306">
        <v>49.146999999999998</v>
      </c>
      <c r="D116" s="256">
        <v>49.378999999999998</v>
      </c>
      <c r="E116" s="249">
        <v>362</v>
      </c>
      <c r="F116" s="586">
        <v>49.146999999999998</v>
      </c>
      <c r="G116" s="313">
        <v>-4.0999999999999995E-3</v>
      </c>
      <c r="H116" s="240">
        <v>49.064</v>
      </c>
      <c r="I116" s="229">
        <v>49.44</v>
      </c>
      <c r="J116" s="229">
        <v>48.755000000000003</v>
      </c>
      <c r="K116" s="261">
        <v>49.35</v>
      </c>
      <c r="L116" s="248">
        <v>101561</v>
      </c>
      <c r="M116" s="233">
        <v>207390</v>
      </c>
      <c r="N116" s="248">
        <v>142</v>
      </c>
      <c r="O116" s="280">
        <v>45378.64571759259</v>
      </c>
      <c r="P116" s="289">
        <v>115</v>
      </c>
      <c r="Q116" s="264">
        <v>0</v>
      </c>
      <c r="R116" s="729">
        <v>0</v>
      </c>
      <c r="S116" s="747">
        <v>0</v>
      </c>
      <c r="T116" s="245">
        <v>0</v>
      </c>
      <c r="U116" s="507"/>
      <c r="V116" s="373">
        <v>0</v>
      </c>
      <c r="W116" s="412">
        <f t="shared" ref="W116" si="33">(V116*X116)</f>
        <v>0</v>
      </c>
      <c r="X116" s="739"/>
      <c r="Y116" s="699">
        <f>IF(D116&lt;&gt;0,($C117*(1-$V$1))-$D116,0)</f>
        <v>-0.37800000000000011</v>
      </c>
      <c r="Z116" s="700">
        <f>IFERROR(IF(C116&lt;&gt;"",$Y$1/(D112/100)*(C116/100),""),"")</f>
        <v>101.58050251065178</v>
      </c>
      <c r="AA116" s="701">
        <f>IFERROR($Z$1/(D116/100)*(C112/100),"")</f>
        <v>98847.688288543723</v>
      </c>
      <c r="AB116" s="38"/>
    </row>
    <row r="117" spans="1:28" ht="12.75" customHeight="1">
      <c r="A117" s="758" t="s">
        <v>231</v>
      </c>
      <c r="B117" s="395">
        <v>4400</v>
      </c>
      <c r="C117" s="359">
        <v>49.000999999999998</v>
      </c>
      <c r="D117" s="390">
        <v>49.18</v>
      </c>
      <c r="E117" s="660">
        <v>362</v>
      </c>
      <c r="F117" s="585">
        <v>49.121000000000002</v>
      </c>
      <c r="G117" s="370">
        <v>4.0000000000000002E-4</v>
      </c>
      <c r="H117" s="361">
        <v>50</v>
      </c>
      <c r="I117" s="362">
        <v>50</v>
      </c>
      <c r="J117" s="362">
        <v>48.75</v>
      </c>
      <c r="K117" s="371">
        <v>49.1</v>
      </c>
      <c r="L117" s="356">
        <v>222161</v>
      </c>
      <c r="M117" s="364">
        <v>453303</v>
      </c>
      <c r="N117" s="356">
        <v>261</v>
      </c>
      <c r="O117" s="357">
        <v>45378.64571759259</v>
      </c>
      <c r="P117" s="288">
        <v>116</v>
      </c>
      <c r="Q117" s="358">
        <v>0</v>
      </c>
      <c r="R117" s="726">
        <v>0</v>
      </c>
      <c r="S117" s="745">
        <v>0</v>
      </c>
      <c r="T117" s="366">
        <v>0</v>
      </c>
      <c r="U117" s="506"/>
      <c r="V117" s="374">
        <v>0</v>
      </c>
      <c r="W117" s="415">
        <f>V116*(F116/100)</f>
        <v>0</v>
      </c>
      <c r="X117" s="742"/>
      <c r="Y117" s="516">
        <f>IFERROR(INT($Z$1/(F116/100)),"")</f>
        <v>203</v>
      </c>
      <c r="Z117" s="702">
        <f>IFERROR(IF(C117&lt;&gt;"",$Y$1/(D113/100)*(C117/100),""),"")</f>
        <v>100.32848484821464</v>
      </c>
      <c r="AA117" s="703">
        <f>IFERROR($Z$1/(D117/100)*(C113/100),"")</f>
        <v>100732.00488003253</v>
      </c>
      <c r="AB117" s="38"/>
    </row>
    <row r="118" spans="1:28" ht="12.75" customHeight="1">
      <c r="A118" s="760" t="s">
        <v>541</v>
      </c>
      <c r="B118" s="249">
        <v>36</v>
      </c>
      <c r="C118" s="306">
        <v>55510</v>
      </c>
      <c r="D118" s="256">
        <v>55630</v>
      </c>
      <c r="E118" s="249">
        <v>2300</v>
      </c>
      <c r="F118" s="576">
        <v>55630</v>
      </c>
      <c r="G118" s="310">
        <v>-1.5300000000000001E-2</v>
      </c>
      <c r="H118" s="238">
        <v>57000</v>
      </c>
      <c r="I118" s="230">
        <v>57740</v>
      </c>
      <c r="J118" s="230">
        <v>55500</v>
      </c>
      <c r="K118" s="260">
        <v>56500</v>
      </c>
      <c r="L118" s="252">
        <v>128643928</v>
      </c>
      <c r="M118" s="234">
        <v>228596</v>
      </c>
      <c r="N118" s="252">
        <v>478</v>
      </c>
      <c r="O118" s="278">
        <v>45378.646828703706</v>
      </c>
      <c r="P118" s="289">
        <v>117</v>
      </c>
      <c r="Q118" s="265">
        <v>0</v>
      </c>
      <c r="R118" s="719">
        <v>0</v>
      </c>
      <c r="S118" s="744">
        <v>0</v>
      </c>
      <c r="T118" s="247">
        <v>0</v>
      </c>
      <c r="U118" s="507"/>
      <c r="V118" s="376"/>
      <c r="W118" s="414">
        <f t="shared" ref="W118" si="34">(V118*X118)</f>
        <v>0</v>
      </c>
      <c r="X118" s="743"/>
      <c r="Y118" s="685">
        <f>IF(D118&lt;&gt;0,($C119*(1-$V$1))-$D118,0)</f>
        <v>750</v>
      </c>
      <c r="Z118" s="704"/>
      <c r="AA118" s="691"/>
      <c r="AB118" s="38"/>
    </row>
    <row r="119" spans="1:28" ht="12.75" customHeight="1">
      <c r="A119" s="599" t="s">
        <v>186</v>
      </c>
      <c r="B119" s="657">
        <v>1731</v>
      </c>
      <c r="C119" s="239">
        <v>56380</v>
      </c>
      <c r="D119" s="391">
        <v>56450</v>
      </c>
      <c r="E119" s="665">
        <v>2300</v>
      </c>
      <c r="F119" s="577">
        <v>56450</v>
      </c>
      <c r="G119" s="312">
        <v>-9.5999999999999992E-3</v>
      </c>
      <c r="H119" s="237">
        <v>57960</v>
      </c>
      <c r="I119" s="228">
        <v>57960</v>
      </c>
      <c r="J119" s="228">
        <v>56210</v>
      </c>
      <c r="K119" s="258">
        <v>57000</v>
      </c>
      <c r="L119" s="235">
        <v>686322896</v>
      </c>
      <c r="M119" s="232">
        <v>1210803</v>
      </c>
      <c r="N119" s="235">
        <v>1144</v>
      </c>
      <c r="O119" s="279">
        <v>45378.646828703706</v>
      </c>
      <c r="P119" s="288">
        <v>118</v>
      </c>
      <c r="Q119" s="263">
        <v>0</v>
      </c>
      <c r="R119" s="718">
        <v>0</v>
      </c>
      <c r="S119" s="746">
        <v>0</v>
      </c>
      <c r="T119" s="246">
        <v>0</v>
      </c>
      <c r="U119" s="506"/>
      <c r="V119" s="375">
        <v>0</v>
      </c>
      <c r="W119" s="409">
        <f>V118*(F118/100)</f>
        <v>0</v>
      </c>
      <c r="X119" s="737"/>
      <c r="Y119" s="514">
        <f>IFERROR(INT($Y$1/(F118/100)),"")</f>
        <v>182</v>
      </c>
      <c r="Z119" s="692"/>
      <c r="AA119" s="693"/>
      <c r="AB119" s="38"/>
    </row>
    <row r="120" spans="1:28" ht="12.75" hidden="1" customHeight="1">
      <c r="A120" s="598" t="s">
        <v>542</v>
      </c>
      <c r="B120" s="249"/>
      <c r="C120" s="306"/>
      <c r="D120" s="256"/>
      <c r="E120" s="249"/>
      <c r="F120" s="586"/>
      <c r="G120" s="313"/>
      <c r="H120" s="240"/>
      <c r="I120" s="229"/>
      <c r="J120" s="229"/>
      <c r="K120" s="261">
        <v>22</v>
      </c>
      <c r="L120" s="248"/>
      <c r="M120" s="233"/>
      <c r="N120" s="248"/>
      <c r="O120" s="280"/>
      <c r="P120" s="289">
        <v>119</v>
      </c>
      <c r="Q120" s="264">
        <v>0</v>
      </c>
      <c r="R120" s="729">
        <v>0</v>
      </c>
      <c r="S120" s="747">
        <v>0</v>
      </c>
      <c r="T120" s="245">
        <v>0</v>
      </c>
      <c r="U120" s="507"/>
      <c r="V120" s="303"/>
      <c r="W120" s="410">
        <f t="shared" ref="W120" si="35">(V120*X120)</f>
        <v>0</v>
      </c>
      <c r="X120" s="743"/>
      <c r="Y120" s="694">
        <f>IF(D120&lt;&gt;0,($C121*(1-$V$1))-$D120,0)</f>
        <v>0</v>
      </c>
      <c r="Z120" s="695" t="str">
        <f>IFERROR(IF(C120&lt;&gt;"",$Y$1/(D118/100)*(C120/100),""),"")</f>
        <v/>
      </c>
      <c r="AA120" s="696" t="str">
        <f>IFERROR($AA$1/(D120/100)*(C118/100),"")</f>
        <v/>
      </c>
      <c r="AB120" s="38"/>
    </row>
    <row r="121" spans="1:28" ht="12.75" hidden="1" customHeight="1">
      <c r="A121" s="599" t="s">
        <v>238</v>
      </c>
      <c r="B121" s="657"/>
      <c r="C121" s="239"/>
      <c r="D121" s="391"/>
      <c r="E121" s="665"/>
      <c r="F121" s="577"/>
      <c r="G121" s="312"/>
      <c r="H121" s="237"/>
      <c r="I121" s="228"/>
      <c r="J121" s="228"/>
      <c r="K121" s="258">
        <v>46.3</v>
      </c>
      <c r="L121" s="235"/>
      <c r="M121" s="232"/>
      <c r="N121" s="235"/>
      <c r="O121" s="279"/>
      <c r="P121" s="288">
        <v>120</v>
      </c>
      <c r="Q121" s="263">
        <v>0</v>
      </c>
      <c r="R121" s="718">
        <v>0</v>
      </c>
      <c r="S121" s="746">
        <v>0</v>
      </c>
      <c r="T121" s="246">
        <v>0</v>
      </c>
      <c r="U121" s="506"/>
      <c r="V121" s="302">
        <v>0</v>
      </c>
      <c r="W121" s="411">
        <f>V120*(F120/100)</f>
        <v>0</v>
      </c>
      <c r="X121" s="737"/>
      <c r="Y121" s="515" t="str">
        <f>IFERROR(INT($AA$1/(F120/100)),"")</f>
        <v/>
      </c>
      <c r="Z121" s="697" t="str">
        <f>IFERROR(IF(C121&lt;&gt;"",$Y$1/(D119/100)*(C121/100),""),"")</f>
        <v/>
      </c>
      <c r="AA121" s="698" t="str">
        <f>IFERROR($AA$1/(D121/100)*(C119/100),"")</f>
        <v/>
      </c>
      <c r="AB121" s="38"/>
    </row>
    <row r="122" spans="1:28" ht="12.75" customHeight="1">
      <c r="A122" s="598" t="s">
        <v>543</v>
      </c>
      <c r="B122" s="249">
        <v>264</v>
      </c>
      <c r="C122" s="306">
        <v>55.68</v>
      </c>
      <c r="D122" s="256">
        <v>55.99</v>
      </c>
      <c r="E122" s="249">
        <v>3455</v>
      </c>
      <c r="F122" s="586">
        <v>55.99</v>
      </c>
      <c r="G122" s="313">
        <v>-8.3000000000000001E-3</v>
      </c>
      <c r="H122" s="240">
        <v>56.01</v>
      </c>
      <c r="I122" s="229">
        <v>57.99</v>
      </c>
      <c r="J122" s="229">
        <v>55</v>
      </c>
      <c r="K122" s="261">
        <v>56.46</v>
      </c>
      <c r="L122" s="248">
        <v>63952</v>
      </c>
      <c r="M122" s="233">
        <v>114420</v>
      </c>
      <c r="N122" s="248">
        <v>160</v>
      </c>
      <c r="O122" s="280">
        <v>45378.643020833333</v>
      </c>
      <c r="P122" s="289">
        <v>121</v>
      </c>
      <c r="Q122" s="264">
        <v>0</v>
      </c>
      <c r="R122" s="729">
        <v>0</v>
      </c>
      <c r="S122" s="747">
        <v>0</v>
      </c>
      <c r="T122" s="245">
        <v>0</v>
      </c>
      <c r="U122" s="507"/>
      <c r="V122" s="373"/>
      <c r="W122" s="412">
        <f t="shared" ref="W122" si="36">(V122*X122)</f>
        <v>0</v>
      </c>
      <c r="X122" s="739"/>
      <c r="Y122" s="699">
        <f>IF(D122&lt;&gt;0,($C123*(1-$V$1))-$D122,0)</f>
        <v>-0.28000000000000114</v>
      </c>
      <c r="Z122" s="700">
        <f>IFERROR(IF(C122&lt;&gt;"",$Y$1/(D118/100)*(C122/100),""),"")</f>
        <v>101.5642287355566</v>
      </c>
      <c r="AA122" s="701">
        <f>IFERROR($Z$1/(D122/100)*(C118/100),"")</f>
        <v>99142.704054295406</v>
      </c>
      <c r="AB122" s="38"/>
    </row>
    <row r="123" spans="1:28" ht="12.75" customHeight="1">
      <c r="A123" s="758" t="s">
        <v>239</v>
      </c>
      <c r="B123" s="395">
        <v>264</v>
      </c>
      <c r="C123" s="359">
        <v>55.71</v>
      </c>
      <c r="D123" s="390">
        <v>55.95</v>
      </c>
      <c r="E123" s="660">
        <v>2000</v>
      </c>
      <c r="F123" s="585">
        <v>56</v>
      </c>
      <c r="G123" s="370">
        <v>8.0000000000000004E-4</v>
      </c>
      <c r="H123" s="361">
        <v>55.55</v>
      </c>
      <c r="I123" s="362">
        <v>58.03</v>
      </c>
      <c r="J123" s="362">
        <v>55.01</v>
      </c>
      <c r="K123" s="371">
        <v>55.95</v>
      </c>
      <c r="L123" s="356">
        <v>88495</v>
      </c>
      <c r="M123" s="364">
        <v>158534</v>
      </c>
      <c r="N123" s="356">
        <v>179</v>
      </c>
      <c r="O123" s="357">
        <v>45378.645138888889</v>
      </c>
      <c r="P123" s="288">
        <v>122</v>
      </c>
      <c r="Q123" s="358">
        <v>0</v>
      </c>
      <c r="R123" s="726">
        <v>0</v>
      </c>
      <c r="S123" s="745">
        <v>0</v>
      </c>
      <c r="T123" s="366">
        <v>0</v>
      </c>
      <c r="U123" s="506"/>
      <c r="V123" s="374">
        <v>0</v>
      </c>
      <c r="W123" s="416">
        <f>V122*(F122/100)</f>
        <v>0</v>
      </c>
      <c r="X123" s="742"/>
      <c r="Y123" s="516">
        <f>IFERROR(INT($Z$1/(F122/100)),"")</f>
        <v>178</v>
      </c>
      <c r="Z123" s="702">
        <f>IFERROR(IF(C123&lt;&gt;"",$Y$1/(D119/100)*(C123/100),""),"")</f>
        <v>100.14282082047441</v>
      </c>
      <c r="AA123" s="703">
        <f>IFERROR($Z$1/(D123/100)*(C119/100),"")</f>
        <v>100768.54334226988</v>
      </c>
      <c r="AB123" s="38"/>
    </row>
    <row r="124" spans="1:28" ht="12.75" customHeight="1">
      <c r="A124" s="760" t="s">
        <v>544</v>
      </c>
      <c r="B124" s="249">
        <v>3000</v>
      </c>
      <c r="C124" s="306">
        <v>45600</v>
      </c>
      <c r="D124" s="256">
        <v>45620</v>
      </c>
      <c r="E124" s="249">
        <v>102267</v>
      </c>
      <c r="F124" s="576">
        <v>45620</v>
      </c>
      <c r="G124" s="310">
        <v>-2.3599999999999999E-2</v>
      </c>
      <c r="H124" s="238">
        <v>46980</v>
      </c>
      <c r="I124" s="230">
        <v>46980</v>
      </c>
      <c r="J124" s="230">
        <v>44500</v>
      </c>
      <c r="K124" s="260">
        <v>46725</v>
      </c>
      <c r="L124" s="252">
        <v>498405377</v>
      </c>
      <c r="M124" s="234">
        <v>1089560</v>
      </c>
      <c r="N124" s="252">
        <v>807</v>
      </c>
      <c r="O124" s="278">
        <v>45378.647048611114</v>
      </c>
      <c r="P124" s="289">
        <v>123</v>
      </c>
      <c r="Q124" s="265">
        <v>0</v>
      </c>
      <c r="R124" s="719">
        <v>0</v>
      </c>
      <c r="S124" s="744">
        <v>0</v>
      </c>
      <c r="T124" s="247">
        <v>0</v>
      </c>
      <c r="U124" s="507"/>
      <c r="V124" s="376"/>
      <c r="W124" s="414">
        <f t="shared" ref="W124" si="37">(V124*X124)</f>
        <v>0</v>
      </c>
      <c r="X124" s="743"/>
      <c r="Y124" s="685">
        <f>IF(D124&lt;&gt;0,($C125*(1-$V$1))-$D124,0)</f>
        <v>680</v>
      </c>
      <c r="Z124" s="704"/>
      <c r="AA124" s="691"/>
      <c r="AB124" s="38"/>
    </row>
    <row r="125" spans="1:28" ht="12.75" customHeight="1">
      <c r="A125" s="599" t="s">
        <v>184</v>
      </c>
      <c r="B125" s="657">
        <v>2093</v>
      </c>
      <c r="C125" s="239">
        <v>46300</v>
      </c>
      <c r="D125" s="391">
        <v>46350</v>
      </c>
      <c r="E125" s="665">
        <v>322</v>
      </c>
      <c r="F125" s="577">
        <v>46300</v>
      </c>
      <c r="G125" s="312">
        <v>-1.44E-2</v>
      </c>
      <c r="H125" s="237">
        <v>47490</v>
      </c>
      <c r="I125" s="228">
        <v>47490</v>
      </c>
      <c r="J125" s="228">
        <v>45100</v>
      </c>
      <c r="K125" s="258">
        <v>46980</v>
      </c>
      <c r="L125" s="235">
        <v>2803444302</v>
      </c>
      <c r="M125" s="232">
        <v>6031121</v>
      </c>
      <c r="N125" s="235">
        <v>1864</v>
      </c>
      <c r="O125" s="279">
        <v>45378.647152777776</v>
      </c>
      <c r="P125" s="288">
        <v>124</v>
      </c>
      <c r="Q125" s="263">
        <v>0</v>
      </c>
      <c r="R125" s="718">
        <v>0</v>
      </c>
      <c r="S125" s="746">
        <v>0</v>
      </c>
      <c r="T125" s="246">
        <v>0</v>
      </c>
      <c r="U125" s="506"/>
      <c r="V125" s="375">
        <v>0</v>
      </c>
      <c r="W125" s="409">
        <f>V124*(F124/100)</f>
        <v>0</v>
      </c>
      <c r="X125" s="737"/>
      <c r="Y125" s="514">
        <f>IFERROR(INT($Y$1/(F124/100)),"")</f>
        <v>222</v>
      </c>
      <c r="Z125" s="692"/>
      <c r="AA125" s="693"/>
      <c r="AB125" s="38"/>
    </row>
    <row r="126" spans="1:28" ht="12.75" hidden="1" customHeight="1">
      <c r="A126" s="598" t="s">
        <v>545</v>
      </c>
      <c r="B126" s="249"/>
      <c r="C126" s="306"/>
      <c r="D126" s="256"/>
      <c r="E126" s="249"/>
      <c r="F126" s="586"/>
      <c r="G126" s="313"/>
      <c r="H126" s="240"/>
      <c r="I126" s="229"/>
      <c r="J126" s="229"/>
      <c r="K126" s="261">
        <v>36</v>
      </c>
      <c r="L126" s="248"/>
      <c r="M126" s="233"/>
      <c r="N126" s="248"/>
      <c r="O126" s="280"/>
      <c r="P126" s="289">
        <v>125</v>
      </c>
      <c r="Q126" s="264">
        <v>0</v>
      </c>
      <c r="R126" s="729">
        <v>0</v>
      </c>
      <c r="S126" s="747">
        <v>0</v>
      </c>
      <c r="T126" s="245">
        <v>0</v>
      </c>
      <c r="U126" s="507"/>
      <c r="V126" s="303"/>
      <c r="W126" s="410">
        <f t="shared" ref="W126" si="38">(V126*X126)</f>
        <v>0</v>
      </c>
      <c r="X126" s="743"/>
      <c r="Y126" s="694">
        <f>IF(D126&lt;&gt;0,($C127*(1-$V$1))-$D126,0)</f>
        <v>0</v>
      </c>
      <c r="Z126" s="695" t="str">
        <f>IFERROR(IF(C126&lt;&gt;"",$Y$1/(D124/100)*(C126/100),""),"")</f>
        <v/>
      </c>
      <c r="AA126" s="696" t="str">
        <f>IFERROR($AA$1/(D126/100)*(C124/100),"")</f>
        <v/>
      </c>
      <c r="AB126" s="38"/>
    </row>
    <row r="127" spans="1:28" ht="12.75" hidden="1" customHeight="1">
      <c r="A127" s="599" t="s">
        <v>240</v>
      </c>
      <c r="B127" s="657">
        <v>500000</v>
      </c>
      <c r="C127" s="239">
        <v>42</v>
      </c>
      <c r="D127" s="391"/>
      <c r="E127" s="665"/>
      <c r="F127" s="577"/>
      <c r="G127" s="312"/>
      <c r="H127" s="237"/>
      <c r="I127" s="228"/>
      <c r="J127" s="228"/>
      <c r="K127" s="258">
        <v>32.188000000000002</v>
      </c>
      <c r="L127" s="235"/>
      <c r="M127" s="232"/>
      <c r="N127" s="235"/>
      <c r="O127" s="279"/>
      <c r="P127" s="288">
        <v>126</v>
      </c>
      <c r="Q127" s="263">
        <v>0</v>
      </c>
      <c r="R127" s="718">
        <v>0</v>
      </c>
      <c r="S127" s="746">
        <v>0</v>
      </c>
      <c r="T127" s="246">
        <v>0</v>
      </c>
      <c r="U127" s="506"/>
      <c r="V127" s="302">
        <v>0</v>
      </c>
      <c r="W127" s="411">
        <f>V126*(F126/100)</f>
        <v>0</v>
      </c>
      <c r="X127" s="737"/>
      <c r="Y127" s="515" t="str">
        <f>IFERROR(INT($AA$1/(F126/100)),"")</f>
        <v/>
      </c>
      <c r="Z127" s="697">
        <f>IFERROR(IF(C127&lt;&gt;"",$Y$1/(D125/100)*(C127/100),""),"")</f>
        <v>91.949666871054873</v>
      </c>
      <c r="AA127" s="698" t="str">
        <f>IFERROR($AA$1/(D127/100)*(C125/100),"")</f>
        <v/>
      </c>
      <c r="AB127" s="38"/>
    </row>
    <row r="128" spans="1:28" ht="12.75" customHeight="1">
      <c r="A128" s="598" t="s">
        <v>546</v>
      </c>
      <c r="B128" s="249">
        <v>2204</v>
      </c>
      <c r="C128" s="306">
        <v>45.368000000000002</v>
      </c>
      <c r="D128" s="256">
        <v>45.82</v>
      </c>
      <c r="E128" s="249">
        <v>440</v>
      </c>
      <c r="F128" s="586">
        <v>45.85</v>
      </c>
      <c r="G128" s="313">
        <v>9.8999999999999991E-3</v>
      </c>
      <c r="H128" s="240">
        <v>45.9</v>
      </c>
      <c r="I128" s="229">
        <v>46.4</v>
      </c>
      <c r="J128" s="229">
        <v>44.8</v>
      </c>
      <c r="K128" s="261">
        <v>45.4</v>
      </c>
      <c r="L128" s="248">
        <v>121977</v>
      </c>
      <c r="M128" s="233">
        <v>267721</v>
      </c>
      <c r="N128" s="248">
        <v>232</v>
      </c>
      <c r="O128" s="280">
        <v>45378.644745370373</v>
      </c>
      <c r="P128" s="289">
        <v>127</v>
      </c>
      <c r="Q128" s="264">
        <v>0</v>
      </c>
      <c r="R128" s="729">
        <v>0</v>
      </c>
      <c r="S128" s="747">
        <v>0</v>
      </c>
      <c r="T128" s="245">
        <v>0</v>
      </c>
      <c r="U128" s="507"/>
      <c r="V128" s="373">
        <v>0</v>
      </c>
      <c r="W128" s="412">
        <f t="shared" ref="W128" si="39">(V128*X128)</f>
        <v>0</v>
      </c>
      <c r="X128" s="739"/>
      <c r="Y128" s="699">
        <f>IF(D128&lt;&gt;0,($C129*(1-$V$1))-$D128,0)</f>
        <v>-0.65899999999999892</v>
      </c>
      <c r="Z128" s="700">
        <f>IFERROR(IF(C128&lt;&gt;"",$Y$1/(D124/100)*(C128/100),""),"")</f>
        <v>100.91249908884414</v>
      </c>
      <c r="AA128" s="701">
        <f>IFERROR($Z$1/(D128/100)*(C124/100),"")</f>
        <v>99519.860323003057</v>
      </c>
      <c r="AB128" s="38"/>
    </row>
    <row r="129" spans="1:28" ht="12.75" customHeight="1">
      <c r="A129" s="758" t="s">
        <v>241</v>
      </c>
      <c r="B129" s="395">
        <v>4408</v>
      </c>
      <c r="C129" s="359">
        <v>45.161000000000001</v>
      </c>
      <c r="D129" s="390">
        <v>45.847000000000001</v>
      </c>
      <c r="E129" s="660">
        <v>440</v>
      </c>
      <c r="F129" s="585">
        <v>45.847999999999999</v>
      </c>
      <c r="G129" s="370">
        <v>-3.3E-3</v>
      </c>
      <c r="H129" s="361">
        <v>46</v>
      </c>
      <c r="I129" s="362">
        <v>46</v>
      </c>
      <c r="J129" s="362">
        <v>44.951000000000001</v>
      </c>
      <c r="K129" s="371">
        <v>46</v>
      </c>
      <c r="L129" s="356">
        <v>148150</v>
      </c>
      <c r="M129" s="364">
        <v>325222</v>
      </c>
      <c r="N129" s="356">
        <v>272</v>
      </c>
      <c r="O129" s="357">
        <v>45378.646238425928</v>
      </c>
      <c r="P129" s="288">
        <v>128</v>
      </c>
      <c r="Q129" s="358">
        <v>0</v>
      </c>
      <c r="R129" s="726">
        <v>0</v>
      </c>
      <c r="S129" s="745">
        <v>0</v>
      </c>
      <c r="T129" s="366">
        <v>0</v>
      </c>
      <c r="U129" s="506"/>
      <c r="V129" s="374">
        <v>0</v>
      </c>
      <c r="W129" s="415">
        <f>V128*(F128/100)</f>
        <v>0</v>
      </c>
      <c r="X129" s="742"/>
      <c r="Y129" s="516">
        <f>IFERROR(INT($Z$1/(F128/100)),"")</f>
        <v>218</v>
      </c>
      <c r="Z129" s="702">
        <f>IFERROR(IF(C129&lt;&gt;"",$Y$1/(D125/100)*(C129/100),""),"")</f>
        <v>98.869973941993095</v>
      </c>
      <c r="AA129" s="703">
        <f>IFERROR($Z$1/(D129/100)*(C125/100),"")</f>
        <v>100988.06901214911</v>
      </c>
      <c r="AB129" s="38"/>
    </row>
    <row r="130" spans="1:28" ht="12.75" customHeight="1">
      <c r="A130" s="760" t="s">
        <v>550</v>
      </c>
      <c r="B130" s="249">
        <v>2723</v>
      </c>
      <c r="C130" s="306">
        <v>44200</v>
      </c>
      <c r="D130" s="256">
        <v>44565</v>
      </c>
      <c r="E130" s="249">
        <v>6450</v>
      </c>
      <c r="F130" s="576">
        <v>44570</v>
      </c>
      <c r="G130" s="310">
        <v>1.5E-3</v>
      </c>
      <c r="H130" s="238">
        <v>45800</v>
      </c>
      <c r="I130" s="230">
        <v>45800</v>
      </c>
      <c r="J130" s="230">
        <v>43795</v>
      </c>
      <c r="K130" s="260">
        <v>44500</v>
      </c>
      <c r="L130" s="252">
        <v>24415750</v>
      </c>
      <c r="M130" s="234">
        <v>54655</v>
      </c>
      <c r="N130" s="252">
        <v>164</v>
      </c>
      <c r="O130" s="278">
        <v>45378.641782407409</v>
      </c>
      <c r="P130" s="289">
        <v>129</v>
      </c>
      <c r="Q130" s="265">
        <v>0</v>
      </c>
      <c r="R130" s="719">
        <v>0</v>
      </c>
      <c r="S130" s="744">
        <v>0</v>
      </c>
      <c r="T130" s="247">
        <v>0</v>
      </c>
      <c r="U130" s="507"/>
      <c r="V130" s="376"/>
      <c r="W130" s="414">
        <f t="shared" ref="W130" si="40">(V130*X130)</f>
        <v>0</v>
      </c>
      <c r="X130" s="743"/>
      <c r="Y130" s="685">
        <f>IF(D130&lt;&gt;0,($C131*(1-$V$1))-$D130,0)</f>
        <v>35</v>
      </c>
      <c r="Z130" s="704"/>
      <c r="AA130" s="691"/>
      <c r="AB130" s="38"/>
    </row>
    <row r="131" spans="1:28" ht="12.75" customHeight="1">
      <c r="A131" s="599" t="s">
        <v>185</v>
      </c>
      <c r="B131" s="657">
        <v>2333</v>
      </c>
      <c r="C131" s="239">
        <v>44600</v>
      </c>
      <c r="D131" s="391">
        <v>44695</v>
      </c>
      <c r="E131" s="665">
        <v>2000</v>
      </c>
      <c r="F131" s="577">
        <v>44700</v>
      </c>
      <c r="G131" s="312">
        <v>-1.1000000000000001E-2</v>
      </c>
      <c r="H131" s="237">
        <v>45990</v>
      </c>
      <c r="I131" s="228">
        <v>45990</v>
      </c>
      <c r="J131" s="228">
        <v>44400</v>
      </c>
      <c r="K131" s="258">
        <v>45200</v>
      </c>
      <c r="L131" s="235">
        <v>265058375</v>
      </c>
      <c r="M131" s="232">
        <v>590953</v>
      </c>
      <c r="N131" s="235">
        <v>584</v>
      </c>
      <c r="O131" s="279">
        <v>45378.647083333337</v>
      </c>
      <c r="P131" s="288">
        <v>130</v>
      </c>
      <c r="Q131" s="263">
        <v>0</v>
      </c>
      <c r="R131" s="718">
        <v>0</v>
      </c>
      <c r="S131" s="746">
        <v>0</v>
      </c>
      <c r="T131" s="246">
        <v>0</v>
      </c>
      <c r="U131" s="506"/>
      <c r="V131" s="375">
        <v>0</v>
      </c>
      <c r="W131" s="409">
        <f>V130*(F130/100)</f>
        <v>0</v>
      </c>
      <c r="X131" s="737"/>
      <c r="Y131" s="514">
        <f>IFERROR(INT($Y$1/(F130/100)),"")</f>
        <v>227</v>
      </c>
      <c r="Z131" s="692"/>
      <c r="AA131" s="693"/>
      <c r="AB131" s="38"/>
    </row>
    <row r="132" spans="1:28" ht="12.75" hidden="1" customHeight="1">
      <c r="A132" s="598" t="s">
        <v>551</v>
      </c>
      <c r="B132" s="249"/>
      <c r="C132" s="306"/>
      <c r="D132" s="256"/>
      <c r="E132" s="249"/>
      <c r="F132" s="586"/>
      <c r="G132" s="313"/>
      <c r="H132" s="240"/>
      <c r="I132" s="229"/>
      <c r="J132" s="229"/>
      <c r="K132" s="261">
        <v>23.22</v>
      </c>
      <c r="L132" s="248"/>
      <c r="M132" s="233"/>
      <c r="N132" s="248"/>
      <c r="O132" s="280"/>
      <c r="P132" s="289">
        <v>131</v>
      </c>
      <c r="Q132" s="264">
        <v>0</v>
      </c>
      <c r="R132" s="729">
        <v>0</v>
      </c>
      <c r="S132" s="747">
        <v>0</v>
      </c>
      <c r="T132" s="245">
        <v>0</v>
      </c>
      <c r="U132" s="507"/>
      <c r="V132" s="303"/>
      <c r="W132" s="410">
        <f t="shared" ref="W132" si="41">(V132*X132)</f>
        <v>0</v>
      </c>
      <c r="X132" s="743"/>
      <c r="Y132" s="694">
        <f>IF(D132&lt;&gt;0,($C133*(1-$V$1))-$D132,0)</f>
        <v>0</v>
      </c>
      <c r="Z132" s="695" t="str">
        <f>IFERROR(IF(C132&lt;&gt;"",$Y$1/(D130/100)*(C132/100),""),"")</f>
        <v/>
      </c>
      <c r="AA132" s="696" t="str">
        <f>IFERROR($AA$1/(D132/100)*(C130/100),"")</f>
        <v/>
      </c>
      <c r="AB132" s="38"/>
    </row>
    <row r="133" spans="1:28" ht="12.75" hidden="1" customHeight="1">
      <c r="A133" s="599" t="s">
        <v>242</v>
      </c>
      <c r="B133" s="657"/>
      <c r="C133" s="239"/>
      <c r="D133" s="391"/>
      <c r="E133" s="665"/>
      <c r="F133" s="577"/>
      <c r="G133" s="312"/>
      <c r="H133" s="237"/>
      <c r="I133" s="228"/>
      <c r="J133" s="228"/>
      <c r="K133" s="258">
        <v>26</v>
      </c>
      <c r="L133" s="235"/>
      <c r="M133" s="232"/>
      <c r="N133" s="235"/>
      <c r="O133" s="279"/>
      <c r="P133" s="288">
        <v>132</v>
      </c>
      <c r="Q133" s="263">
        <v>0</v>
      </c>
      <c r="R133" s="718">
        <v>0</v>
      </c>
      <c r="S133" s="746">
        <v>0</v>
      </c>
      <c r="T133" s="246">
        <v>0</v>
      </c>
      <c r="U133" s="506"/>
      <c r="V133" s="302">
        <v>0</v>
      </c>
      <c r="W133" s="411">
        <f>V132*(F132/100)</f>
        <v>0</v>
      </c>
      <c r="X133" s="737"/>
      <c r="Y133" s="515" t="str">
        <f>IFERROR(INT($AA$1/(F132/100)),"")</f>
        <v/>
      </c>
      <c r="Z133" s="697" t="str">
        <f>IFERROR(IF(C133&lt;&gt;"",$Y$1/(D131/100)*(C133/100),""),"")</f>
        <v/>
      </c>
      <c r="AA133" s="698" t="str">
        <f>IFERROR($AA$1/(D133/100)*(C131/100),"")</f>
        <v/>
      </c>
      <c r="AB133" s="38"/>
    </row>
    <row r="134" spans="1:28" ht="12.75" customHeight="1">
      <c r="A134" s="598" t="s">
        <v>552</v>
      </c>
      <c r="B134" s="249">
        <v>14197</v>
      </c>
      <c r="C134" s="306">
        <v>44.2</v>
      </c>
      <c r="D134" s="256">
        <v>44.6</v>
      </c>
      <c r="E134" s="249">
        <v>750</v>
      </c>
      <c r="F134" s="586">
        <v>44.2</v>
      </c>
      <c r="G134" s="313">
        <v>-7.8000000000000005E-3</v>
      </c>
      <c r="H134" s="240">
        <v>43.9</v>
      </c>
      <c r="I134" s="229">
        <v>45.9</v>
      </c>
      <c r="J134" s="229">
        <v>43.25</v>
      </c>
      <c r="K134" s="261">
        <v>44.55</v>
      </c>
      <c r="L134" s="248">
        <v>43103</v>
      </c>
      <c r="M134" s="233">
        <v>97432</v>
      </c>
      <c r="N134" s="248">
        <v>51</v>
      </c>
      <c r="O134" s="280">
        <v>45378.647141203706</v>
      </c>
      <c r="P134" s="289">
        <v>133</v>
      </c>
      <c r="Q134" s="264">
        <v>0</v>
      </c>
      <c r="R134" s="729">
        <v>0</v>
      </c>
      <c r="S134" s="747">
        <v>0</v>
      </c>
      <c r="T134" s="245">
        <v>0</v>
      </c>
      <c r="U134" s="507"/>
      <c r="V134" s="373">
        <v>0</v>
      </c>
      <c r="W134" s="412">
        <f t="shared" ref="W134" si="42">(V134*X134)</f>
        <v>0</v>
      </c>
      <c r="X134" s="739"/>
      <c r="Y134" s="699">
        <f>IF(D134&lt;&gt;0,($C135*(1-$V$1))-$D134,0)</f>
        <v>-0.75</v>
      </c>
      <c r="Z134" s="700">
        <f>IFERROR(IF(C134&lt;&gt;"",$Y$1/(D130/100)*(C134/100),""),"")</f>
        <v>100.64193234532974</v>
      </c>
      <c r="AA134" s="701">
        <f>IFERROR($Z$1/(D134/100)*(C130/100),"")</f>
        <v>99103.139013452907</v>
      </c>
      <c r="AB134" s="38"/>
    </row>
    <row r="135" spans="1:28" ht="12.75" customHeight="1">
      <c r="A135" s="758" t="s">
        <v>243</v>
      </c>
      <c r="B135" s="395">
        <v>10360</v>
      </c>
      <c r="C135" s="359">
        <v>43.85</v>
      </c>
      <c r="D135" s="390">
        <v>44.279000000000003</v>
      </c>
      <c r="E135" s="660">
        <v>9673</v>
      </c>
      <c r="F135" s="585">
        <v>43.85</v>
      </c>
      <c r="G135" s="370">
        <v>2.0000000000000001E-4</v>
      </c>
      <c r="H135" s="361">
        <v>43.8</v>
      </c>
      <c r="I135" s="362">
        <v>44.99</v>
      </c>
      <c r="J135" s="362">
        <v>42.415999999999997</v>
      </c>
      <c r="K135" s="371">
        <v>43.84</v>
      </c>
      <c r="L135" s="356">
        <v>63543</v>
      </c>
      <c r="M135" s="364">
        <v>144815</v>
      </c>
      <c r="N135" s="356">
        <v>129</v>
      </c>
      <c r="O135" s="357">
        <v>45378.644479166665</v>
      </c>
      <c r="P135" s="288">
        <v>134</v>
      </c>
      <c r="Q135" s="358">
        <v>0</v>
      </c>
      <c r="R135" s="726">
        <v>0</v>
      </c>
      <c r="S135" s="745">
        <v>0</v>
      </c>
      <c r="T135" s="366">
        <v>0</v>
      </c>
      <c r="U135" s="506"/>
      <c r="V135" s="374">
        <v>0</v>
      </c>
      <c r="W135" s="415">
        <f>V134*(F134/100)</f>
        <v>0</v>
      </c>
      <c r="X135" s="742"/>
      <c r="Y135" s="516">
        <f>IFERROR(INT($Z$1/(F134/100)),"")</f>
        <v>226</v>
      </c>
      <c r="Z135" s="702">
        <f>IFERROR(IF(C135&lt;&gt;"",$Y$1/(D131/100)*(C135/100),""),"")</f>
        <v>99.554584542805102</v>
      </c>
      <c r="AA135" s="703">
        <f>IFERROR($Z$1/(D135/100)*(C131/100),"")</f>
        <v>100724.94862124258</v>
      </c>
      <c r="AB135" s="38"/>
    </row>
    <row r="136" spans="1:28" ht="12.75" customHeight="1">
      <c r="A136" s="760" t="s">
        <v>553</v>
      </c>
      <c r="B136" s="249">
        <v>95</v>
      </c>
      <c r="C136" s="306">
        <v>58400</v>
      </c>
      <c r="D136" s="256">
        <v>58690</v>
      </c>
      <c r="E136" s="249">
        <v>1000</v>
      </c>
      <c r="F136" s="576">
        <v>58450</v>
      </c>
      <c r="G136" s="310">
        <v>-2.7400000000000001E-2</v>
      </c>
      <c r="H136" s="238">
        <v>60040</v>
      </c>
      <c r="I136" s="230">
        <v>60100</v>
      </c>
      <c r="J136" s="230">
        <v>58260</v>
      </c>
      <c r="K136" s="260">
        <v>60100</v>
      </c>
      <c r="L136" s="252">
        <v>46953774</v>
      </c>
      <c r="M136" s="234">
        <v>79895</v>
      </c>
      <c r="N136" s="252">
        <v>150</v>
      </c>
      <c r="O136" s="278">
        <v>45378.645046296297</v>
      </c>
      <c r="P136" s="289">
        <v>135</v>
      </c>
      <c r="Q136" s="265">
        <v>0</v>
      </c>
      <c r="R136" s="719">
        <v>0</v>
      </c>
      <c r="S136" s="744">
        <v>0</v>
      </c>
      <c r="T136" s="247">
        <v>0</v>
      </c>
      <c r="U136" s="507"/>
      <c r="V136" s="376"/>
      <c r="W136" s="414">
        <f t="shared" ref="W136" si="43">(V136*X136)</f>
        <v>0</v>
      </c>
      <c r="X136" s="743"/>
      <c r="Y136" s="685">
        <f>IF(D136&lt;&gt;0,($C137*(1-$V$1))-$D136,0)</f>
        <v>-180</v>
      </c>
      <c r="Z136" s="704"/>
      <c r="AA136" s="691"/>
      <c r="AB136" s="38"/>
    </row>
    <row r="137" spans="1:28" ht="12.75" customHeight="1">
      <c r="A137" s="599" t="s">
        <v>187</v>
      </c>
      <c r="B137" s="657">
        <v>2000</v>
      </c>
      <c r="C137" s="239">
        <v>58510</v>
      </c>
      <c r="D137" s="391">
        <v>59400</v>
      </c>
      <c r="E137" s="665">
        <v>85</v>
      </c>
      <c r="F137" s="577">
        <v>58430</v>
      </c>
      <c r="G137" s="312">
        <v>-2.69E-2</v>
      </c>
      <c r="H137" s="237">
        <v>60390</v>
      </c>
      <c r="I137" s="228">
        <v>60390</v>
      </c>
      <c r="J137" s="228">
        <v>58000</v>
      </c>
      <c r="K137" s="258">
        <v>60050</v>
      </c>
      <c r="L137" s="235">
        <v>269279026</v>
      </c>
      <c r="M137" s="232">
        <v>453931</v>
      </c>
      <c r="N137" s="235">
        <v>231</v>
      </c>
      <c r="O137" s="279">
        <v>45378.644386574073</v>
      </c>
      <c r="P137" s="288">
        <v>136</v>
      </c>
      <c r="Q137" s="263">
        <v>0</v>
      </c>
      <c r="R137" s="718">
        <v>0</v>
      </c>
      <c r="S137" s="746">
        <v>0</v>
      </c>
      <c r="T137" s="246">
        <v>0</v>
      </c>
      <c r="U137" s="506"/>
      <c r="V137" s="375">
        <v>0</v>
      </c>
      <c r="W137" s="409">
        <f>V136*(F136/100)</f>
        <v>0</v>
      </c>
      <c r="X137" s="737"/>
      <c r="Y137" s="514">
        <f>IFERROR(INT($Y$1/(F136/100)),"")</f>
        <v>173</v>
      </c>
      <c r="Z137" s="692"/>
      <c r="AA137" s="693"/>
      <c r="AB137" s="38"/>
    </row>
    <row r="138" spans="1:28" ht="12.75" hidden="1" customHeight="1">
      <c r="A138" s="598" t="s">
        <v>554</v>
      </c>
      <c r="B138" s="249"/>
      <c r="C138" s="306"/>
      <c r="D138" s="256"/>
      <c r="E138" s="249"/>
      <c r="F138" s="586"/>
      <c r="G138" s="313"/>
      <c r="H138" s="240"/>
      <c r="I138" s="229"/>
      <c r="J138" s="229"/>
      <c r="K138" s="261">
        <v>52</v>
      </c>
      <c r="L138" s="248"/>
      <c r="M138" s="233"/>
      <c r="N138" s="248"/>
      <c r="O138" s="280"/>
      <c r="P138" s="289">
        <v>137</v>
      </c>
      <c r="Q138" s="264">
        <v>0</v>
      </c>
      <c r="R138" s="729">
        <v>0</v>
      </c>
      <c r="S138" s="747">
        <v>0</v>
      </c>
      <c r="T138" s="245">
        <v>0</v>
      </c>
      <c r="U138" s="507"/>
      <c r="V138" s="303"/>
      <c r="W138" s="410">
        <f t="shared" ref="W138" si="44">(V138*X138)</f>
        <v>0</v>
      </c>
      <c r="X138" s="743"/>
      <c r="Y138" s="694">
        <f>IF(D138&lt;&gt;0,($C139*(1-$V$1))-$D138,0)</f>
        <v>0</v>
      </c>
      <c r="Z138" s="695" t="str">
        <f>IFERROR(IF(C138&lt;&gt;"",$Y$1/(D136/100)*(C138/100),""),"")</f>
        <v/>
      </c>
      <c r="AA138" s="696" t="str">
        <f>IFERROR($Z$1/(D138/100)*(C136/100),"")</f>
        <v/>
      </c>
      <c r="AB138" s="38"/>
    </row>
    <row r="139" spans="1:28" ht="12.75" hidden="1" customHeight="1">
      <c r="A139" s="599" t="s">
        <v>232</v>
      </c>
      <c r="B139" s="657"/>
      <c r="C139" s="239"/>
      <c r="D139" s="391"/>
      <c r="E139" s="665"/>
      <c r="F139" s="577"/>
      <c r="G139" s="312"/>
      <c r="H139" s="237"/>
      <c r="I139" s="228"/>
      <c r="J139" s="228"/>
      <c r="K139" s="258">
        <v>40</v>
      </c>
      <c r="L139" s="235"/>
      <c r="M139" s="232"/>
      <c r="N139" s="235"/>
      <c r="O139" s="279"/>
      <c r="P139" s="288">
        <v>138</v>
      </c>
      <c r="Q139" s="263">
        <v>0</v>
      </c>
      <c r="R139" s="718">
        <v>0</v>
      </c>
      <c r="S139" s="746">
        <v>0</v>
      </c>
      <c r="T139" s="246">
        <v>0</v>
      </c>
      <c r="U139" s="506"/>
      <c r="V139" s="302">
        <v>0</v>
      </c>
      <c r="W139" s="411">
        <f>V138*(F138/100)</f>
        <v>0</v>
      </c>
      <c r="X139" s="737"/>
      <c r="Y139" s="515" t="str">
        <f>IFERROR(INT($AA$1/(F138/100)),"")</f>
        <v/>
      </c>
      <c r="Z139" s="697" t="str">
        <f>IFERROR(IF(C139&lt;&gt;"",$Y$1/(D137/100)*(C139/100),""),"")</f>
        <v/>
      </c>
      <c r="AA139" s="698" t="str">
        <f>IFERROR($Z$1/(D139/100)*(C137/100),"")</f>
        <v/>
      </c>
      <c r="AB139" s="38"/>
    </row>
    <row r="140" spans="1:28" ht="12.75" customHeight="1">
      <c r="A140" s="598" t="s">
        <v>555</v>
      </c>
      <c r="B140" s="249">
        <v>857</v>
      </c>
      <c r="C140" s="306">
        <v>58.3</v>
      </c>
      <c r="D140" s="256">
        <v>58.99</v>
      </c>
      <c r="E140" s="249">
        <v>664</v>
      </c>
      <c r="F140" s="586">
        <v>58.31</v>
      </c>
      <c r="G140" s="313">
        <v>-2.81E-2</v>
      </c>
      <c r="H140" s="240">
        <v>58.01</v>
      </c>
      <c r="I140" s="229">
        <v>59</v>
      </c>
      <c r="J140" s="229">
        <v>58</v>
      </c>
      <c r="K140" s="261">
        <v>60</v>
      </c>
      <c r="L140" s="248">
        <v>24262</v>
      </c>
      <c r="M140" s="233">
        <v>41346</v>
      </c>
      <c r="N140" s="248">
        <v>22</v>
      </c>
      <c r="O140" s="280">
        <v>45378.636817129627</v>
      </c>
      <c r="P140" s="289">
        <v>139</v>
      </c>
      <c r="Q140" s="264">
        <v>0</v>
      </c>
      <c r="R140" s="729">
        <v>0</v>
      </c>
      <c r="S140" s="747">
        <v>0</v>
      </c>
      <c r="T140" s="245">
        <v>0</v>
      </c>
      <c r="U140" s="507"/>
      <c r="V140" s="373">
        <v>0</v>
      </c>
      <c r="W140" s="412">
        <f t="shared" ref="W140" si="45">(V140*X140)</f>
        <v>0</v>
      </c>
      <c r="X140" s="739"/>
      <c r="Y140" s="699">
        <f>IF(D140&lt;&gt;0,($C141*(1-$V$1))-$D140,0)</f>
        <v>-0.74000000000000199</v>
      </c>
      <c r="Z140" s="700">
        <f>IFERROR(IF(C140&lt;&gt;"",$Y$1/(D136/100)*(C140/100),""),"")</f>
        <v>100.79872841455057</v>
      </c>
      <c r="AA140" s="701">
        <f>IFERROR($Z$1/(D140/100)*(C136/100),"")</f>
        <v>98999.830479742333</v>
      </c>
      <c r="AB140" s="38"/>
    </row>
    <row r="141" spans="1:28" ht="12.75" customHeight="1">
      <c r="A141" s="758" t="s">
        <v>233</v>
      </c>
      <c r="B141" s="395">
        <v>9390</v>
      </c>
      <c r="C141" s="359">
        <v>58.25</v>
      </c>
      <c r="D141" s="390">
        <v>58.99</v>
      </c>
      <c r="E141" s="660">
        <v>8788</v>
      </c>
      <c r="F141" s="585">
        <v>58.99</v>
      </c>
      <c r="G141" s="370">
        <v>1.5E-3</v>
      </c>
      <c r="H141" s="361">
        <v>59</v>
      </c>
      <c r="I141" s="362">
        <v>59</v>
      </c>
      <c r="J141" s="362">
        <v>58</v>
      </c>
      <c r="K141" s="371">
        <v>58.9</v>
      </c>
      <c r="L141" s="356">
        <v>20580</v>
      </c>
      <c r="M141" s="364">
        <v>35210</v>
      </c>
      <c r="N141" s="356">
        <v>26</v>
      </c>
      <c r="O141" s="357">
        <v>45378.645902777775</v>
      </c>
      <c r="P141" s="288">
        <v>140</v>
      </c>
      <c r="Q141" s="358">
        <v>0</v>
      </c>
      <c r="R141" s="726">
        <v>0</v>
      </c>
      <c r="S141" s="745">
        <v>0</v>
      </c>
      <c r="T141" s="366">
        <v>0</v>
      </c>
      <c r="U141" s="506"/>
      <c r="V141" s="374">
        <v>0</v>
      </c>
      <c r="W141" s="415">
        <f>V140*(F140/100)</f>
        <v>0</v>
      </c>
      <c r="X141" s="742"/>
      <c r="Y141" s="516">
        <f>IFERROR(INT($Z$1/(F140/100)),"")</f>
        <v>171</v>
      </c>
      <c r="Z141" s="702">
        <f>IFERROR(IF(C141&lt;&gt;"",$Y$1/(D137/100)*(C141/100),""),"")</f>
        <v>99.508480124388811</v>
      </c>
      <c r="AA141" s="703">
        <f>IFERROR($Z$1/(D141/100)*(C137/100),"")</f>
        <v>99186.302763180211</v>
      </c>
      <c r="AB141" s="38"/>
    </row>
    <row r="142" spans="1:28" ht="12.75" customHeight="1">
      <c r="A142" s="760" t="s">
        <v>556</v>
      </c>
      <c r="B142" s="249">
        <v>48</v>
      </c>
      <c r="C142" s="306">
        <v>45900</v>
      </c>
      <c r="D142" s="256">
        <v>45940</v>
      </c>
      <c r="E142" s="249">
        <v>4350</v>
      </c>
      <c r="F142" s="576">
        <v>45950</v>
      </c>
      <c r="G142" s="310">
        <v>-9.7999999999999997E-3</v>
      </c>
      <c r="H142" s="238">
        <v>48100</v>
      </c>
      <c r="I142" s="230">
        <v>48450</v>
      </c>
      <c r="J142" s="230">
        <v>44760</v>
      </c>
      <c r="K142" s="260">
        <v>46405</v>
      </c>
      <c r="L142" s="252">
        <v>1140195355</v>
      </c>
      <c r="M142" s="234">
        <v>2464584</v>
      </c>
      <c r="N142" s="252">
        <v>1709</v>
      </c>
      <c r="O142" s="278">
        <v>45378.646655092591</v>
      </c>
      <c r="P142" s="289">
        <v>141</v>
      </c>
      <c r="Q142" s="265">
        <v>0</v>
      </c>
      <c r="R142" s="719">
        <v>0</v>
      </c>
      <c r="S142" s="744">
        <v>0</v>
      </c>
      <c r="T142" s="247">
        <v>0</v>
      </c>
      <c r="U142" s="507"/>
      <c r="V142" s="376"/>
      <c r="W142" s="414">
        <f t="shared" ref="W142" si="46">(V142*X142)</f>
        <v>0</v>
      </c>
      <c r="X142" s="743"/>
      <c r="Y142" s="685">
        <f>IF(D142&lt;&gt;0,($C143*(1-$V$1))-$D142,0)</f>
        <v>610</v>
      </c>
      <c r="Z142" s="704"/>
      <c r="AA142" s="691"/>
      <c r="AB142" s="38"/>
    </row>
    <row r="143" spans="1:28" ht="12.75" customHeight="1">
      <c r="A143" s="599" t="s">
        <v>164</v>
      </c>
      <c r="B143" s="657">
        <v>42</v>
      </c>
      <c r="C143" s="239">
        <v>46550</v>
      </c>
      <c r="D143" s="391">
        <v>46560</v>
      </c>
      <c r="E143" s="665">
        <v>16164</v>
      </c>
      <c r="F143" s="577">
        <v>46560</v>
      </c>
      <c r="G143" s="312">
        <v>-1.11E-2</v>
      </c>
      <c r="H143" s="237">
        <v>47900</v>
      </c>
      <c r="I143" s="228">
        <v>48615</v>
      </c>
      <c r="J143" s="228">
        <v>45400</v>
      </c>
      <c r="K143" s="258">
        <v>47085</v>
      </c>
      <c r="L143" s="235">
        <v>7341659387</v>
      </c>
      <c r="M143" s="232">
        <v>15694437</v>
      </c>
      <c r="N143" s="235">
        <v>3131</v>
      </c>
      <c r="O143" s="279">
        <v>45378.647083333337</v>
      </c>
      <c r="P143" s="288">
        <v>142</v>
      </c>
      <c r="Q143" s="263">
        <v>0</v>
      </c>
      <c r="R143" s="718">
        <v>0</v>
      </c>
      <c r="S143" s="746">
        <v>0</v>
      </c>
      <c r="T143" s="246">
        <v>0</v>
      </c>
      <c r="U143" s="506"/>
      <c r="V143" s="375">
        <v>0</v>
      </c>
      <c r="W143" s="409">
        <f>V142*(F142/100)</f>
        <v>0</v>
      </c>
      <c r="X143" s="737"/>
      <c r="Y143" s="514">
        <f>IFERROR(INT($Y$1/(F142/100)),"")</f>
        <v>220</v>
      </c>
      <c r="Z143" s="692"/>
      <c r="AA143" s="693"/>
      <c r="AB143" s="38"/>
    </row>
    <row r="144" spans="1:28" ht="12.75" hidden="1" customHeight="1">
      <c r="A144" s="598" t="s">
        <v>557</v>
      </c>
      <c r="B144" s="249">
        <v>100</v>
      </c>
      <c r="C144" s="306">
        <v>42.8</v>
      </c>
      <c r="D144" s="256">
        <v>42.89</v>
      </c>
      <c r="E144" s="249">
        <v>94</v>
      </c>
      <c r="F144" s="586">
        <v>42.9</v>
      </c>
      <c r="G144" s="313">
        <v>-1.37E-2</v>
      </c>
      <c r="H144" s="240">
        <v>42.91</v>
      </c>
      <c r="I144" s="229">
        <v>42.91</v>
      </c>
      <c r="J144" s="229">
        <v>42.89</v>
      </c>
      <c r="K144" s="261">
        <v>43.5</v>
      </c>
      <c r="L144" s="248">
        <v>6782</v>
      </c>
      <c r="M144" s="233">
        <v>15806</v>
      </c>
      <c r="N144" s="248">
        <v>3</v>
      </c>
      <c r="O144" s="280">
        <v>45378.482256944444</v>
      </c>
      <c r="P144" s="289">
        <v>143</v>
      </c>
      <c r="Q144" s="264">
        <v>0</v>
      </c>
      <c r="R144" s="729">
        <v>0</v>
      </c>
      <c r="S144" s="747">
        <v>0</v>
      </c>
      <c r="T144" s="245">
        <v>0</v>
      </c>
      <c r="U144" s="507"/>
      <c r="V144" s="303"/>
      <c r="W144" s="410">
        <f t="shared" ref="W144" si="47">(V144*X144)</f>
        <v>0</v>
      </c>
      <c r="X144" s="743"/>
      <c r="Y144" s="694">
        <f>IF(D144&lt;&gt;0,($C145*(1-$V$1))-$D144,0)</f>
        <v>-0.39000000000000057</v>
      </c>
      <c r="Z144" s="695">
        <f>IFERROR(IF(C144&lt;&gt;"",$Y$1/(D142/100)*(C144/100),""),"")</f>
        <v>94.537341742573787</v>
      </c>
      <c r="AA144" s="696">
        <f>IFERROR($AA$1/(D144/100)*(C142/100),"")</f>
        <v>107017.95290277454</v>
      </c>
      <c r="AB144" s="38"/>
    </row>
    <row r="145" spans="1:32" ht="12.75" hidden="1" customHeight="1">
      <c r="A145" s="599" t="s">
        <v>220</v>
      </c>
      <c r="B145" s="657">
        <v>25000</v>
      </c>
      <c r="C145" s="239">
        <v>42.5</v>
      </c>
      <c r="D145" s="391">
        <v>43.45</v>
      </c>
      <c r="E145" s="665">
        <v>25000</v>
      </c>
      <c r="F145" s="577">
        <v>43</v>
      </c>
      <c r="G145" s="312">
        <v>-1.1399999999999999E-2</v>
      </c>
      <c r="H145" s="237">
        <v>43.5</v>
      </c>
      <c r="I145" s="228">
        <v>43.5</v>
      </c>
      <c r="J145" s="228">
        <v>42.9</v>
      </c>
      <c r="K145" s="258">
        <v>43.5</v>
      </c>
      <c r="L145" s="235">
        <v>49042</v>
      </c>
      <c r="M145" s="232">
        <v>114237</v>
      </c>
      <c r="N145" s="235">
        <v>50</v>
      </c>
      <c r="O145" s="279">
        <v>45378.619930555556</v>
      </c>
      <c r="P145" s="288">
        <v>144</v>
      </c>
      <c r="Q145" s="263">
        <v>0</v>
      </c>
      <c r="R145" s="718">
        <v>0</v>
      </c>
      <c r="S145" s="746">
        <v>0</v>
      </c>
      <c r="T145" s="246">
        <v>0</v>
      </c>
      <c r="U145" s="506"/>
      <c r="V145" s="302">
        <v>0</v>
      </c>
      <c r="W145" s="411">
        <f>V144*(F144/100)</f>
        <v>0</v>
      </c>
      <c r="X145" s="737"/>
      <c r="Y145" s="515">
        <f>IFERROR(INT($AA$1/(F144/100)),"")</f>
        <v>233</v>
      </c>
      <c r="Z145" s="697">
        <f>IFERROR(IF(C145&lt;&gt;"",$Y$1/(D143/100)*(C145/100),""),"")</f>
        <v>92.624647166799221</v>
      </c>
      <c r="AA145" s="698">
        <f>IFERROR($AA$1/(D145/100)*(C143/100),"")</f>
        <v>107134.63751438433</v>
      </c>
      <c r="AB145" s="38"/>
    </row>
    <row r="146" spans="1:32" ht="12.75" customHeight="1">
      <c r="A146" s="598" t="s">
        <v>558</v>
      </c>
      <c r="B146" s="249">
        <v>5000</v>
      </c>
      <c r="C146" s="306">
        <v>46</v>
      </c>
      <c r="D146" s="256">
        <v>46.228000000000002</v>
      </c>
      <c r="E146" s="249">
        <v>4661</v>
      </c>
      <c r="F146" s="586">
        <v>46</v>
      </c>
      <c r="G146" s="313">
        <v>-6.1999999999999998E-3</v>
      </c>
      <c r="H146" s="240">
        <v>47</v>
      </c>
      <c r="I146" s="229">
        <v>47</v>
      </c>
      <c r="J146" s="229">
        <v>45</v>
      </c>
      <c r="K146" s="261">
        <v>46.29</v>
      </c>
      <c r="L146" s="248">
        <v>245336</v>
      </c>
      <c r="M146" s="233">
        <v>533707</v>
      </c>
      <c r="N146" s="248">
        <v>468</v>
      </c>
      <c r="O146" s="280">
        <v>45378.647210648145</v>
      </c>
      <c r="P146" s="289">
        <v>145</v>
      </c>
      <c r="Q146" s="264">
        <v>0</v>
      </c>
      <c r="R146" s="729">
        <v>0</v>
      </c>
      <c r="S146" s="747">
        <v>0</v>
      </c>
      <c r="T146" s="245">
        <v>0</v>
      </c>
      <c r="U146" s="507"/>
      <c r="V146" s="373"/>
      <c r="W146" s="412">
        <f t="shared" ref="W146" si="48">(V146*X146)</f>
        <v>0</v>
      </c>
      <c r="X146" s="739"/>
      <c r="Y146" s="699">
        <f>IF(D146&lt;&gt;0,($C147*(1-$V$1))-$D146,0)</f>
        <v>-0.32699999999999818</v>
      </c>
      <c r="Z146" s="700">
        <f>IFERROR(IF(C146&lt;&gt;"",$Y$1/(D142/100)*(C146/100),""),"")</f>
        <v>101.60555420930828</v>
      </c>
      <c r="AA146" s="701">
        <f>IFERROR($Z$1/(D146/100)*(C142/100),"")</f>
        <v>99290.473306221334</v>
      </c>
      <c r="AB146" s="38"/>
    </row>
    <row r="147" spans="1:32" ht="12.75" customHeight="1">
      <c r="A147" s="758" t="s">
        <v>221</v>
      </c>
      <c r="B147" s="395">
        <v>10000</v>
      </c>
      <c r="C147" s="359">
        <v>45.901000000000003</v>
      </c>
      <c r="D147" s="390">
        <v>46.2</v>
      </c>
      <c r="E147" s="660">
        <v>4661</v>
      </c>
      <c r="F147" s="585">
        <v>45.901000000000003</v>
      </c>
      <c r="G147" s="370">
        <v>-7.9000000000000008E-3</v>
      </c>
      <c r="H147" s="361">
        <v>46.98</v>
      </c>
      <c r="I147" s="362">
        <v>47</v>
      </c>
      <c r="J147" s="362">
        <v>43.7</v>
      </c>
      <c r="K147" s="371">
        <v>46.27</v>
      </c>
      <c r="L147" s="356">
        <v>740996</v>
      </c>
      <c r="M147" s="364">
        <v>1615759</v>
      </c>
      <c r="N147" s="356">
        <v>839</v>
      </c>
      <c r="O147" s="357">
        <v>45378.647210648145</v>
      </c>
      <c r="P147" s="288">
        <v>146</v>
      </c>
      <c r="Q147" s="358">
        <v>0</v>
      </c>
      <c r="R147" s="726">
        <v>0</v>
      </c>
      <c r="S147" s="745">
        <v>0</v>
      </c>
      <c r="T147" s="366">
        <v>0</v>
      </c>
      <c r="U147" s="506"/>
      <c r="V147" s="374">
        <v>0</v>
      </c>
      <c r="W147" s="415">
        <f>V146*(F146/100)</f>
        <v>0</v>
      </c>
      <c r="X147" s="742"/>
      <c r="Y147" s="516">
        <f>IFERROR(INT($Z$1/(F146/100)),"")</f>
        <v>217</v>
      </c>
      <c r="Z147" s="702">
        <f>IFERROR(IF(C147&lt;&gt;"",$Y$1/(D143/100)*(C147/100),""),"")</f>
        <v>100.03679834360592</v>
      </c>
      <c r="AA147" s="703">
        <f>IFERROR($Z$1/(D147/100)*(C143/100),"")</f>
        <v>100757.57575757575</v>
      </c>
      <c r="AB147" s="38"/>
    </row>
    <row r="148" spans="1:32" ht="12.75" customHeight="1">
      <c r="A148" s="760" t="s">
        <v>562</v>
      </c>
      <c r="B148" s="249">
        <v>1851</v>
      </c>
      <c r="C148" s="306">
        <v>51200</v>
      </c>
      <c r="D148" s="256">
        <v>51560</v>
      </c>
      <c r="E148" s="249">
        <v>4059</v>
      </c>
      <c r="F148" s="576">
        <v>51200</v>
      </c>
      <c r="G148" s="310">
        <v>-2.8399999999999998E-2</v>
      </c>
      <c r="H148" s="238">
        <v>53500</v>
      </c>
      <c r="I148" s="230">
        <v>54210</v>
      </c>
      <c r="J148" s="230">
        <v>50670</v>
      </c>
      <c r="K148" s="260">
        <v>52700</v>
      </c>
      <c r="L148" s="252">
        <v>108601272</v>
      </c>
      <c r="M148" s="234">
        <v>208775</v>
      </c>
      <c r="N148" s="252">
        <v>258</v>
      </c>
      <c r="O148" s="278">
        <v>45378.645416666666</v>
      </c>
      <c r="P148" s="289">
        <v>147</v>
      </c>
      <c r="Q148" s="265">
        <v>0</v>
      </c>
      <c r="R148" s="719">
        <v>0</v>
      </c>
      <c r="S148" s="744">
        <v>0</v>
      </c>
      <c r="T148" s="247">
        <v>0</v>
      </c>
      <c r="U148" s="507"/>
      <c r="V148" s="376">
        <v>0</v>
      </c>
      <c r="W148" s="414">
        <f t="shared" ref="W148" si="49">(V148*X148)</f>
        <v>0</v>
      </c>
      <c r="X148" s="743"/>
      <c r="Y148" s="685">
        <f>IF(D148&lt;&gt;0,($C149*(1-$V$1))-$D148,0)</f>
        <v>330</v>
      </c>
      <c r="Z148" s="704"/>
      <c r="AA148" s="691"/>
      <c r="AB148" s="38"/>
    </row>
    <row r="149" spans="1:32" ht="12.75" customHeight="1">
      <c r="A149" s="599" t="s">
        <v>190</v>
      </c>
      <c r="B149" s="657">
        <v>884</v>
      </c>
      <c r="C149" s="239">
        <v>51890</v>
      </c>
      <c r="D149" s="391">
        <v>52320</v>
      </c>
      <c r="E149" s="665">
        <v>4059</v>
      </c>
      <c r="F149" s="577">
        <v>52320</v>
      </c>
      <c r="G149" s="312">
        <v>-2.0199999999999999E-2</v>
      </c>
      <c r="H149" s="237">
        <v>54200</v>
      </c>
      <c r="I149" s="228">
        <v>54990</v>
      </c>
      <c r="J149" s="228">
        <v>51500</v>
      </c>
      <c r="K149" s="258">
        <v>53400</v>
      </c>
      <c r="L149" s="235">
        <v>409703688</v>
      </c>
      <c r="M149" s="232">
        <v>780320</v>
      </c>
      <c r="N149" s="235">
        <v>526</v>
      </c>
      <c r="O149" s="279">
        <v>45378.647094907406</v>
      </c>
      <c r="P149" s="288">
        <v>148</v>
      </c>
      <c r="Q149" s="263">
        <v>0</v>
      </c>
      <c r="R149" s="718">
        <v>0</v>
      </c>
      <c r="S149" s="746">
        <v>0</v>
      </c>
      <c r="T149" s="246">
        <v>0</v>
      </c>
      <c r="U149" s="506"/>
      <c r="V149" s="375">
        <v>0</v>
      </c>
      <c r="W149" s="409">
        <f>V148*(F148/100)</f>
        <v>0</v>
      </c>
      <c r="X149" s="737"/>
      <c r="Y149" s="514">
        <f>IFERROR(INT($Y$1/(F148/100)),"")</f>
        <v>198</v>
      </c>
      <c r="Z149" s="692"/>
      <c r="AA149" s="693"/>
      <c r="AB149" s="38"/>
    </row>
    <row r="150" spans="1:32" ht="12.75" hidden="1" customHeight="1">
      <c r="A150" s="598" t="s">
        <v>563</v>
      </c>
      <c r="B150" s="249"/>
      <c r="C150" s="306"/>
      <c r="D150" s="256"/>
      <c r="E150" s="249"/>
      <c r="F150" s="586"/>
      <c r="G150" s="313"/>
      <c r="H150" s="240"/>
      <c r="I150" s="229"/>
      <c r="J150" s="229"/>
      <c r="K150" s="261">
        <v>42</v>
      </c>
      <c r="L150" s="248"/>
      <c r="M150" s="233"/>
      <c r="N150" s="248"/>
      <c r="O150" s="280"/>
      <c r="P150" s="289">
        <v>149</v>
      </c>
      <c r="Q150" s="264">
        <v>0</v>
      </c>
      <c r="R150" s="729">
        <v>0</v>
      </c>
      <c r="S150" s="747">
        <v>0</v>
      </c>
      <c r="T150" s="245">
        <v>0</v>
      </c>
      <c r="U150" s="507"/>
      <c r="V150" s="303"/>
      <c r="W150" s="410">
        <f t="shared" ref="W150" si="50">(V150*X150)</f>
        <v>0</v>
      </c>
      <c r="X150" s="743"/>
      <c r="Y150" s="694">
        <f>IF(D150&lt;&gt;0,($C151*(1-$V$1))-$D150,0)</f>
        <v>0</v>
      </c>
      <c r="Z150" s="695" t="str">
        <f>IFERROR(IF(C150&lt;&gt;"",$Y$1/(D148/100)*(C150/100),""),"")</f>
        <v/>
      </c>
      <c r="AA150" s="696" t="str">
        <f>IFERROR($AA$1/(D150/100)*(C148/100),"")</f>
        <v/>
      </c>
      <c r="AB150" s="38"/>
    </row>
    <row r="151" spans="1:32" ht="12.75" hidden="1" customHeight="1">
      <c r="A151" s="599" t="s">
        <v>234</v>
      </c>
      <c r="B151" s="657"/>
      <c r="C151" s="239"/>
      <c r="D151" s="391"/>
      <c r="E151" s="665"/>
      <c r="F151" s="577"/>
      <c r="G151" s="312"/>
      <c r="H151" s="237"/>
      <c r="I151" s="228"/>
      <c r="J151" s="228"/>
      <c r="K151" s="258">
        <v>40.375</v>
      </c>
      <c r="L151" s="235"/>
      <c r="M151" s="232"/>
      <c r="N151" s="235"/>
      <c r="O151" s="279"/>
      <c r="P151" s="288">
        <v>150</v>
      </c>
      <c r="Q151" s="263">
        <v>0</v>
      </c>
      <c r="R151" s="718">
        <v>0</v>
      </c>
      <c r="S151" s="746">
        <v>0</v>
      </c>
      <c r="T151" s="246">
        <v>0</v>
      </c>
      <c r="U151" s="506"/>
      <c r="V151" s="302">
        <v>0</v>
      </c>
      <c r="W151" s="411">
        <f>V150*(F150/100)</f>
        <v>0</v>
      </c>
      <c r="X151" s="737"/>
      <c r="Y151" s="515" t="str">
        <f>IFERROR(INT($AA$1/(F150/100)),"")</f>
        <v/>
      </c>
      <c r="Z151" s="697" t="str">
        <f>IFERROR(IF(C151&lt;&gt;"",$Y$1/(D149/100)*(C151/100),""),"")</f>
        <v/>
      </c>
      <c r="AA151" s="698" t="str">
        <f>IFERROR($AA$1/(D151/100)*(C149/100),"")</f>
        <v/>
      </c>
      <c r="AB151" s="38"/>
    </row>
    <row r="152" spans="1:32" ht="12.75" customHeight="1">
      <c r="A152" s="598" t="s">
        <v>564</v>
      </c>
      <c r="B152" s="249">
        <v>2000</v>
      </c>
      <c r="C152" s="306">
        <v>51.41</v>
      </c>
      <c r="D152" s="256">
        <v>52</v>
      </c>
      <c r="E152" s="249">
        <v>21057</v>
      </c>
      <c r="F152" s="586">
        <v>52</v>
      </c>
      <c r="G152" s="313">
        <v>-1.5300000000000001E-2</v>
      </c>
      <c r="H152" s="240">
        <v>51.99</v>
      </c>
      <c r="I152" s="229">
        <v>53.09</v>
      </c>
      <c r="J152" s="229">
        <v>50.8</v>
      </c>
      <c r="K152" s="261">
        <v>52</v>
      </c>
      <c r="L152" s="248">
        <v>32679</v>
      </c>
      <c r="M152" s="233">
        <v>62874</v>
      </c>
      <c r="N152" s="248">
        <v>64</v>
      </c>
      <c r="O152" s="280">
        <v>45378.640590277777</v>
      </c>
      <c r="P152" s="289">
        <v>151</v>
      </c>
      <c r="Q152" s="264">
        <v>0</v>
      </c>
      <c r="R152" s="729">
        <v>0</v>
      </c>
      <c r="S152" s="747">
        <v>0</v>
      </c>
      <c r="T152" s="245">
        <v>0</v>
      </c>
      <c r="U152" s="507"/>
      <c r="V152" s="373">
        <v>0</v>
      </c>
      <c r="W152" s="412">
        <f t="shared" ref="W152" si="51">(V152*X152)</f>
        <v>0</v>
      </c>
      <c r="X152" s="739"/>
      <c r="Y152" s="699">
        <f>IF(D152&lt;&gt;0,($C153*(1-$V$1))-$D152,0)</f>
        <v>-0.54999999999999716</v>
      </c>
      <c r="Z152" s="700">
        <f>IFERROR(IF(C152&lt;&gt;"",$Y$1/(D148/100)*(C152/100),""),"")</f>
        <v>101.17781665721267</v>
      </c>
      <c r="AA152" s="701">
        <f>IFERROR($Z$1/(D152/100)*(C148/100),"")</f>
        <v>98461.538461538454</v>
      </c>
      <c r="AB152" s="38"/>
    </row>
    <row r="153" spans="1:32" ht="12.75" customHeight="1">
      <c r="A153" s="758" t="s">
        <v>235</v>
      </c>
      <c r="B153" s="395">
        <v>2000</v>
      </c>
      <c r="C153" s="359">
        <v>51.45</v>
      </c>
      <c r="D153" s="390">
        <v>52.04</v>
      </c>
      <c r="E153" s="660">
        <v>20215</v>
      </c>
      <c r="F153" s="585">
        <v>52.04</v>
      </c>
      <c r="G153" s="370">
        <v>8.9999999999999998E-4</v>
      </c>
      <c r="H153" s="361">
        <v>52</v>
      </c>
      <c r="I153" s="362">
        <v>52.99</v>
      </c>
      <c r="J153" s="362">
        <v>51.1</v>
      </c>
      <c r="K153" s="371">
        <v>51.99</v>
      </c>
      <c r="L153" s="356">
        <v>64700</v>
      </c>
      <c r="M153" s="364">
        <v>124375</v>
      </c>
      <c r="N153" s="356">
        <v>116</v>
      </c>
      <c r="O153" s="357">
        <v>45378.640590277777</v>
      </c>
      <c r="P153" s="288">
        <v>152</v>
      </c>
      <c r="Q153" s="358">
        <v>0</v>
      </c>
      <c r="R153" s="726">
        <v>0</v>
      </c>
      <c r="S153" s="745">
        <v>0</v>
      </c>
      <c r="T153" s="366">
        <v>0</v>
      </c>
      <c r="U153" s="506"/>
      <c r="V153" s="374">
        <v>0</v>
      </c>
      <c r="W153" s="415">
        <f>V152*(F152/100)</f>
        <v>0</v>
      </c>
      <c r="X153" s="742"/>
      <c r="Y153" s="516">
        <f>IFERROR(INT($Z$1/(F152/100)),"")</f>
        <v>192</v>
      </c>
      <c r="Z153" s="702">
        <f>IFERROR(IF(C153&lt;&gt;"",$Y$1/(D149/100)*(C153/100),""),"")</f>
        <v>99.785687076737531</v>
      </c>
      <c r="AA153" s="703">
        <f>IFERROR($Z$1/(D153/100)*(C149/100),"")</f>
        <v>99711.760184473489</v>
      </c>
      <c r="AB153" s="38"/>
    </row>
    <row r="154" spans="1:32" ht="12.75" customHeight="1">
      <c r="A154" s="760" t="s">
        <v>559</v>
      </c>
      <c r="B154" s="249">
        <v>109</v>
      </c>
      <c r="C154" s="306">
        <v>44475</v>
      </c>
      <c r="D154" s="256">
        <v>44630</v>
      </c>
      <c r="E154" s="249">
        <v>49472</v>
      </c>
      <c r="F154" s="576">
        <v>44630</v>
      </c>
      <c r="G154" s="310">
        <v>7.000000000000001E-4</v>
      </c>
      <c r="H154" s="238">
        <v>45500</v>
      </c>
      <c r="I154" s="230">
        <v>46000</v>
      </c>
      <c r="J154" s="230">
        <v>44440</v>
      </c>
      <c r="K154" s="260">
        <v>44595</v>
      </c>
      <c r="L154" s="252">
        <v>185608484</v>
      </c>
      <c r="M154" s="234">
        <v>414404</v>
      </c>
      <c r="N154" s="252">
        <v>173</v>
      </c>
      <c r="O154" s="278">
        <v>45378.646990740737</v>
      </c>
      <c r="P154" s="289">
        <v>153</v>
      </c>
      <c r="Q154" s="265"/>
      <c r="R154" s="719">
        <v>0</v>
      </c>
      <c r="S154" s="744">
        <v>0</v>
      </c>
      <c r="T154" s="247">
        <v>0</v>
      </c>
      <c r="U154" s="507"/>
      <c r="V154" s="376">
        <v>0</v>
      </c>
      <c r="W154" s="414">
        <f t="shared" ref="W154" si="52">(V154*X154)</f>
        <v>0</v>
      </c>
      <c r="X154" s="743"/>
      <c r="Y154" s="685">
        <f>IF(D154&lt;&gt;0,($C155*(1-$V$1))-$D154,0)</f>
        <v>575</v>
      </c>
      <c r="Z154" s="704"/>
      <c r="AA154" s="691"/>
      <c r="AB154" s="38"/>
      <c r="AC154" s="372">
        <v>28</v>
      </c>
      <c r="AE154" s="47">
        <v>440</v>
      </c>
      <c r="AF154" s="47">
        <f>AC154*AE154</f>
        <v>12320</v>
      </c>
    </row>
    <row r="155" spans="1:32" ht="12.75" customHeight="1">
      <c r="A155" s="599" t="s">
        <v>188</v>
      </c>
      <c r="B155" s="657">
        <v>1500</v>
      </c>
      <c r="C155" s="239">
        <v>45205</v>
      </c>
      <c r="D155" s="391">
        <v>45295</v>
      </c>
      <c r="E155" s="665">
        <v>500</v>
      </c>
      <c r="F155" s="577">
        <v>45205</v>
      </c>
      <c r="G155" s="312">
        <v>-2.0400000000000001E-2</v>
      </c>
      <c r="H155" s="237">
        <v>47050</v>
      </c>
      <c r="I155" s="228">
        <v>47050</v>
      </c>
      <c r="J155" s="228">
        <v>45020</v>
      </c>
      <c r="K155" s="258">
        <v>46150</v>
      </c>
      <c r="L155" s="235">
        <v>1170131149</v>
      </c>
      <c r="M155" s="232">
        <v>2581843</v>
      </c>
      <c r="N155" s="235">
        <v>332</v>
      </c>
      <c r="O155" s="279">
        <v>45378.646990740737</v>
      </c>
      <c r="P155" s="288">
        <v>154</v>
      </c>
      <c r="Q155" s="263"/>
      <c r="R155" s="718">
        <v>0</v>
      </c>
      <c r="S155" s="746">
        <v>0</v>
      </c>
      <c r="T155" s="246">
        <v>0</v>
      </c>
      <c r="U155" s="506"/>
      <c r="V155" s="375">
        <v>0</v>
      </c>
      <c r="W155" s="409">
        <f>V154*(F154/100)</f>
        <v>0</v>
      </c>
      <c r="X155" s="737"/>
      <c r="Y155" s="514">
        <f>IFERROR(INT($Y$1/(F154/100)),"")</f>
        <v>227</v>
      </c>
      <c r="Z155" s="692"/>
      <c r="AA155" s="693"/>
      <c r="AB155" s="38"/>
      <c r="AC155" s="372"/>
      <c r="AF155" s="47">
        <f t="shared" ref="AF155:AF157" si="53">AC155*AE155</f>
        <v>0</v>
      </c>
    </row>
    <row r="156" spans="1:32" ht="12.75" hidden="1" customHeight="1">
      <c r="A156" s="598" t="s">
        <v>560</v>
      </c>
      <c r="B156" s="249"/>
      <c r="C156" s="306"/>
      <c r="D156" s="256"/>
      <c r="E156" s="249"/>
      <c r="F156" s="586"/>
      <c r="G156" s="313"/>
      <c r="H156" s="240"/>
      <c r="I156" s="229"/>
      <c r="J156" s="229"/>
      <c r="K156" s="261">
        <v>36</v>
      </c>
      <c r="L156" s="248"/>
      <c r="M156" s="233"/>
      <c r="N156" s="248"/>
      <c r="O156" s="280"/>
      <c r="P156" s="289">
        <v>155</v>
      </c>
      <c r="Q156" s="264"/>
      <c r="R156" s="729">
        <v>0</v>
      </c>
      <c r="S156" s="747">
        <v>0</v>
      </c>
      <c r="T156" s="245">
        <v>0</v>
      </c>
      <c r="U156" s="507"/>
      <c r="V156" s="303"/>
      <c r="W156" s="410">
        <f t="shared" ref="W156" si="54">(V156*X156)</f>
        <v>0</v>
      </c>
      <c r="X156" s="743"/>
      <c r="Y156" s="694">
        <f>IF(D156&lt;&gt;0,($C157*(1-$V$1))-$D156,0)</f>
        <v>0</v>
      </c>
      <c r="Z156" s="695" t="str">
        <f>IFERROR(IF(C156&lt;&gt;"",$Y$1/(D154/100)*(C156/100),""),"")</f>
        <v/>
      </c>
      <c r="AA156" s="696" t="str">
        <f>IFERROR($AA$1/(D156/100)*(C154/100),"")</f>
        <v/>
      </c>
      <c r="AB156" s="38"/>
      <c r="AC156" s="372"/>
      <c r="AF156" s="47">
        <f t="shared" si="53"/>
        <v>0</v>
      </c>
    </row>
    <row r="157" spans="1:32" ht="12.75" hidden="1" customHeight="1">
      <c r="A157" s="599" t="s">
        <v>236</v>
      </c>
      <c r="B157" s="657"/>
      <c r="C157" s="239"/>
      <c r="D157" s="391"/>
      <c r="E157" s="665"/>
      <c r="F157" s="577"/>
      <c r="G157" s="312"/>
      <c r="H157" s="237"/>
      <c r="I157" s="228"/>
      <c r="J157" s="228"/>
      <c r="K157" s="258">
        <v>27.25</v>
      </c>
      <c r="L157" s="235"/>
      <c r="M157" s="232"/>
      <c r="N157" s="235"/>
      <c r="O157" s="279"/>
      <c r="P157" s="288">
        <v>156</v>
      </c>
      <c r="Q157" s="263"/>
      <c r="R157" s="718">
        <v>0</v>
      </c>
      <c r="S157" s="746">
        <v>0</v>
      </c>
      <c r="T157" s="246">
        <v>0</v>
      </c>
      <c r="U157" s="506"/>
      <c r="V157" s="302">
        <v>0</v>
      </c>
      <c r="W157" s="411">
        <f>V156*(F156/100)</f>
        <v>0</v>
      </c>
      <c r="X157" s="737"/>
      <c r="Y157" s="515" t="str">
        <f>IFERROR(INT($AA$1/(F156/100)),"")</f>
        <v/>
      </c>
      <c r="Z157" s="697" t="str">
        <f>IFERROR(IF(C157&lt;&gt;"",$Y$1/(D155/100)*(C157/100),""),"")</f>
        <v/>
      </c>
      <c r="AA157" s="698" t="str">
        <f>IFERROR($AA$1/(D157/100)*(C155/100),"")</f>
        <v/>
      </c>
      <c r="AB157" s="38"/>
      <c r="AC157" s="378"/>
      <c r="AD157" s="378"/>
      <c r="AE157" s="378"/>
      <c r="AF157" s="378">
        <f t="shared" si="53"/>
        <v>0</v>
      </c>
    </row>
    <row r="158" spans="1:32" ht="12.75" customHeight="1">
      <c r="A158" s="598" t="s">
        <v>561</v>
      </c>
      <c r="B158" s="249">
        <v>300</v>
      </c>
      <c r="C158" s="306">
        <v>44.523000000000003</v>
      </c>
      <c r="D158" s="256">
        <v>44.918999999999997</v>
      </c>
      <c r="E158" s="249">
        <v>1029</v>
      </c>
      <c r="F158" s="586">
        <v>44.923000000000002</v>
      </c>
      <c r="G158" s="313">
        <v>9.0000000000000011E-3</v>
      </c>
      <c r="H158" s="240">
        <v>44.85</v>
      </c>
      <c r="I158" s="229">
        <v>45</v>
      </c>
      <c r="J158" s="229">
        <v>43.8</v>
      </c>
      <c r="K158" s="261">
        <v>44.518000000000001</v>
      </c>
      <c r="L158" s="248">
        <v>13736</v>
      </c>
      <c r="M158" s="233">
        <v>30758</v>
      </c>
      <c r="N158" s="248">
        <v>25</v>
      </c>
      <c r="O158" s="280">
        <v>45378.632615740738</v>
      </c>
      <c r="P158" s="289">
        <v>157</v>
      </c>
      <c r="Q158" s="264"/>
      <c r="R158" s="729">
        <v>0</v>
      </c>
      <c r="S158" s="747">
        <v>0</v>
      </c>
      <c r="T158" s="245">
        <v>0</v>
      </c>
      <c r="U158" s="507"/>
      <c r="V158" s="373"/>
      <c r="W158" s="412">
        <f t="shared" ref="W158" si="55">(V158*X158)</f>
        <v>0</v>
      </c>
      <c r="X158" s="739"/>
      <c r="Y158" s="699">
        <f>IF(D158&lt;&gt;0,($C159*(1-$V$1))-$D158,0)</f>
        <v>-0.35899999999999466</v>
      </c>
      <c r="Z158" s="700">
        <f>IFERROR(IF(C158&lt;&gt;"",$Y$1/(D154/100)*(C158/100),""),"")</f>
        <v>101.22974461388021</v>
      </c>
      <c r="AA158" s="701">
        <f>IFERROR($Z$1/(D158/100)*(C154/100),"")</f>
        <v>99011.554130768724</v>
      </c>
      <c r="AB158" s="38"/>
      <c r="AC158" s="382">
        <f>SUM(AC154:AC157)</f>
        <v>28</v>
      </c>
      <c r="AD158" s="383"/>
      <c r="AE158" s="383" t="s">
        <v>588</v>
      </c>
      <c r="AF158" s="383">
        <f>SUM(AF154:AF157)</f>
        <v>12320</v>
      </c>
    </row>
    <row r="159" spans="1:32" ht="12.75" customHeight="1">
      <c r="A159" s="758" t="s">
        <v>237</v>
      </c>
      <c r="B159" s="395">
        <v>300</v>
      </c>
      <c r="C159" s="359">
        <v>44.56</v>
      </c>
      <c r="D159" s="390">
        <v>44.9</v>
      </c>
      <c r="E159" s="660">
        <v>6230</v>
      </c>
      <c r="F159" s="585">
        <v>44.9</v>
      </c>
      <c r="G159" s="370">
        <v>1.1000000000000001E-3</v>
      </c>
      <c r="H159" s="361">
        <v>45</v>
      </c>
      <c r="I159" s="362">
        <v>45</v>
      </c>
      <c r="J159" s="362">
        <v>43.911000000000001</v>
      </c>
      <c r="K159" s="371">
        <v>44.85</v>
      </c>
      <c r="L159" s="356">
        <v>54021</v>
      </c>
      <c r="M159" s="364">
        <v>120473</v>
      </c>
      <c r="N159" s="356">
        <v>49</v>
      </c>
      <c r="O159" s="357">
        <v>45378.640451388892</v>
      </c>
      <c r="P159" s="288">
        <v>158</v>
      </c>
      <c r="Q159" s="358"/>
      <c r="R159" s="726">
        <v>0</v>
      </c>
      <c r="S159" s="745">
        <v>0</v>
      </c>
      <c r="T159" s="366">
        <v>0</v>
      </c>
      <c r="U159" s="506"/>
      <c r="V159" s="374">
        <v>0</v>
      </c>
      <c r="W159" s="415">
        <f>V158*(F158/100)</f>
        <v>0</v>
      </c>
      <c r="X159" s="742"/>
      <c r="Y159" s="516">
        <f>IFERROR(INT($Z$1/(F158/100)),"")</f>
        <v>222</v>
      </c>
      <c r="Z159" s="702">
        <f>IFERROR(IF(C159&lt;&gt;"",$Y$1/(D155/100)*(C159/100),""),"")</f>
        <v>99.826426847352238</v>
      </c>
      <c r="AA159" s="703">
        <f>IFERROR($Z$1/(D159/100)*(C155/100),"")</f>
        <v>100679.28730512249</v>
      </c>
      <c r="AB159" s="38"/>
      <c r="AC159" s="763">
        <f>AF158/AC158</f>
        <v>440</v>
      </c>
      <c r="AD159" s="763"/>
      <c r="AE159" s="763"/>
      <c r="AF159" s="763"/>
    </row>
    <row r="160" spans="1:32" ht="12.75" customHeight="1">
      <c r="A160" s="760" t="s">
        <v>565</v>
      </c>
      <c r="B160" s="249">
        <v>200</v>
      </c>
      <c r="C160" s="306">
        <v>46515</v>
      </c>
      <c r="D160" s="256">
        <v>50480</v>
      </c>
      <c r="E160" s="249">
        <v>3290</v>
      </c>
      <c r="F160" s="576">
        <v>46500</v>
      </c>
      <c r="G160" s="310">
        <v>-7.0000000000000007E-2</v>
      </c>
      <c r="H160" s="238">
        <v>49990</v>
      </c>
      <c r="I160" s="230">
        <v>50040</v>
      </c>
      <c r="J160" s="230">
        <v>46500</v>
      </c>
      <c r="K160" s="260">
        <v>50000</v>
      </c>
      <c r="L160" s="252">
        <v>17968040</v>
      </c>
      <c r="M160" s="234">
        <v>36552</v>
      </c>
      <c r="N160" s="252">
        <v>90</v>
      </c>
      <c r="O160" s="278">
        <v>45378.642106481479</v>
      </c>
      <c r="P160" s="289">
        <v>159</v>
      </c>
      <c r="Q160" s="265"/>
      <c r="R160" s="719">
        <v>0</v>
      </c>
      <c r="S160" s="744">
        <v>0</v>
      </c>
      <c r="T160" s="247">
        <v>0</v>
      </c>
      <c r="U160" s="507"/>
      <c r="V160" s="376"/>
      <c r="W160" s="414">
        <f t="shared" ref="W160" si="56">(V160*X160)</f>
        <v>0</v>
      </c>
      <c r="X160" s="743"/>
      <c r="Y160" s="685">
        <f>IF(D160&lt;&gt;0,($C161*(1-$V$1))-$D160,0)</f>
        <v>-1050</v>
      </c>
      <c r="Z160" s="704"/>
      <c r="AA160" s="691"/>
      <c r="AB160" s="38"/>
    </row>
    <row r="161" spans="1:28" ht="12.75" customHeight="1">
      <c r="A161" s="599" t="s">
        <v>189</v>
      </c>
      <c r="B161" s="657">
        <v>200</v>
      </c>
      <c r="C161" s="239">
        <v>49430</v>
      </c>
      <c r="D161" s="391">
        <v>50180</v>
      </c>
      <c r="E161" s="665">
        <v>1800</v>
      </c>
      <c r="F161" s="577">
        <v>50190</v>
      </c>
      <c r="G161" s="312">
        <v>4.0000000000000001E-3</v>
      </c>
      <c r="H161" s="237">
        <v>49995</v>
      </c>
      <c r="I161" s="228">
        <v>50890</v>
      </c>
      <c r="J161" s="228">
        <v>49010</v>
      </c>
      <c r="K161" s="258">
        <v>49990</v>
      </c>
      <c r="L161" s="235">
        <v>36112999</v>
      </c>
      <c r="M161" s="232">
        <v>71977</v>
      </c>
      <c r="N161" s="235">
        <v>229</v>
      </c>
      <c r="O161" s="279">
        <v>45378.644907407404</v>
      </c>
      <c r="P161" s="288">
        <v>160</v>
      </c>
      <c r="Q161" s="263"/>
      <c r="R161" s="718">
        <v>0</v>
      </c>
      <c r="S161" s="746">
        <v>0</v>
      </c>
      <c r="T161" s="246">
        <v>0</v>
      </c>
      <c r="U161" s="506"/>
      <c r="V161" s="375">
        <v>0</v>
      </c>
      <c r="W161" s="409">
        <f>V160*(F160/100)</f>
        <v>0</v>
      </c>
      <c r="X161" s="737"/>
      <c r="Y161" s="514">
        <f>IFERROR(INT($Y$1/(F160/100)),"")</f>
        <v>218</v>
      </c>
      <c r="Z161" s="692"/>
      <c r="AA161" s="693"/>
      <c r="AB161" s="38"/>
    </row>
    <row r="162" spans="1:28" ht="12.75" hidden="1" customHeight="1">
      <c r="A162" s="598" t="s">
        <v>566</v>
      </c>
      <c r="B162" s="249"/>
      <c r="C162" s="306"/>
      <c r="D162" s="256"/>
      <c r="E162" s="249"/>
      <c r="F162" s="586"/>
      <c r="G162" s="313"/>
      <c r="H162" s="240"/>
      <c r="I162" s="229"/>
      <c r="J162" s="229"/>
      <c r="K162" s="261">
        <v>21.007999999999999</v>
      </c>
      <c r="L162" s="248"/>
      <c r="M162" s="233"/>
      <c r="N162" s="248"/>
      <c r="O162" s="280"/>
      <c r="P162" s="289">
        <v>161</v>
      </c>
      <c r="Q162" s="264"/>
      <c r="R162" s="729">
        <v>0</v>
      </c>
      <c r="S162" s="747">
        <v>0</v>
      </c>
      <c r="T162" s="245">
        <v>0</v>
      </c>
      <c r="U162" s="507"/>
      <c r="V162" s="303"/>
      <c r="W162" s="410">
        <f t="shared" ref="W162" si="57">(V162*X162)</f>
        <v>0</v>
      </c>
      <c r="X162" s="743"/>
      <c r="Y162" s="694">
        <f>IF(D162&lt;&gt;0,($C163*(1-$V$1))-$D162,0)</f>
        <v>0</v>
      </c>
      <c r="Z162" s="695" t="str">
        <f>IFERROR(IF(C162&lt;&gt;"",$Y$1/(D160/100)*(C162/100),""),"")</f>
        <v/>
      </c>
      <c r="AA162" s="696" t="str">
        <f>IFERROR($AA$1/(D162/100)*(C160/100),"")</f>
        <v/>
      </c>
      <c r="AB162" s="38"/>
    </row>
    <row r="163" spans="1:28" ht="12.75" hidden="1" customHeight="1">
      <c r="A163" s="599" t="s">
        <v>276</v>
      </c>
      <c r="B163" s="657"/>
      <c r="C163" s="239"/>
      <c r="D163" s="391"/>
      <c r="E163" s="665"/>
      <c r="F163" s="577"/>
      <c r="G163" s="312"/>
      <c r="H163" s="237"/>
      <c r="I163" s="228"/>
      <c r="J163" s="228"/>
      <c r="K163" s="258">
        <v>25.276</v>
      </c>
      <c r="L163" s="235"/>
      <c r="M163" s="232"/>
      <c r="N163" s="235"/>
      <c r="O163" s="279"/>
      <c r="P163" s="288">
        <v>162</v>
      </c>
      <c r="Q163" s="263"/>
      <c r="R163" s="718">
        <v>0</v>
      </c>
      <c r="S163" s="746">
        <v>0</v>
      </c>
      <c r="T163" s="246">
        <v>0</v>
      </c>
      <c r="U163" s="506"/>
      <c r="V163" s="302">
        <v>0</v>
      </c>
      <c r="W163" s="411">
        <f>V162*(F162/100)</f>
        <v>0</v>
      </c>
      <c r="X163" s="737"/>
      <c r="Y163" s="515" t="str">
        <f>IFERROR(INT($AA$1/(F162/100)),"")</f>
        <v/>
      </c>
      <c r="Z163" s="697" t="str">
        <f>IFERROR(IF(C163&lt;&gt;"",$Y$1/(D161/100)*(C163/100),""),"")</f>
        <v/>
      </c>
      <c r="AA163" s="698" t="str">
        <f>IFERROR($AA$1/(D163/100)*(C161/100),"")</f>
        <v/>
      </c>
      <c r="AB163" s="38"/>
    </row>
    <row r="164" spans="1:28" ht="12.75" customHeight="1">
      <c r="A164" s="598" t="s">
        <v>567</v>
      </c>
      <c r="B164" s="249">
        <v>1018</v>
      </c>
      <c r="C164" s="306">
        <v>49.1</v>
      </c>
      <c r="D164" s="256">
        <v>51</v>
      </c>
      <c r="E164" s="249">
        <v>1000</v>
      </c>
      <c r="F164" s="586">
        <v>49</v>
      </c>
      <c r="G164" s="313">
        <v>-2.3900000000000001E-2</v>
      </c>
      <c r="H164" s="240">
        <v>47.631999999999998</v>
      </c>
      <c r="I164" s="229">
        <v>49</v>
      </c>
      <c r="J164" s="229">
        <v>47.631999999999998</v>
      </c>
      <c r="K164" s="261">
        <v>50.2</v>
      </c>
      <c r="L164" s="248">
        <v>997</v>
      </c>
      <c r="M164" s="233">
        <v>2050</v>
      </c>
      <c r="N164" s="248">
        <v>4</v>
      </c>
      <c r="O164" s="280">
        <v>45378.585856481484</v>
      </c>
      <c r="P164" s="289">
        <v>163</v>
      </c>
      <c r="Q164" s="264"/>
      <c r="R164" s="729">
        <v>0</v>
      </c>
      <c r="S164" s="747">
        <v>0</v>
      </c>
      <c r="T164" s="245">
        <v>0</v>
      </c>
      <c r="U164" s="507"/>
      <c r="V164" s="373">
        <v>4</v>
      </c>
      <c r="W164" s="412">
        <f t="shared" ref="W164" si="58">(V164*X164)</f>
        <v>1.6</v>
      </c>
      <c r="X164" s="739">
        <v>0.4</v>
      </c>
      <c r="Y164" s="699">
        <f>IF(D164&lt;&gt;0,($C165*(1-$V$1))-$D164,0)</f>
        <v>-2.3900000000000006</v>
      </c>
      <c r="Z164" s="700">
        <f>IFERROR(IF(C164&lt;&gt;"",$Y$1/(D160/100)*(C164/100),""),"")</f>
        <v>98.699000367964501</v>
      </c>
      <c r="AA164" s="701">
        <f>IFERROR($Z$1/(D164/100)*(C160/100),"")</f>
        <v>91205.88235294116</v>
      </c>
      <c r="AB164" s="38"/>
    </row>
    <row r="165" spans="1:28" ht="12.75" customHeight="1">
      <c r="A165" s="758" t="s">
        <v>277</v>
      </c>
      <c r="B165" s="395">
        <v>501</v>
      </c>
      <c r="C165" s="359">
        <v>48.61</v>
      </c>
      <c r="D165" s="390">
        <v>50.2</v>
      </c>
      <c r="E165" s="660">
        <v>471</v>
      </c>
      <c r="F165" s="585">
        <v>50.2</v>
      </c>
      <c r="G165" s="370">
        <v>1.61E-2</v>
      </c>
      <c r="H165" s="361">
        <v>50.88</v>
      </c>
      <c r="I165" s="362">
        <v>50.88</v>
      </c>
      <c r="J165" s="362">
        <v>48.55</v>
      </c>
      <c r="K165" s="371">
        <v>49.4</v>
      </c>
      <c r="L165" s="356">
        <v>2932</v>
      </c>
      <c r="M165" s="364">
        <v>5857</v>
      </c>
      <c r="N165" s="356">
        <v>25</v>
      </c>
      <c r="O165" s="357">
        <v>45378.600393518522</v>
      </c>
      <c r="P165" s="288">
        <v>164</v>
      </c>
      <c r="Q165" s="358"/>
      <c r="R165" s="726">
        <v>0</v>
      </c>
      <c r="S165" s="745">
        <v>0</v>
      </c>
      <c r="T165" s="366">
        <v>0</v>
      </c>
      <c r="U165" s="506"/>
      <c r="V165" s="374">
        <v>0</v>
      </c>
      <c r="W165" s="415">
        <f>V164*(F164/100)</f>
        <v>1.96</v>
      </c>
      <c r="X165" s="742"/>
      <c r="Y165" s="516">
        <f>IFERROR(INT($Z$1/(F164/100)),"")</f>
        <v>204</v>
      </c>
      <c r="Z165" s="702">
        <f>IFERROR(IF(C165&lt;&gt;"",$Y$1/(D161/100)*(C165/100),""),"")</f>
        <v>98.29820159853179</v>
      </c>
      <c r="AA165" s="703">
        <f>IFERROR($Z$1/(D165/100)*(C161/100),"")</f>
        <v>98466.135458167337</v>
      </c>
      <c r="AB165" s="38"/>
    </row>
    <row r="166" spans="1:28" ht="12.75" customHeight="1">
      <c r="A166" s="760" t="s">
        <v>639</v>
      </c>
      <c r="B166" s="249"/>
      <c r="C166" s="306">
        <v>9300</v>
      </c>
      <c r="D166" s="256">
        <v>9390</v>
      </c>
      <c r="E166" s="249"/>
      <c r="F166" s="576">
        <v>9390</v>
      </c>
      <c r="G166" s="310"/>
      <c r="H166" s="238"/>
      <c r="I166" s="230"/>
      <c r="J166" s="230"/>
      <c r="K166" s="260"/>
      <c r="L166" s="252"/>
      <c r="M166" s="234"/>
      <c r="N166" s="252"/>
      <c r="O166" s="278"/>
      <c r="P166" s="289">
        <v>165</v>
      </c>
      <c r="Q166" s="265"/>
      <c r="R166" s="719">
        <v>0</v>
      </c>
      <c r="S166" s="744">
        <v>0</v>
      </c>
      <c r="T166" s="247">
        <v>0</v>
      </c>
      <c r="U166" s="507"/>
      <c r="V166" s="376"/>
      <c r="W166" s="414">
        <f t="shared" ref="W166" si="59">(V166*X166)</f>
        <v>0</v>
      </c>
      <c r="X166" s="743"/>
      <c r="Y166" s="685">
        <f>IF(D166&lt;&gt;0,($C167*(1-$V$1))-$D166,0)</f>
        <v>-90</v>
      </c>
      <c r="Z166" s="704"/>
      <c r="AA166" s="691"/>
    </row>
    <row r="167" spans="1:28" ht="12.75" customHeight="1">
      <c r="A167" s="599" t="s">
        <v>640</v>
      </c>
      <c r="B167" s="657"/>
      <c r="C167" s="239">
        <v>9300</v>
      </c>
      <c r="D167" s="391">
        <v>9390</v>
      </c>
      <c r="E167" s="665"/>
      <c r="F167" s="577">
        <v>9390</v>
      </c>
      <c r="G167" s="312"/>
      <c r="H167" s="237"/>
      <c r="I167" s="228"/>
      <c r="J167" s="228"/>
      <c r="K167" s="258"/>
      <c r="L167" s="235"/>
      <c r="M167" s="232"/>
      <c r="N167" s="235"/>
      <c r="O167" s="279"/>
      <c r="P167" s="288">
        <v>166</v>
      </c>
      <c r="Q167" s="263"/>
      <c r="R167" s="718">
        <v>0</v>
      </c>
      <c r="S167" s="746">
        <v>0</v>
      </c>
      <c r="T167" s="246">
        <v>0</v>
      </c>
      <c r="U167" s="506"/>
      <c r="V167" s="375">
        <v>0</v>
      </c>
      <c r="W167" s="409">
        <f>V166*(D166/100)</f>
        <v>0</v>
      </c>
      <c r="X167" s="737"/>
      <c r="Y167" s="514">
        <f>IFERROR(INT($Y$1/(F166/100)),"")</f>
        <v>1080</v>
      </c>
      <c r="Z167" s="692"/>
      <c r="AA167" s="693"/>
    </row>
    <row r="168" spans="1:28" ht="12.75" customHeight="1">
      <c r="A168" s="598" t="s">
        <v>641</v>
      </c>
      <c r="B168" s="249"/>
      <c r="C168" s="306"/>
      <c r="D168" s="256"/>
      <c r="E168" s="249"/>
      <c r="F168" s="586"/>
      <c r="G168" s="313"/>
      <c r="H168" s="240"/>
      <c r="I168" s="229"/>
      <c r="J168" s="229"/>
      <c r="K168" s="261"/>
      <c r="L168" s="248"/>
      <c r="M168" s="233"/>
      <c r="N168" s="248"/>
      <c r="O168" s="280"/>
      <c r="P168" s="289">
        <v>167</v>
      </c>
      <c r="Q168" s="264"/>
      <c r="R168" s="729">
        <v>0</v>
      </c>
      <c r="S168" s="747">
        <v>0</v>
      </c>
      <c r="T168" s="245">
        <v>0</v>
      </c>
      <c r="U168" s="507"/>
      <c r="V168" s="303"/>
      <c r="W168" s="410">
        <f t="shared" ref="W168" si="60">(V168*X168)</f>
        <v>0</v>
      </c>
      <c r="X168" s="743"/>
      <c r="Y168" s="694">
        <f>IF(D168&lt;&gt;0,($C169*(1-$V$1))-$D168,0)</f>
        <v>0</v>
      </c>
      <c r="Z168" s="695" t="str">
        <f>IFERROR(IF(C168&lt;&gt;"",$Y$1/(D166/100)*(C168/100),""),"")</f>
        <v/>
      </c>
      <c r="AA168" s="696" t="str">
        <f>IFERROR($AA$1/(D168/100)*(C166/100),"")</f>
        <v/>
      </c>
    </row>
    <row r="169" spans="1:28" ht="12.75" customHeight="1">
      <c r="A169" s="599" t="s">
        <v>642</v>
      </c>
      <c r="B169" s="657"/>
      <c r="C169" s="239"/>
      <c r="D169" s="391"/>
      <c r="E169" s="665"/>
      <c r="F169" s="577"/>
      <c r="G169" s="312"/>
      <c r="H169" s="237"/>
      <c r="I169" s="228"/>
      <c r="J169" s="228"/>
      <c r="K169" s="258"/>
      <c r="L169" s="235"/>
      <c r="M169" s="232"/>
      <c r="N169" s="235"/>
      <c r="O169" s="279"/>
      <c r="P169" s="288">
        <v>168</v>
      </c>
      <c r="Q169" s="263"/>
      <c r="R169" s="718">
        <v>0</v>
      </c>
      <c r="S169" s="746">
        <v>0</v>
      </c>
      <c r="T169" s="246">
        <v>0</v>
      </c>
      <c r="U169" s="506"/>
      <c r="V169" s="302">
        <v>0</v>
      </c>
      <c r="W169" s="411">
        <f>V168*(F168/100)</f>
        <v>0</v>
      </c>
      <c r="X169" s="737"/>
      <c r="Y169" s="515" t="str">
        <f>IFERROR(INT($AA$1/(F168/100)),"")</f>
        <v/>
      </c>
      <c r="Z169" s="697" t="str">
        <f>IFERROR(IF(C169&lt;&gt;"",$Y$1/(D167/100)*(C169/100),""),"")</f>
        <v/>
      </c>
      <c r="AA169" s="698" t="str">
        <f>IFERROR($AA$1/(D169/100)*(C167/100),"")</f>
        <v/>
      </c>
    </row>
    <row r="170" spans="1:28" ht="12.75" customHeight="1">
      <c r="A170" s="598" t="s">
        <v>643</v>
      </c>
      <c r="B170" s="249"/>
      <c r="C170" s="306">
        <v>9.15</v>
      </c>
      <c r="D170" s="256">
        <v>9</v>
      </c>
      <c r="E170" s="249"/>
      <c r="F170" s="586">
        <v>9.2899999999999991</v>
      </c>
      <c r="G170" s="313"/>
      <c r="H170" s="240"/>
      <c r="I170" s="229"/>
      <c r="J170" s="229"/>
      <c r="K170" s="261"/>
      <c r="L170" s="248"/>
      <c r="M170" s="233"/>
      <c r="N170" s="248"/>
      <c r="O170" s="280"/>
      <c r="P170" s="289">
        <v>169</v>
      </c>
      <c r="Q170" s="264"/>
      <c r="R170" s="729">
        <v>0</v>
      </c>
      <c r="S170" s="747">
        <v>0</v>
      </c>
      <c r="T170" s="245">
        <v>0</v>
      </c>
      <c r="U170" s="507"/>
      <c r="V170" s="373"/>
      <c r="W170" s="412">
        <f t="shared" ref="W170" si="61">(V170*X170)</f>
        <v>0</v>
      </c>
      <c r="X170" s="739"/>
      <c r="Y170" s="699">
        <f>IF(D170&lt;&gt;0,($C171*(1-$V$1))-$D170,0)</f>
        <v>0.15000000000000036</v>
      </c>
      <c r="Z170" s="700">
        <f>IFERROR(IF(C170&lt;&gt;"",$Y$1/(D166/100)*(C170/100),""),"")</f>
        <v>98.879465475383</v>
      </c>
      <c r="AA170" s="701">
        <f>IFERROR($Z$1/(D170/100)*(C166/100),"")</f>
        <v>103333.33333333333</v>
      </c>
    </row>
    <row r="171" spans="1:28" ht="12.75" customHeight="1">
      <c r="A171" s="758" t="s">
        <v>644</v>
      </c>
      <c r="B171" s="395"/>
      <c r="C171" s="359">
        <v>9.15</v>
      </c>
      <c r="D171" s="390">
        <v>9.1</v>
      </c>
      <c r="E171" s="660"/>
      <c r="F171" s="585">
        <v>9.2899999999999991</v>
      </c>
      <c r="G171" s="370"/>
      <c r="H171" s="361"/>
      <c r="I171" s="362"/>
      <c r="J171" s="362"/>
      <c r="K171" s="371"/>
      <c r="L171" s="356"/>
      <c r="M171" s="364"/>
      <c r="N171" s="356"/>
      <c r="O171" s="357"/>
      <c r="P171" s="288">
        <v>170</v>
      </c>
      <c r="Q171" s="358"/>
      <c r="R171" s="726">
        <v>0</v>
      </c>
      <c r="S171" s="745">
        <v>0</v>
      </c>
      <c r="T171" s="366">
        <v>0</v>
      </c>
      <c r="U171" s="506"/>
      <c r="V171" s="374">
        <v>0</v>
      </c>
      <c r="W171" s="415">
        <f>V170*(C170/100)</f>
        <v>0</v>
      </c>
      <c r="X171" s="742"/>
      <c r="Y171" s="516">
        <f>IFERROR(INT($Z$1/(F170/100)),"")</f>
        <v>1076</v>
      </c>
      <c r="Z171" s="702">
        <f>IFERROR(IF(C171&lt;&gt;"",$Y$1/(D167/100)*(C171/100),""),"")</f>
        <v>98.879465475383</v>
      </c>
      <c r="AA171" s="703">
        <f>IFERROR($Z$1/(D171/100)*(C167/100),"")</f>
        <v>102197.8021978022</v>
      </c>
    </row>
    <row r="172" spans="1:28" ht="12.75" customHeight="1">
      <c r="A172" s="760" t="s">
        <v>645</v>
      </c>
      <c r="B172" s="249"/>
      <c r="C172" s="306"/>
      <c r="D172" s="256"/>
      <c r="E172" s="249"/>
      <c r="F172" s="576"/>
      <c r="G172" s="310"/>
      <c r="H172" s="238"/>
      <c r="I172" s="230"/>
      <c r="J172" s="230"/>
      <c r="K172" s="260"/>
      <c r="L172" s="252"/>
      <c r="M172" s="234"/>
      <c r="N172" s="252"/>
      <c r="O172" s="278"/>
      <c r="P172" s="289">
        <v>171</v>
      </c>
      <c r="Q172" s="265"/>
      <c r="R172" s="719">
        <v>0</v>
      </c>
      <c r="S172" s="744">
        <v>0</v>
      </c>
      <c r="T172" s="247">
        <v>0</v>
      </c>
      <c r="U172" s="507"/>
      <c r="V172" s="376"/>
      <c r="W172" s="414">
        <f t="shared" ref="W172" si="62">(V172*X172)</f>
        <v>0</v>
      </c>
      <c r="X172" s="743"/>
      <c r="Y172" s="685">
        <f t="shared" ref="Y172" si="63">IF(D172&lt;&gt;0,($C173*(1-$V$1))-$D172,0)</f>
        <v>0</v>
      </c>
      <c r="Z172" s="704"/>
      <c r="AA172" s="691"/>
    </row>
    <row r="173" spans="1:28" ht="12.75" customHeight="1">
      <c r="A173" s="599" t="s">
        <v>646</v>
      </c>
      <c r="B173" s="657"/>
      <c r="C173" s="239"/>
      <c r="D173" s="391"/>
      <c r="E173" s="665"/>
      <c r="F173" s="577"/>
      <c r="G173" s="312"/>
      <c r="H173" s="237"/>
      <c r="I173" s="228"/>
      <c r="J173" s="228"/>
      <c r="K173" s="258"/>
      <c r="L173" s="235"/>
      <c r="M173" s="232"/>
      <c r="N173" s="235"/>
      <c r="O173" s="279"/>
      <c r="P173" s="288">
        <v>172</v>
      </c>
      <c r="Q173" s="263"/>
      <c r="R173" s="718">
        <v>0</v>
      </c>
      <c r="S173" s="746">
        <v>0</v>
      </c>
      <c r="T173" s="246">
        <v>0</v>
      </c>
      <c r="U173" s="506"/>
      <c r="V173" s="375">
        <v>0</v>
      </c>
      <c r="W173" s="409">
        <f t="shared" ref="W173" si="64">V172*(D172/100)</f>
        <v>0</v>
      </c>
      <c r="X173" s="737"/>
      <c r="Y173" s="514" t="str">
        <f t="shared" ref="Y173" si="65">IFERROR(INT($Y$1/(F172/100)),"")</f>
        <v/>
      </c>
      <c r="Z173" s="692"/>
      <c r="AA173" s="693"/>
    </row>
    <row r="174" spans="1:28" ht="12.75" customHeight="1">
      <c r="A174" s="598" t="s">
        <v>647</v>
      </c>
      <c r="B174" s="249"/>
      <c r="C174" s="306"/>
      <c r="D174" s="256"/>
      <c r="E174" s="249"/>
      <c r="F174" s="586"/>
      <c r="G174" s="313"/>
      <c r="H174" s="240"/>
      <c r="I174" s="229"/>
      <c r="J174" s="229"/>
      <c r="K174" s="261"/>
      <c r="L174" s="248"/>
      <c r="M174" s="233"/>
      <c r="N174" s="248"/>
      <c r="O174" s="280"/>
      <c r="P174" s="289">
        <v>173</v>
      </c>
      <c r="Q174" s="264"/>
      <c r="R174" s="729">
        <v>0</v>
      </c>
      <c r="S174" s="747">
        <v>0</v>
      </c>
      <c r="T174" s="245">
        <v>0</v>
      </c>
      <c r="U174" s="507"/>
      <c r="V174" s="303"/>
      <c r="W174" s="410">
        <f t="shared" ref="W174" si="66">(V174*X174)</f>
        <v>0</v>
      </c>
      <c r="X174" s="743"/>
      <c r="Y174" s="694">
        <f t="shared" ref="Y174" si="67">IF(D174&lt;&gt;0,($C175*(1-$V$1))-$D174,0)</f>
        <v>0</v>
      </c>
      <c r="Z174" s="695" t="str">
        <f t="shared" ref="Z174:Z175" si="68">IFERROR(IF(C174&lt;&gt;"",$Y$1/(D172/100)*(C174/100),""),"")</f>
        <v/>
      </c>
      <c r="AA174" s="696" t="str">
        <f t="shared" ref="AA174:AA175" si="69">IFERROR($AA$1/(D174/100)*(C172/100),"")</f>
        <v/>
      </c>
    </row>
    <row r="175" spans="1:28" ht="12.75" customHeight="1">
      <c r="A175" s="599" t="s">
        <v>648</v>
      </c>
      <c r="B175" s="657"/>
      <c r="C175" s="239"/>
      <c r="D175" s="391"/>
      <c r="E175" s="665"/>
      <c r="F175" s="577"/>
      <c r="G175" s="312"/>
      <c r="H175" s="237"/>
      <c r="I175" s="228"/>
      <c r="J175" s="228"/>
      <c r="K175" s="258"/>
      <c r="L175" s="235"/>
      <c r="M175" s="232"/>
      <c r="N175" s="235"/>
      <c r="O175" s="279"/>
      <c r="P175" s="288">
        <v>174</v>
      </c>
      <c r="Q175" s="263"/>
      <c r="R175" s="718">
        <v>0</v>
      </c>
      <c r="S175" s="746">
        <v>0</v>
      </c>
      <c r="T175" s="246">
        <v>0</v>
      </c>
      <c r="U175" s="506"/>
      <c r="V175" s="302">
        <v>0</v>
      </c>
      <c r="W175" s="411">
        <f t="shared" ref="W175" si="70">V174*(F174/100)</f>
        <v>0</v>
      </c>
      <c r="X175" s="737"/>
      <c r="Y175" s="515" t="str">
        <f t="shared" ref="Y175" si="71">IFERROR(INT($AA$1/(F174/100)),"")</f>
        <v/>
      </c>
      <c r="Z175" s="697" t="str">
        <f t="shared" si="68"/>
        <v/>
      </c>
      <c r="AA175" s="698" t="str">
        <f t="shared" si="69"/>
        <v/>
      </c>
    </row>
    <row r="176" spans="1:28" ht="12.75" customHeight="1">
      <c r="A176" s="598" t="s">
        <v>649</v>
      </c>
      <c r="B176" s="249"/>
      <c r="C176" s="306"/>
      <c r="D176" s="256"/>
      <c r="E176" s="249"/>
      <c r="F176" s="586"/>
      <c r="G176" s="313"/>
      <c r="H176" s="240"/>
      <c r="I176" s="229"/>
      <c r="J176" s="229"/>
      <c r="K176" s="261"/>
      <c r="L176" s="248"/>
      <c r="M176" s="233"/>
      <c r="N176" s="248"/>
      <c r="O176" s="280"/>
      <c r="P176" s="289">
        <v>175</v>
      </c>
      <c r="Q176" s="264"/>
      <c r="R176" s="729">
        <v>0</v>
      </c>
      <c r="S176" s="747">
        <v>0</v>
      </c>
      <c r="T176" s="245">
        <v>0</v>
      </c>
      <c r="U176" s="507"/>
      <c r="V176" s="373"/>
      <c r="W176" s="412">
        <f t="shared" ref="W176" si="72">(V176*X176)</f>
        <v>0</v>
      </c>
      <c r="X176" s="739"/>
      <c r="Y176" s="699">
        <f t="shared" ref="Y176" si="73">IF(D176&lt;&gt;0,($C177*(1-$V$1))-$D176,0)</f>
        <v>0</v>
      </c>
      <c r="Z176" s="700" t="str">
        <f t="shared" ref="Z176:Z177" si="74">IFERROR(IF(C176&lt;&gt;"",$Y$1/(D172/100)*(C176/100),""),"")</f>
        <v/>
      </c>
      <c r="AA176" s="701" t="str">
        <f t="shared" ref="AA176:AA177" si="75">IFERROR($Z$1/(D176/100)*(C172/100),"")</f>
        <v/>
      </c>
    </row>
    <row r="177" spans="1:27" ht="12.75" customHeight="1">
      <c r="A177" s="758" t="s">
        <v>650</v>
      </c>
      <c r="B177" s="395"/>
      <c r="C177" s="359"/>
      <c r="D177" s="390"/>
      <c r="E177" s="660"/>
      <c r="F177" s="585"/>
      <c r="G177" s="370"/>
      <c r="H177" s="361"/>
      <c r="I177" s="362"/>
      <c r="J177" s="362"/>
      <c r="K177" s="371"/>
      <c r="L177" s="356"/>
      <c r="M177" s="364"/>
      <c r="N177" s="356"/>
      <c r="O177" s="357"/>
      <c r="P177" s="288">
        <v>176</v>
      </c>
      <c r="Q177" s="358"/>
      <c r="R177" s="726">
        <v>0</v>
      </c>
      <c r="S177" s="745">
        <v>0</v>
      </c>
      <c r="T177" s="366">
        <v>0</v>
      </c>
      <c r="U177" s="506"/>
      <c r="V177" s="374">
        <v>0</v>
      </c>
      <c r="W177" s="415">
        <f t="shared" ref="W177" si="76">V176*(C176/100)</f>
        <v>0</v>
      </c>
      <c r="X177" s="742"/>
      <c r="Y177" s="516" t="str">
        <f t="shared" ref="Y177" si="77">IFERROR(INT($Z$1/(F176/100)),"")</f>
        <v/>
      </c>
      <c r="Z177" s="702" t="str">
        <f t="shared" si="74"/>
        <v/>
      </c>
      <c r="AA177" s="703" t="str">
        <f t="shared" si="75"/>
        <v/>
      </c>
    </row>
    <row r="178" spans="1:27" ht="12.75" customHeight="1">
      <c r="A178" s="760" t="s">
        <v>651</v>
      </c>
      <c r="B178" s="249"/>
      <c r="C178" s="306">
        <v>9300</v>
      </c>
      <c r="D178" s="256">
        <v>9390</v>
      </c>
      <c r="E178" s="249"/>
      <c r="F178" s="576">
        <v>9390</v>
      </c>
      <c r="G178" s="310"/>
      <c r="H178" s="238"/>
      <c r="I178" s="230"/>
      <c r="J178" s="230"/>
      <c r="K178" s="260"/>
      <c r="L178" s="252"/>
      <c r="M178" s="234"/>
      <c r="N178" s="252"/>
      <c r="O178" s="278"/>
      <c r="P178" s="289">
        <v>177</v>
      </c>
      <c r="Q178" s="265"/>
      <c r="R178" s="719">
        <v>0</v>
      </c>
      <c r="S178" s="744">
        <v>0</v>
      </c>
      <c r="T178" s="247">
        <v>0</v>
      </c>
      <c r="U178" s="507"/>
      <c r="V178" s="376"/>
      <c r="W178" s="414">
        <f t="shared" ref="W178" si="78">(V178*X178)</f>
        <v>0</v>
      </c>
      <c r="X178" s="743"/>
      <c r="Y178" s="685">
        <f t="shared" ref="Y178" si="79">IF(D178&lt;&gt;0,($C179*(1-$V$1))-$D178,0)</f>
        <v>-90</v>
      </c>
      <c r="Z178" s="704"/>
      <c r="AA178" s="691"/>
    </row>
    <row r="179" spans="1:27" ht="12.75" customHeight="1">
      <c r="A179" s="599" t="s">
        <v>652</v>
      </c>
      <c r="B179" s="657"/>
      <c r="C179" s="239">
        <v>9300</v>
      </c>
      <c r="D179" s="391">
        <v>9390</v>
      </c>
      <c r="E179" s="665"/>
      <c r="F179" s="577">
        <v>9390</v>
      </c>
      <c r="G179" s="312"/>
      <c r="H179" s="237"/>
      <c r="I179" s="228"/>
      <c r="J179" s="228"/>
      <c r="K179" s="258"/>
      <c r="L179" s="235"/>
      <c r="M179" s="232"/>
      <c r="N179" s="235"/>
      <c r="O179" s="279"/>
      <c r="P179" s="288">
        <v>178</v>
      </c>
      <c r="Q179" s="263"/>
      <c r="R179" s="718">
        <v>0</v>
      </c>
      <c r="S179" s="746">
        <v>0</v>
      </c>
      <c r="T179" s="246">
        <v>0</v>
      </c>
      <c r="U179" s="506"/>
      <c r="V179" s="375">
        <v>0</v>
      </c>
      <c r="W179" s="409">
        <f t="shared" ref="W179" si="80">V178*(D178/100)</f>
        <v>0</v>
      </c>
      <c r="X179" s="737"/>
      <c r="Y179" s="514">
        <f t="shared" ref="Y179" si="81">IFERROR(INT($Y$1/(F178/100)),"")</f>
        <v>1080</v>
      </c>
      <c r="Z179" s="692"/>
      <c r="AA179" s="693"/>
    </row>
    <row r="180" spans="1:27" ht="12.75" customHeight="1">
      <c r="A180" s="598" t="s">
        <v>653</v>
      </c>
      <c r="B180" s="249"/>
      <c r="C180" s="306"/>
      <c r="D180" s="256"/>
      <c r="E180" s="249"/>
      <c r="F180" s="586"/>
      <c r="G180" s="313"/>
      <c r="H180" s="240"/>
      <c r="I180" s="229"/>
      <c r="J180" s="229"/>
      <c r="K180" s="261"/>
      <c r="L180" s="248"/>
      <c r="M180" s="233"/>
      <c r="N180" s="248"/>
      <c r="O180" s="280"/>
      <c r="P180" s="289">
        <v>179</v>
      </c>
      <c r="Q180" s="264"/>
      <c r="R180" s="729">
        <v>0</v>
      </c>
      <c r="S180" s="747">
        <v>0</v>
      </c>
      <c r="T180" s="245">
        <v>0</v>
      </c>
      <c r="U180" s="507"/>
      <c r="V180" s="303"/>
      <c r="W180" s="410">
        <f t="shared" ref="W180" si="82">(V180*X180)</f>
        <v>0</v>
      </c>
      <c r="X180" s="743"/>
      <c r="Y180" s="694">
        <f t="shared" ref="Y180" si="83">IF(D180&lt;&gt;0,($C181*(1-$V$1))-$D180,0)</f>
        <v>0</v>
      </c>
      <c r="Z180" s="695" t="str">
        <f t="shared" ref="Z180:Z181" si="84">IFERROR(IF(C180&lt;&gt;"",$Y$1/(D178/100)*(C180/100),""),"")</f>
        <v/>
      </c>
      <c r="AA180" s="696" t="str">
        <f t="shared" ref="AA180:AA181" si="85">IFERROR($AA$1/(D180/100)*(C178/100),"")</f>
        <v/>
      </c>
    </row>
    <row r="181" spans="1:27" ht="12.75" customHeight="1">
      <c r="A181" s="599" t="s">
        <v>654</v>
      </c>
      <c r="B181" s="657"/>
      <c r="C181" s="239"/>
      <c r="D181" s="391"/>
      <c r="E181" s="665"/>
      <c r="F181" s="577"/>
      <c r="G181" s="312"/>
      <c r="H181" s="237"/>
      <c r="I181" s="228"/>
      <c r="J181" s="228"/>
      <c r="K181" s="258"/>
      <c r="L181" s="235"/>
      <c r="M181" s="232"/>
      <c r="N181" s="235"/>
      <c r="O181" s="279"/>
      <c r="P181" s="288">
        <v>180</v>
      </c>
      <c r="Q181" s="263"/>
      <c r="R181" s="718">
        <v>0</v>
      </c>
      <c r="S181" s="746">
        <v>0</v>
      </c>
      <c r="T181" s="246">
        <v>0</v>
      </c>
      <c r="U181" s="506"/>
      <c r="V181" s="302">
        <v>0</v>
      </c>
      <c r="W181" s="411">
        <f t="shared" ref="W181" si="86">V180*(F180/100)</f>
        <v>0</v>
      </c>
      <c r="X181" s="737"/>
      <c r="Y181" s="515" t="str">
        <f t="shared" ref="Y181" si="87">IFERROR(INT($AA$1/(F180/100)),"")</f>
        <v/>
      </c>
      <c r="Z181" s="697" t="str">
        <f t="shared" si="84"/>
        <v/>
      </c>
      <c r="AA181" s="698" t="str">
        <f t="shared" si="85"/>
        <v/>
      </c>
    </row>
    <row r="182" spans="1:27" ht="12.75" customHeight="1">
      <c r="A182" s="598" t="s">
        <v>655</v>
      </c>
      <c r="B182" s="249"/>
      <c r="C182" s="306">
        <v>9.15</v>
      </c>
      <c r="D182" s="256">
        <v>8.5</v>
      </c>
      <c r="E182" s="249"/>
      <c r="F182" s="586">
        <v>9.2899999999999991</v>
      </c>
      <c r="G182" s="313"/>
      <c r="H182" s="240"/>
      <c r="I182" s="229"/>
      <c r="J182" s="229"/>
      <c r="K182" s="261"/>
      <c r="L182" s="248"/>
      <c r="M182" s="233"/>
      <c r="N182" s="248"/>
      <c r="O182" s="280"/>
      <c r="P182" s="289">
        <v>181</v>
      </c>
      <c r="Q182" s="264"/>
      <c r="R182" s="729">
        <v>0</v>
      </c>
      <c r="S182" s="747">
        <v>0</v>
      </c>
      <c r="T182" s="245">
        <v>0</v>
      </c>
      <c r="U182" s="507"/>
      <c r="V182" s="373"/>
      <c r="W182" s="412">
        <f t="shared" ref="W182" si="88">(V182*X182)</f>
        <v>0</v>
      </c>
      <c r="X182" s="739"/>
      <c r="Y182" s="699">
        <f t="shared" ref="Y182" si="89">IF(D182&lt;&gt;0,($C183*(1-$V$1))-$D182,0)</f>
        <v>0.65000000000000036</v>
      </c>
      <c r="Z182" s="700">
        <f t="shared" ref="Z182:Z183" si="90">IFERROR(IF(C182&lt;&gt;"",$Y$1/(D178/100)*(C182/100),""),"")</f>
        <v>98.879465475383</v>
      </c>
      <c r="AA182" s="701">
        <f t="shared" ref="AA182:AA183" si="91">IFERROR($Z$1/(D182/100)*(C178/100),"")</f>
        <v>109411.76470588235</v>
      </c>
    </row>
    <row r="183" spans="1:27" ht="12.75" customHeight="1">
      <c r="A183" s="758" t="s">
        <v>656</v>
      </c>
      <c r="B183" s="395"/>
      <c r="C183" s="359">
        <v>9.15</v>
      </c>
      <c r="D183" s="390">
        <v>9.2799999999999994</v>
      </c>
      <c r="E183" s="660"/>
      <c r="F183" s="585">
        <v>9.2899999999999991</v>
      </c>
      <c r="G183" s="370"/>
      <c r="H183" s="361"/>
      <c r="I183" s="362"/>
      <c r="J183" s="362"/>
      <c r="K183" s="371"/>
      <c r="L183" s="356"/>
      <c r="M183" s="364"/>
      <c r="N183" s="356"/>
      <c r="O183" s="357"/>
      <c r="P183" s="288">
        <v>182</v>
      </c>
      <c r="Q183" s="358"/>
      <c r="R183" s="726">
        <v>0</v>
      </c>
      <c r="S183" s="745">
        <v>0</v>
      </c>
      <c r="T183" s="366">
        <v>0</v>
      </c>
      <c r="U183" s="506"/>
      <c r="V183" s="374">
        <v>0</v>
      </c>
      <c r="W183" s="415">
        <f t="shared" ref="W183" si="92">V182*(C182/100)</f>
        <v>0</v>
      </c>
      <c r="X183" s="742"/>
      <c r="Y183" s="516">
        <f t="shared" ref="Y183" si="93">IFERROR(INT($Z$1/(F182/100)),"")</f>
        <v>1076</v>
      </c>
      <c r="Z183" s="702">
        <f t="shared" si="90"/>
        <v>98.879465475383</v>
      </c>
      <c r="AA183" s="703">
        <f t="shared" si="91"/>
        <v>100215.51724137932</v>
      </c>
    </row>
    <row r="184" spans="1:27" ht="12.75" customHeight="1">
      <c r="A184" s="760" t="s">
        <v>657</v>
      </c>
      <c r="B184" s="249"/>
      <c r="C184" s="306"/>
      <c r="D184" s="256"/>
      <c r="E184" s="249"/>
      <c r="F184" s="576"/>
      <c r="G184" s="310"/>
      <c r="H184" s="238"/>
      <c r="I184" s="230"/>
      <c r="J184" s="230"/>
      <c r="K184" s="260"/>
      <c r="L184" s="252"/>
      <c r="M184" s="234"/>
      <c r="N184" s="252"/>
      <c r="O184" s="278"/>
      <c r="P184" s="289">
        <v>183</v>
      </c>
      <c r="Q184" s="265"/>
      <c r="R184" s="719">
        <v>0</v>
      </c>
      <c r="S184" s="744">
        <v>0</v>
      </c>
      <c r="T184" s="247">
        <v>0</v>
      </c>
      <c r="U184" s="507"/>
      <c r="V184" s="376"/>
      <c r="W184" s="414">
        <f t="shared" ref="W184" si="94">(V184*X184)</f>
        <v>0</v>
      </c>
      <c r="X184" s="743"/>
      <c r="Y184" s="685">
        <f t="shared" ref="Y184" si="95">IF(D184&lt;&gt;0,($C185*(1-$V$1))-$D184,0)</f>
        <v>0</v>
      </c>
      <c r="Z184" s="704"/>
      <c r="AA184" s="691"/>
    </row>
    <row r="185" spans="1:27" ht="12.75" customHeight="1">
      <c r="A185" s="599" t="s">
        <v>658</v>
      </c>
      <c r="B185" s="657"/>
      <c r="C185" s="239"/>
      <c r="D185" s="391"/>
      <c r="E185" s="665"/>
      <c r="F185" s="577"/>
      <c r="G185" s="312"/>
      <c r="H185" s="237"/>
      <c r="I185" s="228"/>
      <c r="J185" s="228"/>
      <c r="K185" s="258"/>
      <c r="L185" s="235"/>
      <c r="M185" s="232"/>
      <c r="N185" s="235"/>
      <c r="O185" s="279"/>
      <c r="P185" s="288">
        <v>184</v>
      </c>
      <c r="Q185" s="263"/>
      <c r="R185" s="718">
        <v>0</v>
      </c>
      <c r="S185" s="746">
        <v>0</v>
      </c>
      <c r="T185" s="246">
        <v>0</v>
      </c>
      <c r="U185" s="506"/>
      <c r="V185" s="375">
        <v>0</v>
      </c>
      <c r="W185" s="409">
        <f t="shared" ref="W185" si="96">V184*(D184/100)</f>
        <v>0</v>
      </c>
      <c r="X185" s="737"/>
      <c r="Y185" s="514" t="str">
        <f t="shared" ref="Y185" si="97">IFERROR(INT($Y$1/(F184/100)),"")</f>
        <v/>
      </c>
      <c r="Z185" s="692"/>
      <c r="AA185" s="693"/>
    </row>
    <row r="186" spans="1:27" ht="12.75" customHeight="1">
      <c r="A186" s="598" t="s">
        <v>659</v>
      </c>
      <c r="B186" s="249"/>
      <c r="C186" s="306"/>
      <c r="D186" s="256"/>
      <c r="E186" s="249"/>
      <c r="F186" s="586"/>
      <c r="G186" s="313"/>
      <c r="H186" s="240"/>
      <c r="I186" s="229"/>
      <c r="J186" s="229"/>
      <c r="K186" s="261"/>
      <c r="L186" s="248"/>
      <c r="M186" s="233"/>
      <c r="N186" s="248"/>
      <c r="O186" s="280"/>
      <c r="P186" s="289">
        <v>185</v>
      </c>
      <c r="Q186" s="264"/>
      <c r="R186" s="729">
        <v>0</v>
      </c>
      <c r="S186" s="747">
        <v>0</v>
      </c>
      <c r="T186" s="245">
        <v>0</v>
      </c>
      <c r="U186" s="507"/>
      <c r="V186" s="303"/>
      <c r="W186" s="410">
        <f t="shared" ref="W186" si="98">(V186*X186)</f>
        <v>0</v>
      </c>
      <c r="X186" s="743"/>
      <c r="Y186" s="694">
        <f t="shared" ref="Y186" si="99">IF(D186&lt;&gt;0,($C187*(1-$V$1))-$D186,0)</f>
        <v>0</v>
      </c>
      <c r="Z186" s="695" t="str">
        <f t="shared" ref="Z186:Z187" si="100">IFERROR(IF(C186&lt;&gt;"",$Y$1/(D184/100)*(C186/100),""),"")</f>
        <v/>
      </c>
      <c r="AA186" s="696" t="str">
        <f t="shared" ref="AA186:AA187" si="101">IFERROR($AA$1/(D186/100)*(C184/100),"")</f>
        <v/>
      </c>
    </row>
    <row r="187" spans="1:27" ht="12.75" customHeight="1">
      <c r="A187" s="599" t="s">
        <v>660</v>
      </c>
      <c r="B187" s="657"/>
      <c r="C187" s="239"/>
      <c r="D187" s="391"/>
      <c r="E187" s="665"/>
      <c r="F187" s="577"/>
      <c r="G187" s="312"/>
      <c r="H187" s="237"/>
      <c r="I187" s="228"/>
      <c r="J187" s="228"/>
      <c r="K187" s="258"/>
      <c r="L187" s="235"/>
      <c r="M187" s="232"/>
      <c r="N187" s="235"/>
      <c r="O187" s="279"/>
      <c r="P187" s="288">
        <v>186</v>
      </c>
      <c r="Q187" s="263"/>
      <c r="R187" s="718">
        <v>0</v>
      </c>
      <c r="S187" s="746">
        <v>0</v>
      </c>
      <c r="T187" s="246">
        <v>0</v>
      </c>
      <c r="U187" s="506"/>
      <c r="V187" s="302">
        <v>0</v>
      </c>
      <c r="W187" s="411">
        <f t="shared" ref="W187" si="102">V186*(F186/100)</f>
        <v>0</v>
      </c>
      <c r="X187" s="737"/>
      <c r="Y187" s="515" t="str">
        <f t="shared" ref="Y187" si="103">IFERROR(INT($AA$1/(F186/100)),"")</f>
        <v/>
      </c>
      <c r="Z187" s="697" t="str">
        <f t="shared" si="100"/>
        <v/>
      </c>
      <c r="AA187" s="698" t="str">
        <f t="shared" si="101"/>
        <v/>
      </c>
    </row>
    <row r="188" spans="1:27" ht="12.75" customHeight="1">
      <c r="A188" s="598" t="s">
        <v>661</v>
      </c>
      <c r="B188" s="249"/>
      <c r="C188" s="306"/>
      <c r="D188" s="256"/>
      <c r="E188" s="249"/>
      <c r="F188" s="586"/>
      <c r="G188" s="313"/>
      <c r="H188" s="240"/>
      <c r="I188" s="229"/>
      <c r="J188" s="229"/>
      <c r="K188" s="261"/>
      <c r="L188" s="248"/>
      <c r="M188" s="233"/>
      <c r="N188" s="248"/>
      <c r="O188" s="280"/>
      <c r="P188" s="289">
        <v>187</v>
      </c>
      <c r="Q188" s="264"/>
      <c r="R188" s="729">
        <v>0</v>
      </c>
      <c r="S188" s="747">
        <v>0</v>
      </c>
      <c r="T188" s="245">
        <v>0</v>
      </c>
      <c r="U188" s="507"/>
      <c r="V188" s="373"/>
      <c r="W188" s="412">
        <f t="shared" ref="W188" si="104">(V188*X188)</f>
        <v>0</v>
      </c>
      <c r="X188" s="739"/>
      <c r="Y188" s="699">
        <f t="shared" ref="Y188" si="105">IF(D188&lt;&gt;0,($C189*(1-$V$1))-$D188,0)</f>
        <v>0</v>
      </c>
      <c r="Z188" s="700" t="str">
        <f t="shared" ref="Z188:Z189" si="106">IFERROR(IF(C188&lt;&gt;"",$Y$1/(D184/100)*(C188/100),""),"")</f>
        <v/>
      </c>
      <c r="AA188" s="701" t="str">
        <f t="shared" ref="AA188:AA189" si="107">IFERROR($Z$1/(D188/100)*(C184/100),"")</f>
        <v/>
      </c>
    </row>
    <row r="189" spans="1:27" ht="12.75" customHeight="1">
      <c r="A189" s="758" t="s">
        <v>662</v>
      </c>
      <c r="B189" s="395"/>
      <c r="C189" s="359"/>
      <c r="D189" s="390"/>
      <c r="E189" s="660"/>
      <c r="F189" s="585"/>
      <c r="G189" s="370"/>
      <c r="H189" s="361"/>
      <c r="I189" s="362"/>
      <c r="J189" s="362"/>
      <c r="K189" s="371"/>
      <c r="L189" s="356"/>
      <c r="M189" s="364"/>
      <c r="N189" s="356"/>
      <c r="O189" s="357"/>
      <c r="P189" s="288">
        <v>188</v>
      </c>
      <c r="Q189" s="358"/>
      <c r="R189" s="726">
        <v>0</v>
      </c>
      <c r="S189" s="745">
        <v>0</v>
      </c>
      <c r="T189" s="366">
        <v>0</v>
      </c>
      <c r="U189" s="506"/>
      <c r="V189" s="374">
        <v>0</v>
      </c>
      <c r="W189" s="415">
        <f t="shared" ref="W189" si="108">V188*(C188/100)</f>
        <v>0</v>
      </c>
      <c r="X189" s="742"/>
      <c r="Y189" s="516" t="str">
        <f t="shared" ref="Y189" si="109">IFERROR(INT($Z$1/(F188/100)),"")</f>
        <v/>
      </c>
      <c r="Z189" s="702" t="str">
        <f t="shared" si="106"/>
        <v/>
      </c>
      <c r="AA189" s="703" t="str">
        <f t="shared" si="107"/>
        <v/>
      </c>
    </row>
    <row r="190" spans="1:27" ht="12.75" customHeight="1">
      <c r="A190" s="760" t="s">
        <v>663</v>
      </c>
      <c r="B190" s="249"/>
      <c r="C190" s="306"/>
      <c r="D190" s="256"/>
      <c r="E190" s="249"/>
      <c r="F190" s="576"/>
      <c r="G190" s="310"/>
      <c r="H190" s="238"/>
      <c r="I190" s="230"/>
      <c r="J190" s="230"/>
      <c r="K190" s="260"/>
      <c r="L190" s="252"/>
      <c r="M190" s="234"/>
      <c r="N190" s="252"/>
      <c r="O190" s="278"/>
      <c r="P190" s="289">
        <v>189</v>
      </c>
      <c r="Q190" s="265"/>
      <c r="R190" s="719">
        <v>0</v>
      </c>
      <c r="S190" s="744">
        <v>0</v>
      </c>
      <c r="T190" s="247">
        <v>0</v>
      </c>
      <c r="U190" s="507"/>
      <c r="V190" s="376"/>
      <c r="W190" s="414">
        <f t="shared" ref="W190" si="110">(V190*X190)</f>
        <v>0</v>
      </c>
      <c r="X190" s="743"/>
      <c r="Y190" s="685">
        <f t="shared" ref="Y190" si="111">IF(D190&lt;&gt;0,($C191*(1-$V$1))-$D190,0)</f>
        <v>0</v>
      </c>
      <c r="Z190" s="704"/>
      <c r="AA190" s="691"/>
    </row>
    <row r="191" spans="1:27" ht="12.75" customHeight="1">
      <c r="A191" s="599" t="s">
        <v>664</v>
      </c>
      <c r="B191" s="657"/>
      <c r="C191" s="239"/>
      <c r="D191" s="391"/>
      <c r="E191" s="665"/>
      <c r="F191" s="577"/>
      <c r="G191" s="312"/>
      <c r="H191" s="237"/>
      <c r="I191" s="228"/>
      <c r="J191" s="228"/>
      <c r="K191" s="258"/>
      <c r="L191" s="235"/>
      <c r="M191" s="232"/>
      <c r="N191" s="235"/>
      <c r="O191" s="279"/>
      <c r="P191" s="288">
        <v>190</v>
      </c>
      <c r="Q191" s="263"/>
      <c r="R191" s="718">
        <v>0</v>
      </c>
      <c r="S191" s="746">
        <v>0</v>
      </c>
      <c r="T191" s="246">
        <v>0</v>
      </c>
      <c r="U191" s="506"/>
      <c r="V191" s="375">
        <v>0</v>
      </c>
      <c r="W191" s="409">
        <f t="shared" ref="W191" si="112">V190*(D190/100)</f>
        <v>0</v>
      </c>
      <c r="X191" s="737"/>
      <c r="Y191" s="514" t="str">
        <f t="shared" ref="Y191" si="113">IFERROR(INT($Y$1/(F190/100)),"")</f>
        <v/>
      </c>
      <c r="Z191" s="692"/>
      <c r="AA191" s="693"/>
    </row>
    <row r="192" spans="1:27" ht="12.75" customHeight="1">
      <c r="A192" s="598" t="s">
        <v>665</v>
      </c>
      <c r="B192" s="249"/>
      <c r="C192" s="306"/>
      <c r="D192" s="256"/>
      <c r="E192" s="249"/>
      <c r="F192" s="586"/>
      <c r="G192" s="313"/>
      <c r="H192" s="240"/>
      <c r="I192" s="229"/>
      <c r="J192" s="229"/>
      <c r="K192" s="261"/>
      <c r="L192" s="248"/>
      <c r="M192" s="233"/>
      <c r="N192" s="248"/>
      <c r="O192" s="280"/>
      <c r="P192" s="289">
        <v>191</v>
      </c>
      <c r="Q192" s="264"/>
      <c r="R192" s="729">
        <v>0</v>
      </c>
      <c r="S192" s="747">
        <v>0</v>
      </c>
      <c r="T192" s="245">
        <v>0</v>
      </c>
      <c r="U192" s="507"/>
      <c r="V192" s="303"/>
      <c r="W192" s="410">
        <f t="shared" ref="W192" si="114">(V192*X192)</f>
        <v>0</v>
      </c>
      <c r="X192" s="743"/>
      <c r="Y192" s="694">
        <f t="shared" ref="Y192" si="115">IF(D192&lt;&gt;0,($C193*(1-$V$1))-$D192,0)</f>
        <v>0</v>
      </c>
      <c r="Z192" s="695" t="str">
        <f t="shared" ref="Z192:Z193" si="116">IFERROR(IF(C192&lt;&gt;"",$Y$1/(D190/100)*(C192/100),""),"")</f>
        <v/>
      </c>
      <c r="AA192" s="696" t="str">
        <f t="shared" ref="AA192:AA193" si="117">IFERROR($AA$1/(D192/100)*(C190/100),"")</f>
        <v/>
      </c>
    </row>
    <row r="193" spans="1:27" ht="12.75" customHeight="1">
      <c r="A193" s="599" t="s">
        <v>666</v>
      </c>
      <c r="B193" s="657"/>
      <c r="C193" s="239"/>
      <c r="D193" s="391"/>
      <c r="E193" s="665"/>
      <c r="F193" s="577"/>
      <c r="G193" s="312"/>
      <c r="H193" s="237"/>
      <c r="I193" s="228"/>
      <c r="J193" s="228"/>
      <c r="K193" s="258"/>
      <c r="L193" s="235"/>
      <c r="M193" s="232"/>
      <c r="N193" s="235"/>
      <c r="O193" s="279"/>
      <c r="P193" s="288">
        <v>192</v>
      </c>
      <c r="Q193" s="263"/>
      <c r="R193" s="718">
        <v>0</v>
      </c>
      <c r="S193" s="746">
        <v>0</v>
      </c>
      <c r="T193" s="246">
        <v>0</v>
      </c>
      <c r="U193" s="506"/>
      <c r="V193" s="302">
        <v>0</v>
      </c>
      <c r="W193" s="411">
        <f t="shared" ref="W193" si="118">V192*(F192/100)</f>
        <v>0</v>
      </c>
      <c r="X193" s="737"/>
      <c r="Y193" s="515" t="str">
        <f t="shared" ref="Y193" si="119">IFERROR(INT($AA$1/(F192/100)),"")</f>
        <v/>
      </c>
      <c r="Z193" s="697" t="str">
        <f t="shared" si="116"/>
        <v/>
      </c>
      <c r="AA193" s="698" t="str">
        <f t="shared" si="117"/>
        <v/>
      </c>
    </row>
    <row r="194" spans="1:27" ht="12.75" customHeight="1">
      <c r="A194" s="598" t="s">
        <v>667</v>
      </c>
      <c r="B194" s="249"/>
      <c r="C194" s="306"/>
      <c r="D194" s="256"/>
      <c r="E194" s="249"/>
      <c r="F194" s="586"/>
      <c r="G194" s="313"/>
      <c r="H194" s="240"/>
      <c r="I194" s="229"/>
      <c r="J194" s="229"/>
      <c r="K194" s="261"/>
      <c r="L194" s="248"/>
      <c r="M194" s="233"/>
      <c r="N194" s="248"/>
      <c r="O194" s="280"/>
      <c r="P194" s="289">
        <v>193</v>
      </c>
      <c r="Q194" s="264"/>
      <c r="R194" s="729">
        <v>0</v>
      </c>
      <c r="S194" s="747">
        <v>0</v>
      </c>
      <c r="T194" s="245">
        <v>0</v>
      </c>
      <c r="U194" s="507"/>
      <c r="V194" s="373"/>
      <c r="W194" s="412">
        <f t="shared" ref="W194" si="120">(V194*X194)</f>
        <v>0</v>
      </c>
      <c r="X194" s="739"/>
      <c r="Y194" s="699">
        <f t="shared" ref="Y194" si="121">IF(D194&lt;&gt;0,($C195*(1-$V$1))-$D194,0)</f>
        <v>0</v>
      </c>
      <c r="Z194" s="700" t="str">
        <f t="shared" ref="Z194:Z195" si="122">IFERROR(IF(C194&lt;&gt;"",$Y$1/(D190/100)*(C194/100),""),"")</f>
        <v/>
      </c>
      <c r="AA194" s="701" t="str">
        <f t="shared" ref="AA194:AA195" si="123">IFERROR($Z$1/(D194/100)*(C190/100),"")</f>
        <v/>
      </c>
    </row>
    <row r="195" spans="1:27" ht="12.75" customHeight="1">
      <c r="A195" s="758" t="s">
        <v>668</v>
      </c>
      <c r="B195" s="395"/>
      <c r="C195" s="359"/>
      <c r="D195" s="390"/>
      <c r="E195" s="660"/>
      <c r="F195" s="585"/>
      <c r="G195" s="370"/>
      <c r="H195" s="361"/>
      <c r="I195" s="362"/>
      <c r="J195" s="362"/>
      <c r="K195" s="371"/>
      <c r="L195" s="356"/>
      <c r="M195" s="364"/>
      <c r="N195" s="356"/>
      <c r="O195" s="357"/>
      <c r="P195" s="288">
        <v>194</v>
      </c>
      <c r="Q195" s="358"/>
      <c r="R195" s="726">
        <v>0</v>
      </c>
      <c r="S195" s="745">
        <v>0</v>
      </c>
      <c r="T195" s="366">
        <v>0</v>
      </c>
      <c r="U195" s="506"/>
      <c r="V195" s="374">
        <v>0</v>
      </c>
      <c r="W195" s="415">
        <f t="shared" ref="W195" si="124">V194*(C194/100)</f>
        <v>0</v>
      </c>
      <c r="X195" s="742"/>
      <c r="Y195" s="516" t="str">
        <f t="shared" ref="Y195" si="125">IFERROR(INT($Z$1/(F194/100)),"")</f>
        <v/>
      </c>
      <c r="Z195" s="702" t="str">
        <f t="shared" si="122"/>
        <v/>
      </c>
      <c r="AA195" s="703" t="str">
        <f t="shared" si="123"/>
        <v/>
      </c>
    </row>
    <row r="196" spans="1:27" ht="12.75" customHeight="1">
      <c r="A196" s="760" t="s">
        <v>669</v>
      </c>
      <c r="B196" s="249"/>
      <c r="C196" s="306"/>
      <c r="D196" s="256"/>
      <c r="E196" s="249"/>
      <c r="F196" s="576"/>
      <c r="G196" s="310"/>
      <c r="H196" s="238"/>
      <c r="I196" s="230"/>
      <c r="J196" s="230"/>
      <c r="K196" s="260"/>
      <c r="L196" s="252"/>
      <c r="M196" s="234"/>
      <c r="N196" s="252"/>
      <c r="O196" s="278"/>
      <c r="P196" s="289">
        <v>195</v>
      </c>
      <c r="Q196" s="265"/>
      <c r="R196" s="719">
        <v>0</v>
      </c>
      <c r="S196" s="744">
        <v>0</v>
      </c>
      <c r="T196" s="247">
        <v>0</v>
      </c>
      <c r="U196" s="507"/>
      <c r="V196" s="376"/>
      <c r="W196" s="414">
        <f t="shared" ref="W196" si="126">(V196*X196)</f>
        <v>0</v>
      </c>
      <c r="X196" s="743"/>
      <c r="Y196" s="685">
        <f t="shared" ref="Y196" si="127">IF(D196&lt;&gt;0,($C197*(1-$V$1))-$D196,0)</f>
        <v>0</v>
      </c>
      <c r="Z196" s="704"/>
      <c r="AA196" s="691"/>
    </row>
    <row r="197" spans="1:27" ht="12.75" customHeight="1">
      <c r="A197" s="599" t="s">
        <v>670</v>
      </c>
      <c r="B197" s="657"/>
      <c r="C197" s="239"/>
      <c r="D197" s="391"/>
      <c r="E197" s="665"/>
      <c r="F197" s="577"/>
      <c r="G197" s="312"/>
      <c r="H197" s="237"/>
      <c r="I197" s="228"/>
      <c r="J197" s="228"/>
      <c r="K197" s="258"/>
      <c r="L197" s="235"/>
      <c r="M197" s="232"/>
      <c r="N197" s="235"/>
      <c r="O197" s="279"/>
      <c r="P197" s="288">
        <v>196</v>
      </c>
      <c r="Q197" s="263"/>
      <c r="R197" s="718">
        <v>0</v>
      </c>
      <c r="S197" s="746">
        <v>0</v>
      </c>
      <c r="T197" s="246">
        <v>0</v>
      </c>
      <c r="U197" s="506"/>
      <c r="V197" s="375">
        <v>0</v>
      </c>
      <c r="W197" s="409">
        <f t="shared" ref="W197" si="128">V196*(D196/100)</f>
        <v>0</v>
      </c>
      <c r="X197" s="737"/>
      <c r="Y197" s="514" t="str">
        <f t="shared" ref="Y197" si="129">IFERROR(INT($Y$1/(F196/100)),"")</f>
        <v/>
      </c>
      <c r="Z197" s="692"/>
      <c r="AA197" s="693"/>
    </row>
    <row r="198" spans="1:27" ht="12.75" customHeight="1">
      <c r="A198" s="598" t="s">
        <v>673</v>
      </c>
      <c r="B198" s="249"/>
      <c r="C198" s="306"/>
      <c r="D198" s="256"/>
      <c r="E198" s="249"/>
      <c r="F198" s="586"/>
      <c r="G198" s="313"/>
      <c r="H198" s="240"/>
      <c r="I198" s="229"/>
      <c r="J198" s="229"/>
      <c r="K198" s="261"/>
      <c r="L198" s="248"/>
      <c r="M198" s="233"/>
      <c r="N198" s="248"/>
      <c r="O198" s="280"/>
      <c r="P198" s="289">
        <v>197</v>
      </c>
      <c r="Q198" s="264"/>
      <c r="R198" s="729">
        <v>0</v>
      </c>
      <c r="S198" s="747">
        <v>0</v>
      </c>
      <c r="T198" s="245">
        <v>0</v>
      </c>
      <c r="U198" s="507"/>
      <c r="V198" s="303"/>
      <c r="W198" s="410">
        <f t="shared" ref="W198" si="130">(V198*X198)</f>
        <v>0</v>
      </c>
      <c r="X198" s="743"/>
      <c r="Y198" s="694">
        <f t="shared" ref="Y198" si="131">IF(D198&lt;&gt;0,($C199*(1-$V$1))-$D198,0)</f>
        <v>0</v>
      </c>
      <c r="Z198" s="695" t="str">
        <f t="shared" ref="Z198:Z199" si="132">IFERROR(IF(C198&lt;&gt;"",$Y$1/(D196/100)*(C198/100),""),"")</f>
        <v/>
      </c>
      <c r="AA198" s="696" t="str">
        <f t="shared" ref="AA198:AA199" si="133">IFERROR($AA$1/(D198/100)*(C196/100),"")</f>
        <v/>
      </c>
    </row>
    <row r="199" spans="1:27" ht="12.75" customHeight="1">
      <c r="A199" s="599" t="s">
        <v>674</v>
      </c>
      <c r="B199" s="657"/>
      <c r="C199" s="239"/>
      <c r="D199" s="391"/>
      <c r="E199" s="665"/>
      <c r="F199" s="577"/>
      <c r="G199" s="312"/>
      <c r="H199" s="237"/>
      <c r="I199" s="228"/>
      <c r="J199" s="228"/>
      <c r="K199" s="258"/>
      <c r="L199" s="235"/>
      <c r="M199" s="232"/>
      <c r="N199" s="235"/>
      <c r="O199" s="279"/>
      <c r="P199" s="288">
        <v>198</v>
      </c>
      <c r="Q199" s="263"/>
      <c r="R199" s="718">
        <v>0</v>
      </c>
      <c r="S199" s="746">
        <v>0</v>
      </c>
      <c r="T199" s="246">
        <v>0</v>
      </c>
      <c r="U199" s="506"/>
      <c r="V199" s="302">
        <v>0</v>
      </c>
      <c r="W199" s="411">
        <f t="shared" ref="W199" si="134">V198*(F198/100)</f>
        <v>0</v>
      </c>
      <c r="X199" s="737"/>
      <c r="Y199" s="515" t="str">
        <f t="shared" ref="Y199" si="135">IFERROR(INT($AA$1/(F198/100)),"")</f>
        <v/>
      </c>
      <c r="Z199" s="697" t="str">
        <f t="shared" si="132"/>
        <v/>
      </c>
      <c r="AA199" s="698" t="str">
        <f t="shared" si="133"/>
        <v/>
      </c>
    </row>
    <row r="200" spans="1:27" ht="12.75" customHeight="1">
      <c r="A200" s="598" t="s">
        <v>671</v>
      </c>
      <c r="B200" s="249"/>
      <c r="C200" s="306"/>
      <c r="D200" s="256"/>
      <c r="E200" s="249"/>
      <c r="F200" s="586"/>
      <c r="G200" s="313"/>
      <c r="H200" s="240"/>
      <c r="I200" s="229"/>
      <c r="J200" s="229"/>
      <c r="K200" s="261"/>
      <c r="L200" s="248"/>
      <c r="M200" s="233"/>
      <c r="N200" s="248"/>
      <c r="O200" s="280"/>
      <c r="P200" s="289">
        <v>199</v>
      </c>
      <c r="Q200" s="264"/>
      <c r="R200" s="729">
        <v>0</v>
      </c>
      <c r="S200" s="747">
        <v>0</v>
      </c>
      <c r="T200" s="245">
        <v>0</v>
      </c>
      <c r="U200" s="507"/>
      <c r="V200" s="373"/>
      <c r="W200" s="412">
        <f t="shared" ref="W200" si="136">(V200*X200)</f>
        <v>0</v>
      </c>
      <c r="X200" s="739"/>
      <c r="Y200" s="699">
        <f t="shared" ref="Y200" si="137">IF(D200&lt;&gt;0,($C201*(1-$V$1))-$D200,0)</f>
        <v>0</v>
      </c>
      <c r="Z200" s="700" t="str">
        <f t="shared" ref="Z200:Z201" si="138">IFERROR(IF(C200&lt;&gt;"",$Y$1/(D196/100)*(C200/100),""),"")</f>
        <v/>
      </c>
      <c r="AA200" s="701" t="str">
        <f t="shared" ref="AA200:AA201" si="139">IFERROR($Z$1/(D200/100)*(C196/100),"")</f>
        <v/>
      </c>
    </row>
    <row r="201" spans="1:27" ht="12.75" customHeight="1">
      <c r="A201" s="758" t="s">
        <v>672</v>
      </c>
      <c r="B201" s="395"/>
      <c r="C201" s="359"/>
      <c r="D201" s="390"/>
      <c r="E201" s="660"/>
      <c r="F201" s="585"/>
      <c r="G201" s="370"/>
      <c r="H201" s="361"/>
      <c r="I201" s="362"/>
      <c r="J201" s="362"/>
      <c r="K201" s="371"/>
      <c r="L201" s="356"/>
      <c r="M201" s="364"/>
      <c r="N201" s="356"/>
      <c r="O201" s="357"/>
      <c r="P201" s="288">
        <v>200</v>
      </c>
      <c r="Q201" s="358"/>
      <c r="R201" s="726">
        <v>0</v>
      </c>
      <c r="S201" s="745">
        <v>0</v>
      </c>
      <c r="T201" s="366">
        <v>0</v>
      </c>
      <c r="U201" s="506"/>
      <c r="V201" s="374">
        <v>0</v>
      </c>
      <c r="W201" s="415">
        <f t="shared" ref="W201" si="140">V200*(C200/100)</f>
        <v>0</v>
      </c>
      <c r="X201" s="742"/>
      <c r="Y201" s="516" t="str">
        <f t="shared" ref="Y201" si="141">IFERROR(INT($Z$1/(F200/100)),"")</f>
        <v/>
      </c>
      <c r="Z201" s="702" t="str">
        <f t="shared" si="138"/>
        <v/>
      </c>
      <c r="AA201" s="703" t="str">
        <f t="shared" si="139"/>
        <v/>
      </c>
    </row>
  </sheetData>
  <sortState xmlns:xlrd2="http://schemas.microsoft.com/office/spreadsheetml/2017/richdata2" ref="A15">
    <sortCondition descending="1" ref="A14:A15"/>
  </sortState>
  <mergeCells count="15"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2214" priority="14737" operator="lessThan">
      <formula>0</formula>
    </cfRule>
  </conditionalFormatting>
  <conditionalFormatting sqref="Q60:T159">
    <cfRule type="cellIs" dxfId="2213" priority="14246" operator="equal">
      <formula>0</formula>
    </cfRule>
  </conditionalFormatting>
  <conditionalFormatting sqref="V60:V81 V2:V41">
    <cfRule type="cellIs" dxfId="2212" priority="14739" operator="lessThan">
      <formula>0</formula>
    </cfRule>
    <cfRule type="cellIs" dxfId="2211" priority="14740" operator="equal">
      <formula>0</formula>
    </cfRule>
  </conditionalFormatting>
  <conditionalFormatting sqref="Y66 Y68">
    <cfRule type="cellIs" dxfId="2210" priority="10342" operator="lessThanOrEqual">
      <formula>0</formula>
    </cfRule>
  </conditionalFormatting>
  <conditionalFormatting sqref="Z30:Z34 W62:X63 Z37:Z41">
    <cfRule type="cellIs" dxfId="2209" priority="14989" operator="equal">
      <formula>0</formula>
    </cfRule>
  </conditionalFormatting>
  <conditionalFormatting sqref="W65">
    <cfRule type="cellIs" dxfId="2208" priority="10296" operator="equal">
      <formula>0</formula>
    </cfRule>
  </conditionalFormatting>
  <conditionalFormatting sqref="W64">
    <cfRule type="cellIs" dxfId="2207" priority="5406" operator="equal">
      <formula>0</formula>
    </cfRule>
    <cfRule type="cellIs" dxfId="2206" priority="5408" operator="lessThan">
      <formula>W65</formula>
    </cfRule>
    <cfRule type="cellIs" dxfId="2205" priority="10295" operator="lessThan">
      <formula>0</formula>
    </cfRule>
  </conditionalFormatting>
  <conditionalFormatting sqref="W67">
    <cfRule type="cellIs" dxfId="2204" priority="10294" operator="equal">
      <formula>0</formula>
    </cfRule>
  </conditionalFormatting>
  <conditionalFormatting sqref="W66">
    <cfRule type="cellIs" dxfId="2203" priority="5404" operator="equal">
      <formula>0</formula>
    </cfRule>
    <cfRule type="cellIs" dxfId="2202" priority="5405" operator="lessThan">
      <formula>W67</formula>
    </cfRule>
    <cfRule type="cellIs" dxfId="2201" priority="10293" operator="lessThan">
      <formula>0</formula>
    </cfRule>
  </conditionalFormatting>
  <conditionalFormatting sqref="W68">
    <cfRule type="cellIs" dxfId="2200" priority="5403" operator="equal">
      <formula>0</formula>
    </cfRule>
    <cfRule type="cellIs" dxfId="2199" priority="5409" operator="lessThan">
      <formula>W69</formula>
    </cfRule>
  </conditionalFormatting>
  <conditionalFormatting sqref="Z2 Z6 Z10 Z14 Z18">
    <cfRule type="cellIs" dxfId="2198" priority="9963" operator="equal">
      <formula>0</formula>
    </cfRule>
  </conditionalFormatting>
  <conditionalFormatting sqref="Z3 Z7 Z11 Z15 Z19">
    <cfRule type="cellIs" dxfId="2197" priority="9962" operator="equal">
      <formula>0</formula>
    </cfRule>
  </conditionalFormatting>
  <conditionalFormatting sqref="Z4 Z8 Z12 Z16 Z20">
    <cfRule type="cellIs" dxfId="2196" priority="9961" operator="equal">
      <formula>0</formula>
    </cfRule>
  </conditionalFormatting>
  <conditionalFormatting sqref="Z5 Z9 Z13 Z17 Z21">
    <cfRule type="cellIs" dxfId="2195" priority="9960" operator="equal">
      <formula>0</formula>
    </cfRule>
  </conditionalFormatting>
  <conditionalFormatting sqref="G64:G69">
    <cfRule type="cellIs" dxfId="2194" priority="9095" operator="lessThan">
      <formula>0</formula>
    </cfRule>
  </conditionalFormatting>
  <conditionalFormatting sqref="G18">
    <cfRule type="cellIs" dxfId="2193" priority="9094" operator="equal">
      <formula>0</formula>
    </cfRule>
  </conditionalFormatting>
  <conditionalFormatting sqref="G19">
    <cfRule type="cellIs" dxfId="2192" priority="9093" operator="equal">
      <formula>0</formula>
    </cfRule>
  </conditionalFormatting>
  <conditionalFormatting sqref="G20">
    <cfRule type="cellIs" dxfId="2191" priority="9092" operator="equal">
      <formula>0</formula>
    </cfRule>
  </conditionalFormatting>
  <conditionalFormatting sqref="G21">
    <cfRule type="cellIs" dxfId="2190" priority="9091" operator="equal">
      <formula>0</formula>
    </cfRule>
  </conditionalFormatting>
  <conditionalFormatting sqref="G22">
    <cfRule type="cellIs" dxfId="2189" priority="9090" operator="equal">
      <formula>0</formula>
    </cfRule>
  </conditionalFormatting>
  <conditionalFormatting sqref="G23">
    <cfRule type="cellIs" dxfId="2188" priority="9089" operator="equal">
      <formula>0</formula>
    </cfRule>
  </conditionalFormatting>
  <conditionalFormatting sqref="G24">
    <cfRule type="cellIs" dxfId="2187" priority="9088" operator="equal">
      <formula>0</formula>
    </cfRule>
  </conditionalFormatting>
  <conditionalFormatting sqref="G25">
    <cfRule type="cellIs" dxfId="2186" priority="9087" operator="equal">
      <formula>0</formula>
    </cfRule>
  </conditionalFormatting>
  <conditionalFormatting sqref="G2">
    <cfRule type="cellIs" dxfId="2185" priority="9086" operator="equal">
      <formula>0</formula>
    </cfRule>
  </conditionalFormatting>
  <conditionalFormatting sqref="G3">
    <cfRule type="cellIs" dxfId="2184" priority="9085" operator="equal">
      <formula>0</formula>
    </cfRule>
  </conditionalFormatting>
  <conditionalFormatting sqref="G4">
    <cfRule type="cellIs" dxfId="2183" priority="9084" operator="equal">
      <formula>0</formula>
    </cfRule>
  </conditionalFormatting>
  <conditionalFormatting sqref="G5">
    <cfRule type="cellIs" dxfId="2182" priority="9083" operator="equal">
      <formula>0</formula>
    </cfRule>
  </conditionalFormatting>
  <conditionalFormatting sqref="G6">
    <cfRule type="cellIs" dxfId="2181" priority="9082" operator="equal">
      <formula>0</formula>
    </cfRule>
  </conditionalFormatting>
  <conditionalFormatting sqref="G7">
    <cfRule type="cellIs" dxfId="2180" priority="9081" operator="equal">
      <formula>0</formula>
    </cfRule>
  </conditionalFormatting>
  <conditionalFormatting sqref="G8">
    <cfRule type="cellIs" dxfId="2179" priority="9080" operator="equal">
      <formula>0</formula>
    </cfRule>
  </conditionalFormatting>
  <conditionalFormatting sqref="G9">
    <cfRule type="cellIs" dxfId="2178" priority="9079" operator="equal">
      <formula>0</formula>
    </cfRule>
  </conditionalFormatting>
  <conditionalFormatting sqref="G10">
    <cfRule type="cellIs" dxfId="2177" priority="9078" operator="equal">
      <formula>0</formula>
    </cfRule>
  </conditionalFormatting>
  <conditionalFormatting sqref="G11">
    <cfRule type="cellIs" dxfId="2176" priority="9077" operator="equal">
      <formula>0</formula>
    </cfRule>
  </conditionalFormatting>
  <conditionalFormatting sqref="G12">
    <cfRule type="cellIs" dxfId="2175" priority="9076" operator="equal">
      <formula>0</formula>
    </cfRule>
  </conditionalFormatting>
  <conditionalFormatting sqref="G13">
    <cfRule type="cellIs" dxfId="2174" priority="9075" operator="equal">
      <formula>0</formula>
    </cfRule>
  </conditionalFormatting>
  <conditionalFormatting sqref="G14 G26">
    <cfRule type="cellIs" dxfId="2173" priority="9074" operator="equal">
      <formula>0</formula>
    </cfRule>
  </conditionalFormatting>
  <conditionalFormatting sqref="G15 G27">
    <cfRule type="cellIs" dxfId="2172" priority="9073" operator="equal">
      <formula>0</formula>
    </cfRule>
  </conditionalFormatting>
  <conditionalFormatting sqref="G16 G28">
    <cfRule type="cellIs" dxfId="2171" priority="9072" operator="equal">
      <formula>0</formula>
    </cfRule>
  </conditionalFormatting>
  <conditionalFormatting sqref="G17:G25 G29">
    <cfRule type="cellIs" dxfId="2170" priority="9071" operator="equal">
      <formula>0</formula>
    </cfRule>
  </conditionalFormatting>
  <conditionalFormatting sqref="Y3">
    <cfRule type="cellIs" dxfId="2169" priority="9016" operator="equal">
      <formula>0</formula>
    </cfRule>
  </conditionalFormatting>
  <conditionalFormatting sqref="Y4">
    <cfRule type="cellIs" dxfId="2168" priority="9015" operator="equal">
      <formula>0</formula>
    </cfRule>
  </conditionalFormatting>
  <conditionalFormatting sqref="Y7">
    <cfRule type="cellIs" dxfId="2167" priority="9010" operator="equal">
      <formula>0</formula>
    </cfRule>
  </conditionalFormatting>
  <conditionalFormatting sqref="Y8">
    <cfRule type="cellIs" dxfId="2166" priority="9009" operator="equal">
      <formula>0</formula>
    </cfRule>
  </conditionalFormatting>
  <conditionalFormatting sqref="Y11 Y15 Y19">
    <cfRule type="cellIs" dxfId="2165" priority="9004" operator="equal">
      <formula>0</formula>
    </cfRule>
  </conditionalFormatting>
  <conditionalFormatting sqref="Y12 Y16 Y20">
    <cfRule type="cellIs" dxfId="2164" priority="9003" operator="equal">
      <formula>0</formula>
    </cfRule>
  </conditionalFormatting>
  <conditionalFormatting sqref="B2 B6 B10 B14">
    <cfRule type="expression" dxfId="2163" priority="18201">
      <formula>IF($Y5&gt;$Y2,AND(MID($A2,5,1)=" "))</formula>
    </cfRule>
    <cfRule type="expression" dxfId="2162" priority="18202">
      <formula>IF($Y5&gt;$Y2,AND(MID($A2,5,1)="C"))</formula>
    </cfRule>
    <cfRule type="expression" dxfId="2161" priority="18203">
      <formula>IF($Y5&gt;$Y2,AND(MID($A2,5,1)="D"))</formula>
    </cfRule>
  </conditionalFormatting>
  <conditionalFormatting sqref="E3 E7 E11 E15">
    <cfRule type="expression" dxfId="2160" priority="18216">
      <formula>IF($Y5&gt;$Y2,AND(MID($A3,5,1)=" "))</formula>
    </cfRule>
    <cfRule type="expression" dxfId="2159" priority="18217">
      <formula>IF($Y5&gt;$Y2,AND(MID($A3,5,1)="C"))</formula>
    </cfRule>
    <cfRule type="expression" dxfId="2158" priority="18218">
      <formula>IF($Y5&gt;$Y2,AND(MID($A3,5,1)="D"))</formula>
    </cfRule>
  </conditionalFormatting>
  <conditionalFormatting sqref="B4 B8 B16">
    <cfRule type="expression" dxfId="2157" priority="18231">
      <formula>IF($Y5&gt;$Y2,AND(MID($A4,5,1)=" "))</formula>
    </cfRule>
    <cfRule type="expression" dxfId="2156" priority="18232">
      <formula>IF($Y5&gt;$Y2,AND(MID($A4,5,1)="C"))</formula>
    </cfRule>
    <cfRule type="expression" dxfId="2155" priority="18233">
      <formula>IF($Y5&gt;$Y2,AND(MID($A4,5,1)="D"))</formula>
    </cfRule>
  </conditionalFormatting>
  <conditionalFormatting sqref="E5 E9 E13 E17">
    <cfRule type="expression" dxfId="2154" priority="18246">
      <formula>IF($Y5&gt;$Y2,AND(MID($A5,5,1)=" "))</formula>
    </cfRule>
    <cfRule type="expression" dxfId="2153" priority="18247">
      <formula>IF($Y5&gt;$Y2,AND(MID($A5,5,1)="C"))</formula>
    </cfRule>
    <cfRule type="expression" dxfId="2152" priority="18248">
      <formula>IF($Y5&gt;$Y2,AND(MID($A5,5,1)="D"))</formula>
    </cfRule>
  </conditionalFormatting>
  <conditionalFormatting sqref="C2 C6 C10 C14">
    <cfRule type="expression" dxfId="2151" priority="18261">
      <formula>IF($Y5&gt;$Y2,AND(MID($A2,5,1)=" "))</formula>
    </cfRule>
    <cfRule type="expression" dxfId="2150" priority="18262">
      <formula>IF($Y5&gt;$Y2,AND(MID($A2,5,1)="C"))</formula>
    </cfRule>
    <cfRule type="expression" dxfId="2149" priority="18263">
      <formula>IF($Y5&gt;$Y2,AND(MID($A2,5,1)="D"))</formula>
    </cfRule>
  </conditionalFormatting>
  <conditionalFormatting sqref="D3 D7 D11 D15">
    <cfRule type="expression" dxfId="2148" priority="18276">
      <formula>IF($Y5&gt;$Y2,AND(MID($A3,5,1)=" "))</formula>
    </cfRule>
    <cfRule type="expression" dxfId="2147" priority="18277">
      <formula>IF($Y5&gt;$Y2,AND(MID($A3,5,1)="C"))</formula>
    </cfRule>
    <cfRule type="expression" dxfId="2146" priority="18278">
      <formula>IF($Y5&gt;$Y2,AND(MID($A3,5,1)="D"))</formula>
    </cfRule>
  </conditionalFormatting>
  <conditionalFormatting sqref="D5 D9 D13 D17">
    <cfRule type="expression" dxfId="2145" priority="18291">
      <formula>IF($Y5&gt;$Y2,AND(MID($A5,5,1)=" "))</formula>
    </cfRule>
    <cfRule type="expression" dxfId="2144" priority="18292">
      <formula>IF($Y5&gt;$Y2,AND(MID($A5,5,1)="C"))</formula>
    </cfRule>
    <cfRule type="expression" dxfId="2143" priority="18293">
      <formula>IF($Y5&gt;$Y2,AND(MID($A5,5,1)="D"))</formula>
    </cfRule>
  </conditionalFormatting>
  <conditionalFormatting sqref="C4 C8 C16">
    <cfRule type="expression" dxfId="2142" priority="18306">
      <formula>IF($Y5&gt;$Y2,AND(MID($A4,5,1)=" "))</formula>
    </cfRule>
    <cfRule type="expression" dxfId="2141" priority="18307">
      <formula>IF($Y5&gt;$Y2,AND(MID($A4,5,1)="C"))</formula>
    </cfRule>
    <cfRule type="expression" dxfId="2140" priority="18308">
      <formula>IF($Y5&gt;$Y2,AND(MID($A4,5,1)="D"))</formula>
    </cfRule>
  </conditionalFormatting>
  <conditionalFormatting sqref="G160:G201">
    <cfRule type="cellIs" dxfId="2139" priority="8162" operator="lessThan">
      <formula>0</formula>
    </cfRule>
  </conditionalFormatting>
  <conditionalFormatting sqref="Q160:T201">
    <cfRule type="cellIs" dxfId="2138" priority="8159" operator="equal">
      <formula>0</formula>
    </cfRule>
  </conditionalFormatting>
  <conditionalFormatting sqref="Z66">
    <cfRule type="cellIs" dxfId="2137" priority="8136" operator="equal">
      <formula>0</formula>
    </cfRule>
  </conditionalFormatting>
  <conditionalFormatting sqref="AA66">
    <cfRule type="cellIs" dxfId="2136" priority="8135" operator="equal">
      <formula>0</formula>
    </cfRule>
  </conditionalFormatting>
  <conditionalFormatting sqref="Z67 Z69">
    <cfRule type="cellIs" dxfId="2135" priority="8133" operator="equal">
      <formula>0</formula>
    </cfRule>
  </conditionalFormatting>
  <conditionalFormatting sqref="AA67:AA69">
    <cfRule type="cellIs" dxfId="2134" priority="8132" operator="equal">
      <formula>0</formula>
    </cfRule>
  </conditionalFormatting>
  <conditionalFormatting sqref="Z72">
    <cfRule type="cellIs" dxfId="2133" priority="8131" operator="equal">
      <formula>0</formula>
    </cfRule>
  </conditionalFormatting>
  <conditionalFormatting sqref="AA72">
    <cfRule type="cellIs" dxfId="2132" priority="8130" operator="equal">
      <formula>0</formula>
    </cfRule>
  </conditionalFormatting>
  <conditionalFormatting sqref="Z73:Z75">
    <cfRule type="cellIs" dxfId="2131" priority="8128" operator="equal">
      <formula>0</formula>
    </cfRule>
  </conditionalFormatting>
  <conditionalFormatting sqref="AA73:AA75">
    <cfRule type="cellIs" dxfId="2130" priority="8127" operator="equal">
      <formula>0</formula>
    </cfRule>
  </conditionalFormatting>
  <conditionalFormatting sqref="Z78">
    <cfRule type="cellIs" dxfId="2129" priority="8126" operator="equal">
      <formula>0</formula>
    </cfRule>
  </conditionalFormatting>
  <conditionalFormatting sqref="AA78">
    <cfRule type="cellIs" dxfId="2128" priority="8125" operator="equal">
      <formula>0</formula>
    </cfRule>
  </conditionalFormatting>
  <conditionalFormatting sqref="Z79:Z81">
    <cfRule type="cellIs" dxfId="2127" priority="8123" operator="equal">
      <formula>0</formula>
    </cfRule>
  </conditionalFormatting>
  <conditionalFormatting sqref="AA79:AA81">
    <cfRule type="cellIs" dxfId="2126" priority="8122" operator="equal">
      <formula>0</formula>
    </cfRule>
  </conditionalFormatting>
  <conditionalFormatting sqref="Z84">
    <cfRule type="cellIs" dxfId="2125" priority="8121" operator="equal">
      <formula>0</formula>
    </cfRule>
  </conditionalFormatting>
  <conditionalFormatting sqref="AA84">
    <cfRule type="cellIs" dxfId="2124" priority="8120" operator="equal">
      <formula>0</formula>
    </cfRule>
  </conditionalFormatting>
  <conditionalFormatting sqref="Z85:Z87">
    <cfRule type="cellIs" dxfId="2123" priority="8118" operator="equal">
      <formula>0</formula>
    </cfRule>
  </conditionalFormatting>
  <conditionalFormatting sqref="AA85:AA87">
    <cfRule type="cellIs" dxfId="2122" priority="8117" operator="equal">
      <formula>0</formula>
    </cfRule>
  </conditionalFormatting>
  <conditionalFormatting sqref="Z90">
    <cfRule type="cellIs" dxfId="2121" priority="8116" operator="equal">
      <formula>0</formula>
    </cfRule>
  </conditionalFormatting>
  <conditionalFormatting sqref="AA90">
    <cfRule type="cellIs" dxfId="2120" priority="8115" operator="equal">
      <formula>0</formula>
    </cfRule>
  </conditionalFormatting>
  <conditionalFormatting sqref="Z91:Z93">
    <cfRule type="cellIs" dxfId="2119" priority="8113" operator="equal">
      <formula>0</formula>
    </cfRule>
  </conditionalFormatting>
  <conditionalFormatting sqref="AA91:AA93">
    <cfRule type="cellIs" dxfId="2118" priority="8112" operator="equal">
      <formula>0</formula>
    </cfRule>
  </conditionalFormatting>
  <conditionalFormatting sqref="Z96">
    <cfRule type="cellIs" dxfId="2117" priority="8111" operator="equal">
      <formula>0</formula>
    </cfRule>
  </conditionalFormatting>
  <conditionalFormatting sqref="AA96">
    <cfRule type="cellIs" dxfId="2116" priority="8110" operator="equal">
      <formula>0</formula>
    </cfRule>
  </conditionalFormatting>
  <conditionalFormatting sqref="Z97:Z99">
    <cfRule type="cellIs" dxfId="2115" priority="8108" operator="equal">
      <formula>0</formula>
    </cfRule>
  </conditionalFormatting>
  <conditionalFormatting sqref="AA97:AA99">
    <cfRule type="cellIs" dxfId="2114" priority="8107" operator="equal">
      <formula>0</formula>
    </cfRule>
  </conditionalFormatting>
  <conditionalFormatting sqref="Z102">
    <cfRule type="cellIs" dxfId="2113" priority="8106" operator="equal">
      <formula>0</formula>
    </cfRule>
  </conditionalFormatting>
  <conditionalFormatting sqref="AA102">
    <cfRule type="cellIs" dxfId="2112" priority="8105" operator="equal">
      <formula>0</formula>
    </cfRule>
  </conditionalFormatting>
  <conditionalFormatting sqref="Z103:Z105">
    <cfRule type="cellIs" dxfId="2111" priority="8103" operator="equal">
      <formula>0</formula>
    </cfRule>
  </conditionalFormatting>
  <conditionalFormatting sqref="AA103:AA105">
    <cfRule type="cellIs" dxfId="2110" priority="8102" operator="equal">
      <formula>0</formula>
    </cfRule>
  </conditionalFormatting>
  <conditionalFormatting sqref="Z108">
    <cfRule type="cellIs" dxfId="2109" priority="8101" operator="equal">
      <formula>0</formula>
    </cfRule>
  </conditionalFormatting>
  <conditionalFormatting sqref="AA108">
    <cfRule type="cellIs" dxfId="2108" priority="8100" operator="equal">
      <formula>0</formula>
    </cfRule>
  </conditionalFormatting>
  <conditionalFormatting sqref="Z109:Z111">
    <cfRule type="cellIs" dxfId="2107" priority="8098" operator="equal">
      <formula>0</formula>
    </cfRule>
  </conditionalFormatting>
  <conditionalFormatting sqref="AA109:AA111">
    <cfRule type="cellIs" dxfId="2106" priority="8097" operator="equal">
      <formula>0</formula>
    </cfRule>
  </conditionalFormatting>
  <conditionalFormatting sqref="Z114">
    <cfRule type="cellIs" dxfId="2105" priority="8096" operator="equal">
      <formula>0</formula>
    </cfRule>
  </conditionalFormatting>
  <conditionalFormatting sqref="AA114">
    <cfRule type="cellIs" dxfId="2104" priority="8095" operator="equal">
      <formula>0</formula>
    </cfRule>
  </conditionalFormatting>
  <conditionalFormatting sqref="Z138">
    <cfRule type="cellIs" dxfId="2103" priority="8076" operator="equal">
      <formula>0</formula>
    </cfRule>
  </conditionalFormatting>
  <conditionalFormatting sqref="Z115:Z117">
    <cfRule type="cellIs" dxfId="2102" priority="8093" operator="equal">
      <formula>0</formula>
    </cfRule>
  </conditionalFormatting>
  <conditionalFormatting sqref="AA115:AA117">
    <cfRule type="cellIs" dxfId="2101" priority="8092" operator="equal">
      <formula>0</formula>
    </cfRule>
  </conditionalFormatting>
  <conditionalFormatting sqref="Z120">
    <cfRule type="cellIs" dxfId="2100" priority="8091" operator="equal">
      <formula>0</formula>
    </cfRule>
  </conditionalFormatting>
  <conditionalFormatting sqref="AA120">
    <cfRule type="cellIs" dxfId="2099" priority="8090" operator="equal">
      <formula>0</formula>
    </cfRule>
  </conditionalFormatting>
  <conditionalFormatting sqref="Z139:Z141">
    <cfRule type="cellIs" dxfId="2098" priority="8073" operator="equal">
      <formula>0</formula>
    </cfRule>
  </conditionalFormatting>
  <conditionalFormatting sqref="Z121:Z123">
    <cfRule type="cellIs" dxfId="2097" priority="8088" operator="equal">
      <formula>0</formula>
    </cfRule>
  </conditionalFormatting>
  <conditionalFormatting sqref="AA121:AA123">
    <cfRule type="cellIs" dxfId="2096" priority="8087" operator="equal">
      <formula>0</formula>
    </cfRule>
  </conditionalFormatting>
  <conditionalFormatting sqref="Z126">
    <cfRule type="cellIs" dxfId="2095" priority="8086" operator="equal">
      <formula>0</formula>
    </cfRule>
  </conditionalFormatting>
  <conditionalFormatting sqref="AA126">
    <cfRule type="cellIs" dxfId="2094" priority="8085" operator="equal">
      <formula>0</formula>
    </cfRule>
  </conditionalFormatting>
  <conditionalFormatting sqref="AA144">
    <cfRule type="cellIs" dxfId="2093" priority="8070" operator="equal">
      <formula>0</formula>
    </cfRule>
  </conditionalFormatting>
  <conditionalFormatting sqref="Z127:Z129">
    <cfRule type="cellIs" dxfId="2092" priority="8083" operator="equal">
      <formula>0</formula>
    </cfRule>
  </conditionalFormatting>
  <conditionalFormatting sqref="AA127:AA129">
    <cfRule type="cellIs" dxfId="2091" priority="8082" operator="equal">
      <formula>0</formula>
    </cfRule>
  </conditionalFormatting>
  <conditionalFormatting sqref="Z132">
    <cfRule type="cellIs" dxfId="2090" priority="8081" operator="equal">
      <formula>0</formula>
    </cfRule>
  </conditionalFormatting>
  <conditionalFormatting sqref="AA132">
    <cfRule type="cellIs" dxfId="2089" priority="8080" operator="equal">
      <formula>0</formula>
    </cfRule>
  </conditionalFormatting>
  <conditionalFormatting sqref="AA145:AA147">
    <cfRule type="cellIs" dxfId="2088" priority="8067" operator="equal">
      <formula>0</formula>
    </cfRule>
  </conditionalFormatting>
  <conditionalFormatting sqref="Z133:Z135">
    <cfRule type="cellIs" dxfId="2087" priority="8078" operator="equal">
      <formula>0</formula>
    </cfRule>
  </conditionalFormatting>
  <conditionalFormatting sqref="AA133:AA135">
    <cfRule type="cellIs" dxfId="2086" priority="8077" operator="equal">
      <formula>0</formula>
    </cfRule>
  </conditionalFormatting>
  <conditionalFormatting sqref="AA138">
    <cfRule type="cellIs" dxfId="2085" priority="8075" operator="equal">
      <formula>0</formula>
    </cfRule>
  </conditionalFormatting>
  <conditionalFormatting sqref="AA139:AA141">
    <cfRule type="cellIs" dxfId="2084" priority="8072" operator="equal">
      <formula>0</formula>
    </cfRule>
  </conditionalFormatting>
  <conditionalFormatting sqref="Z144">
    <cfRule type="cellIs" dxfId="2083" priority="8071" operator="equal">
      <formula>0</formula>
    </cfRule>
  </conditionalFormatting>
  <conditionalFormatting sqref="Z156">
    <cfRule type="cellIs" dxfId="2082" priority="8061" operator="equal">
      <formula>0</formula>
    </cfRule>
  </conditionalFormatting>
  <conditionalFormatting sqref="Z145:Z147">
    <cfRule type="cellIs" dxfId="2081" priority="8068" operator="equal">
      <formula>0</formula>
    </cfRule>
  </conditionalFormatting>
  <conditionalFormatting sqref="Z150">
    <cfRule type="cellIs" dxfId="2080" priority="8066" operator="equal">
      <formula>0</formula>
    </cfRule>
  </conditionalFormatting>
  <conditionalFormatting sqref="AA150">
    <cfRule type="cellIs" dxfId="2079" priority="8065" operator="equal">
      <formula>0</formula>
    </cfRule>
  </conditionalFormatting>
  <conditionalFormatting sqref="Z157:Z159">
    <cfRule type="cellIs" dxfId="2078" priority="8058" operator="equal">
      <formula>0</formula>
    </cfRule>
  </conditionalFormatting>
  <conditionalFormatting sqref="Z151:Z153">
    <cfRule type="cellIs" dxfId="2077" priority="8063" operator="equal">
      <formula>0</formula>
    </cfRule>
  </conditionalFormatting>
  <conditionalFormatting sqref="AA151:AA153">
    <cfRule type="cellIs" dxfId="2076" priority="8062" operator="equal">
      <formula>0</formula>
    </cfRule>
  </conditionalFormatting>
  <conditionalFormatting sqref="AA156">
    <cfRule type="cellIs" dxfId="2075" priority="8060" operator="equal">
      <formula>0</formula>
    </cfRule>
  </conditionalFormatting>
  <conditionalFormatting sqref="AA162 AA168 AA174 AA180 AA186 AA192 AA198">
    <cfRule type="cellIs" dxfId="2074" priority="8055" operator="equal">
      <formula>0</formula>
    </cfRule>
  </conditionalFormatting>
  <conditionalFormatting sqref="AA157:AA159">
    <cfRule type="cellIs" dxfId="2073" priority="8057" operator="equal">
      <formula>0</formula>
    </cfRule>
  </conditionalFormatting>
  <conditionalFormatting sqref="Z162 Z168 Z174 Z180 Z186 Z192 Z198">
    <cfRule type="cellIs" dxfId="2072" priority="8056" operator="equal">
      <formula>0</formula>
    </cfRule>
  </conditionalFormatting>
  <conditionalFormatting sqref="AA163:AA165 AA169:AA171 AA175:AA177 AA181:AA183 AA187:AA189 AA193:AA195 AA199:AA201">
    <cfRule type="cellIs" dxfId="2071" priority="8052" operator="equal">
      <formula>0</formula>
    </cfRule>
  </conditionalFormatting>
  <conditionalFormatting sqref="Z163:Z165 Z169:Z171 Z175:Z177 Z181:Z183 Z187:Z189 Z193:Z195 Z199:Z201">
    <cfRule type="cellIs" dxfId="2070" priority="8053" operator="equal">
      <formula>0</formula>
    </cfRule>
  </conditionalFormatting>
  <conditionalFormatting sqref="AA74 AA68 AA80 AA86 AA92 AA98 AA104 AA110 AA116 AA122 AA128 AA134 AA140 AA146 AA152 AA158 AA164 AA170 AA176 AA182 AA188 AA194 AA200">
    <cfRule type="colorScale" priority="8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069" priority="8046" operator="equal">
      <formula>0</formula>
    </cfRule>
  </conditionalFormatting>
  <conditionalFormatting sqref="Y62">
    <cfRule type="cellIs" dxfId="2068" priority="7823" operator="greaterThan">
      <formula>Z62</formula>
    </cfRule>
    <cfRule type="cellIs" dxfId="2067" priority="7824" operator="lessThanOrEqual">
      <formula>0</formula>
    </cfRule>
  </conditionalFormatting>
  <conditionalFormatting sqref="W69">
    <cfRule type="cellIs" dxfId="2066" priority="5391" operator="equal">
      <formula>0</formula>
    </cfRule>
    <cfRule type="cellIs" dxfId="2065" priority="6868" operator="greaterThan">
      <formula>W68</formula>
    </cfRule>
  </conditionalFormatting>
  <conditionalFormatting sqref="Y67">
    <cfRule type="cellIs" dxfId="2064" priority="5531" operator="equal">
      <formula>0</formula>
    </cfRule>
  </conditionalFormatting>
  <conditionalFormatting sqref="Y69">
    <cfRule type="cellIs" dxfId="2063" priority="5530" operator="equal">
      <formula>0</formula>
    </cfRule>
  </conditionalFormatting>
  <conditionalFormatting sqref="W71">
    <cfRule type="cellIs" dxfId="2062" priority="4952" operator="lessThan">
      <formula>W70</formula>
    </cfRule>
    <cfRule type="cellIs" dxfId="2061" priority="5378" operator="equal">
      <formula>0</formula>
    </cfRule>
  </conditionalFormatting>
  <conditionalFormatting sqref="W70">
    <cfRule type="cellIs" dxfId="2060" priority="4953" operator="lessThan">
      <formula>W71</formula>
    </cfRule>
    <cfRule type="cellIs" dxfId="2059" priority="5371" operator="equal">
      <formula>0</formula>
    </cfRule>
    <cfRule type="cellIs" dxfId="2058" priority="5372" operator="lessThan">
      <formula>W71</formula>
    </cfRule>
    <cfRule type="cellIs" dxfId="2057" priority="5377" operator="lessThan">
      <formula>0</formula>
    </cfRule>
  </conditionalFormatting>
  <conditionalFormatting sqref="W73">
    <cfRule type="cellIs" dxfId="2056" priority="5376" operator="equal">
      <formula>0</formula>
    </cfRule>
  </conditionalFormatting>
  <conditionalFormatting sqref="W72">
    <cfRule type="cellIs" dxfId="2055" priority="5369" operator="equal">
      <formula>0</formula>
    </cfRule>
    <cfRule type="cellIs" dxfId="2054" priority="5370" operator="lessThan">
      <formula>W73</formula>
    </cfRule>
    <cfRule type="cellIs" dxfId="2053" priority="5375" operator="lessThan">
      <formula>0</formula>
    </cfRule>
  </conditionalFormatting>
  <conditionalFormatting sqref="W74">
    <cfRule type="cellIs" dxfId="2052" priority="5368" operator="equal">
      <formula>0</formula>
    </cfRule>
    <cfRule type="cellIs" dxfId="2051" priority="5373" operator="lessThan">
      <formula>W75</formula>
    </cfRule>
  </conditionalFormatting>
  <conditionalFormatting sqref="W79">
    <cfRule type="cellIs" dxfId="2050" priority="5364" operator="equal">
      <formula>0</formula>
    </cfRule>
  </conditionalFormatting>
  <conditionalFormatting sqref="W78">
    <cfRule type="cellIs" dxfId="2049" priority="5357" operator="equal">
      <formula>0</formula>
    </cfRule>
    <cfRule type="cellIs" dxfId="2048" priority="5358" operator="lessThan">
      <formula>W79</formula>
    </cfRule>
    <cfRule type="cellIs" dxfId="2047" priority="5363" operator="lessThan">
      <formula>0</formula>
    </cfRule>
  </conditionalFormatting>
  <conditionalFormatting sqref="W80">
    <cfRule type="cellIs" dxfId="2046" priority="5356" operator="equal">
      <formula>0</formula>
    </cfRule>
    <cfRule type="cellIs" dxfId="2045" priority="5361" operator="lessThan">
      <formula>W81</formula>
    </cfRule>
  </conditionalFormatting>
  <conditionalFormatting sqref="W85">
    <cfRule type="cellIs" dxfId="2044" priority="5352" operator="equal">
      <formula>0</formula>
    </cfRule>
  </conditionalFormatting>
  <conditionalFormatting sqref="W84">
    <cfRule type="cellIs" dxfId="2043" priority="5345" operator="equal">
      <formula>0</formula>
    </cfRule>
    <cfRule type="cellIs" dxfId="2042" priority="5346" operator="lessThan">
      <formula>W85</formula>
    </cfRule>
    <cfRule type="cellIs" dxfId="2041" priority="5351" operator="lessThan">
      <formula>0</formula>
    </cfRule>
  </conditionalFormatting>
  <conditionalFormatting sqref="W86">
    <cfRule type="cellIs" dxfId="2040" priority="5344" operator="equal">
      <formula>0</formula>
    </cfRule>
    <cfRule type="cellIs" dxfId="2039" priority="5349" operator="lessThan">
      <formula>W87</formula>
    </cfRule>
  </conditionalFormatting>
  <conditionalFormatting sqref="W87">
    <cfRule type="cellIs" dxfId="2038" priority="5343" operator="equal">
      <formula>0</formula>
    </cfRule>
    <cfRule type="cellIs" dxfId="2037" priority="5350" operator="greaterThan">
      <formula>W86</formula>
    </cfRule>
  </conditionalFormatting>
  <conditionalFormatting sqref="W91">
    <cfRule type="cellIs" dxfId="2036" priority="5340" operator="equal">
      <formula>0</formula>
    </cfRule>
  </conditionalFormatting>
  <conditionalFormatting sqref="W90">
    <cfRule type="cellIs" dxfId="2035" priority="5333" operator="equal">
      <formula>0</formula>
    </cfRule>
    <cfRule type="cellIs" dxfId="2034" priority="5334" operator="lessThan">
      <formula>W91</formula>
    </cfRule>
    <cfRule type="cellIs" dxfId="2033" priority="5339" operator="lessThan">
      <formula>0</formula>
    </cfRule>
  </conditionalFormatting>
  <conditionalFormatting sqref="W92">
    <cfRule type="cellIs" dxfId="2032" priority="5332" operator="equal">
      <formula>0</formula>
    </cfRule>
    <cfRule type="cellIs" dxfId="2031" priority="5337" operator="lessThan">
      <formula>W93</formula>
    </cfRule>
  </conditionalFormatting>
  <conditionalFormatting sqref="W93">
    <cfRule type="cellIs" dxfId="2030" priority="5331" operator="equal">
      <formula>0</formula>
    </cfRule>
    <cfRule type="cellIs" dxfId="2029" priority="5338" operator="greaterThan">
      <formula>W92</formula>
    </cfRule>
  </conditionalFormatting>
  <conditionalFormatting sqref="W97">
    <cfRule type="cellIs" dxfId="2028" priority="5328" operator="equal">
      <formula>0</formula>
    </cfRule>
  </conditionalFormatting>
  <conditionalFormatting sqref="W96">
    <cfRule type="cellIs" dxfId="2027" priority="5321" operator="equal">
      <formula>0</formula>
    </cfRule>
    <cfRule type="cellIs" dxfId="2026" priority="5322" operator="lessThan">
      <formula>W97</formula>
    </cfRule>
    <cfRule type="cellIs" dxfId="2025" priority="5327" operator="lessThan">
      <formula>0</formula>
    </cfRule>
  </conditionalFormatting>
  <conditionalFormatting sqref="W98">
    <cfRule type="cellIs" dxfId="2024" priority="5320" operator="equal">
      <formula>0</formula>
    </cfRule>
    <cfRule type="cellIs" dxfId="2023" priority="5325" operator="lessThan">
      <formula>W99</formula>
    </cfRule>
  </conditionalFormatting>
  <conditionalFormatting sqref="W99">
    <cfRule type="cellIs" dxfId="2022" priority="5319" operator="equal">
      <formula>0</formula>
    </cfRule>
    <cfRule type="cellIs" dxfId="2021" priority="5326" operator="greaterThan">
      <formula>W98</formula>
    </cfRule>
  </conditionalFormatting>
  <conditionalFormatting sqref="W103">
    <cfRule type="cellIs" dxfId="2020" priority="5316" operator="equal">
      <formula>0</formula>
    </cfRule>
  </conditionalFormatting>
  <conditionalFormatting sqref="W102">
    <cfRule type="cellIs" dxfId="2019" priority="5309" operator="equal">
      <formula>0</formula>
    </cfRule>
    <cfRule type="cellIs" dxfId="2018" priority="5310" operator="lessThan">
      <formula>W103</formula>
    </cfRule>
    <cfRule type="cellIs" dxfId="2017" priority="5315" operator="lessThan">
      <formula>0</formula>
    </cfRule>
  </conditionalFormatting>
  <conditionalFormatting sqref="W104">
    <cfRule type="cellIs" dxfId="2016" priority="5308" operator="equal">
      <formula>0</formula>
    </cfRule>
    <cfRule type="cellIs" dxfId="2015" priority="5313" operator="lessThan">
      <formula>W105</formula>
    </cfRule>
  </conditionalFormatting>
  <conditionalFormatting sqref="W105">
    <cfRule type="cellIs" dxfId="2014" priority="5307" operator="equal">
      <formula>0</formula>
    </cfRule>
    <cfRule type="cellIs" dxfId="2013" priority="5314" operator="greaterThan">
      <formula>W104</formula>
    </cfRule>
  </conditionalFormatting>
  <conditionalFormatting sqref="W109">
    <cfRule type="cellIs" dxfId="2012" priority="5304" operator="equal">
      <formula>0</formula>
    </cfRule>
  </conditionalFormatting>
  <conditionalFormatting sqref="W108">
    <cfRule type="cellIs" dxfId="2011" priority="5297" operator="equal">
      <formula>0</formula>
    </cfRule>
    <cfRule type="cellIs" dxfId="2010" priority="5298" operator="lessThan">
      <formula>W109</formula>
    </cfRule>
    <cfRule type="cellIs" dxfId="2009" priority="5303" operator="lessThan">
      <formula>0</formula>
    </cfRule>
  </conditionalFormatting>
  <conditionalFormatting sqref="W110">
    <cfRule type="cellIs" dxfId="2008" priority="5296" operator="equal">
      <formula>0</formula>
    </cfRule>
    <cfRule type="cellIs" dxfId="2007" priority="5301" operator="lessThan">
      <formula>W111</formula>
    </cfRule>
  </conditionalFormatting>
  <conditionalFormatting sqref="W111">
    <cfRule type="cellIs" dxfId="2006" priority="5295" operator="equal">
      <formula>0</formula>
    </cfRule>
    <cfRule type="cellIs" dxfId="2005" priority="5302" operator="greaterThan">
      <formula>W110</formula>
    </cfRule>
  </conditionalFormatting>
  <conditionalFormatting sqref="W115">
    <cfRule type="cellIs" dxfId="2004" priority="5292" operator="equal">
      <formula>0</formula>
    </cfRule>
  </conditionalFormatting>
  <conditionalFormatting sqref="W114">
    <cfRule type="cellIs" dxfId="2003" priority="5285" operator="equal">
      <formula>0</formula>
    </cfRule>
    <cfRule type="cellIs" dxfId="2002" priority="5286" operator="lessThan">
      <formula>W115</formula>
    </cfRule>
    <cfRule type="cellIs" dxfId="2001" priority="5291" operator="lessThan">
      <formula>0</formula>
    </cfRule>
  </conditionalFormatting>
  <conditionalFormatting sqref="W116">
    <cfRule type="cellIs" dxfId="2000" priority="5284" operator="equal">
      <formula>0</formula>
    </cfRule>
    <cfRule type="cellIs" dxfId="1999" priority="5289" operator="lessThan">
      <formula>W117</formula>
    </cfRule>
  </conditionalFormatting>
  <conditionalFormatting sqref="W117">
    <cfRule type="cellIs" dxfId="1998" priority="5283" operator="equal">
      <formula>0</formula>
    </cfRule>
    <cfRule type="cellIs" dxfId="1997" priority="5290" operator="greaterThan">
      <formula>W116</formula>
    </cfRule>
  </conditionalFormatting>
  <conditionalFormatting sqref="W121">
    <cfRule type="cellIs" dxfId="1996" priority="5280" operator="equal">
      <formula>0</formula>
    </cfRule>
  </conditionalFormatting>
  <conditionalFormatting sqref="W120">
    <cfRule type="cellIs" dxfId="1995" priority="5273" operator="equal">
      <formula>0</formula>
    </cfRule>
    <cfRule type="cellIs" dxfId="1994" priority="5274" operator="lessThan">
      <formula>W121</formula>
    </cfRule>
    <cfRule type="cellIs" dxfId="1993" priority="5279" operator="lessThan">
      <formula>0</formula>
    </cfRule>
  </conditionalFormatting>
  <conditionalFormatting sqref="W122">
    <cfRule type="cellIs" dxfId="1992" priority="5272" operator="equal">
      <formula>0</formula>
    </cfRule>
    <cfRule type="cellIs" dxfId="1991" priority="5277" operator="lessThan">
      <formula>W123</formula>
    </cfRule>
  </conditionalFormatting>
  <conditionalFormatting sqref="W123">
    <cfRule type="cellIs" dxfId="1990" priority="5271" operator="equal">
      <formula>0</formula>
    </cfRule>
    <cfRule type="cellIs" dxfId="1989" priority="5278" operator="greaterThan">
      <formula>W122</formula>
    </cfRule>
  </conditionalFormatting>
  <conditionalFormatting sqref="W127">
    <cfRule type="cellIs" dxfId="1988" priority="5268" operator="equal">
      <formula>0</formula>
    </cfRule>
  </conditionalFormatting>
  <conditionalFormatting sqref="W126">
    <cfRule type="cellIs" dxfId="1987" priority="5261" operator="equal">
      <formula>0</formula>
    </cfRule>
    <cfRule type="cellIs" dxfId="1986" priority="5262" operator="lessThan">
      <formula>W127</formula>
    </cfRule>
    <cfRule type="cellIs" dxfId="1985" priority="5267" operator="lessThan">
      <formula>0</formula>
    </cfRule>
  </conditionalFormatting>
  <conditionalFormatting sqref="W128">
    <cfRule type="cellIs" dxfId="1984" priority="5260" operator="equal">
      <formula>0</formula>
    </cfRule>
    <cfRule type="cellIs" dxfId="1983" priority="5265" operator="lessThan">
      <formula>W129</formula>
    </cfRule>
  </conditionalFormatting>
  <conditionalFormatting sqref="W129">
    <cfRule type="cellIs" dxfId="1982" priority="5259" operator="equal">
      <formula>0</formula>
    </cfRule>
    <cfRule type="cellIs" dxfId="1981" priority="5266" operator="greaterThan">
      <formula>W128</formula>
    </cfRule>
  </conditionalFormatting>
  <conditionalFormatting sqref="W133">
    <cfRule type="cellIs" dxfId="1980" priority="5256" operator="equal">
      <formula>0</formula>
    </cfRule>
  </conditionalFormatting>
  <conditionalFormatting sqref="W132">
    <cfRule type="cellIs" dxfId="1979" priority="5249" operator="equal">
      <formula>0</formula>
    </cfRule>
    <cfRule type="cellIs" dxfId="1978" priority="5250" operator="lessThan">
      <formula>W133</formula>
    </cfRule>
    <cfRule type="cellIs" dxfId="1977" priority="5255" operator="lessThan">
      <formula>0</formula>
    </cfRule>
  </conditionalFormatting>
  <conditionalFormatting sqref="W134">
    <cfRule type="cellIs" dxfId="1976" priority="5248" operator="equal">
      <formula>0</formula>
    </cfRule>
    <cfRule type="cellIs" dxfId="1975" priority="5253" operator="lessThan">
      <formula>W135</formula>
    </cfRule>
  </conditionalFormatting>
  <conditionalFormatting sqref="W135">
    <cfRule type="cellIs" dxfId="1974" priority="5247" operator="equal">
      <formula>0</formula>
    </cfRule>
    <cfRule type="cellIs" dxfId="1973" priority="5254" operator="greaterThan">
      <formula>W134</formula>
    </cfRule>
  </conditionalFormatting>
  <conditionalFormatting sqref="W139">
    <cfRule type="cellIs" dxfId="1972" priority="5244" operator="equal">
      <formula>0</formula>
    </cfRule>
  </conditionalFormatting>
  <conditionalFormatting sqref="W138">
    <cfRule type="cellIs" dxfId="1971" priority="5237" operator="equal">
      <formula>0</formula>
    </cfRule>
    <cfRule type="cellIs" dxfId="1970" priority="5238" operator="lessThan">
      <formula>W139</formula>
    </cfRule>
    <cfRule type="cellIs" dxfId="1969" priority="5243" operator="lessThan">
      <formula>0</formula>
    </cfRule>
  </conditionalFormatting>
  <conditionalFormatting sqref="W140">
    <cfRule type="cellIs" dxfId="1968" priority="5236" operator="equal">
      <formula>0</formula>
    </cfRule>
    <cfRule type="cellIs" dxfId="1967" priority="5241" operator="lessThan">
      <formula>W141</formula>
    </cfRule>
  </conditionalFormatting>
  <conditionalFormatting sqref="W141">
    <cfRule type="cellIs" dxfId="1966" priority="5235" operator="equal">
      <formula>0</formula>
    </cfRule>
    <cfRule type="cellIs" dxfId="1965" priority="5242" operator="greaterThan">
      <formula>W140</formula>
    </cfRule>
  </conditionalFormatting>
  <conditionalFormatting sqref="W145">
    <cfRule type="cellIs" dxfId="1964" priority="5232" operator="equal">
      <formula>0</formula>
    </cfRule>
  </conditionalFormatting>
  <conditionalFormatting sqref="W144">
    <cfRule type="cellIs" dxfId="1963" priority="5225" operator="equal">
      <formula>0</formula>
    </cfRule>
    <cfRule type="cellIs" dxfId="1962" priority="5226" operator="lessThan">
      <formula>W145</formula>
    </cfRule>
    <cfRule type="cellIs" dxfId="1961" priority="5231" operator="lessThan">
      <formula>0</formula>
    </cfRule>
  </conditionalFormatting>
  <conditionalFormatting sqref="W146">
    <cfRule type="cellIs" dxfId="1960" priority="5224" operator="equal">
      <formula>0</formula>
    </cfRule>
    <cfRule type="cellIs" dxfId="1959" priority="5229" operator="lessThan">
      <formula>W147</formula>
    </cfRule>
  </conditionalFormatting>
  <conditionalFormatting sqref="W147">
    <cfRule type="cellIs" dxfId="1958" priority="5223" operator="equal">
      <formula>0</formula>
    </cfRule>
    <cfRule type="cellIs" dxfId="1957" priority="5230" operator="greaterThan">
      <formula>W146</formula>
    </cfRule>
  </conditionalFormatting>
  <conditionalFormatting sqref="W151">
    <cfRule type="cellIs" dxfId="1956" priority="5220" operator="equal">
      <formula>0</formula>
    </cfRule>
  </conditionalFormatting>
  <conditionalFormatting sqref="W150">
    <cfRule type="cellIs" dxfId="1955" priority="5213" operator="equal">
      <formula>0</formula>
    </cfRule>
    <cfRule type="cellIs" dxfId="1954" priority="5214" operator="lessThan">
      <formula>W151</formula>
    </cfRule>
    <cfRule type="cellIs" dxfId="1953" priority="5219" operator="lessThan">
      <formula>0</formula>
    </cfRule>
  </conditionalFormatting>
  <conditionalFormatting sqref="W152">
    <cfRule type="cellIs" dxfId="1952" priority="5212" operator="equal">
      <formula>0</formula>
    </cfRule>
    <cfRule type="cellIs" dxfId="1951" priority="5217" operator="lessThan">
      <formula>W153</formula>
    </cfRule>
  </conditionalFormatting>
  <conditionalFormatting sqref="W153">
    <cfRule type="cellIs" dxfId="1950" priority="5211" operator="equal">
      <formula>0</formula>
    </cfRule>
    <cfRule type="cellIs" dxfId="1949" priority="5218" operator="greaterThan">
      <formula>W152</formula>
    </cfRule>
  </conditionalFormatting>
  <conditionalFormatting sqref="W155">
    <cfRule type="cellIs" dxfId="1948" priority="5210" operator="equal">
      <formula>0</formula>
    </cfRule>
  </conditionalFormatting>
  <conditionalFormatting sqref="W154">
    <cfRule type="cellIs" dxfId="1947" priority="5203" operator="equal">
      <formula>0</formula>
    </cfRule>
    <cfRule type="cellIs" dxfId="1946" priority="5204" operator="lessThan">
      <formula>W155</formula>
    </cfRule>
    <cfRule type="cellIs" dxfId="1945" priority="5209" operator="lessThan">
      <formula>0</formula>
    </cfRule>
  </conditionalFormatting>
  <conditionalFormatting sqref="W157">
    <cfRule type="cellIs" dxfId="1944" priority="5208" operator="equal">
      <formula>0</formula>
    </cfRule>
  </conditionalFormatting>
  <conditionalFormatting sqref="W156">
    <cfRule type="cellIs" dxfId="1943" priority="5201" operator="equal">
      <formula>0</formula>
    </cfRule>
    <cfRule type="cellIs" dxfId="1942" priority="5202" operator="lessThan">
      <formula>W157</formula>
    </cfRule>
    <cfRule type="cellIs" dxfId="1941" priority="5207" operator="lessThan">
      <formula>0</formula>
    </cfRule>
  </conditionalFormatting>
  <conditionalFormatting sqref="W158">
    <cfRule type="cellIs" dxfId="1940" priority="5200" operator="equal">
      <formula>0</formula>
    </cfRule>
    <cfRule type="cellIs" dxfId="1939" priority="5205" operator="lessThan">
      <formula>W159</formula>
    </cfRule>
  </conditionalFormatting>
  <conditionalFormatting sqref="W159">
    <cfRule type="cellIs" dxfId="1938" priority="5199" operator="equal">
      <formula>0</formula>
    </cfRule>
    <cfRule type="cellIs" dxfId="1937" priority="5206" operator="greaterThan">
      <formula>W158</formula>
    </cfRule>
  </conditionalFormatting>
  <conditionalFormatting sqref="W161">
    <cfRule type="cellIs" dxfId="1936" priority="5198" operator="equal">
      <formula>0</formula>
    </cfRule>
  </conditionalFormatting>
  <conditionalFormatting sqref="W160">
    <cfRule type="cellIs" dxfId="1935" priority="5191" operator="equal">
      <formula>0</formula>
    </cfRule>
    <cfRule type="cellIs" dxfId="1934" priority="5192" operator="lessThan">
      <formula>W161</formula>
    </cfRule>
    <cfRule type="cellIs" dxfId="1933" priority="5197" operator="lessThan">
      <formula>0</formula>
    </cfRule>
  </conditionalFormatting>
  <conditionalFormatting sqref="W163">
    <cfRule type="cellIs" dxfId="1932" priority="5196" operator="equal">
      <formula>0</formula>
    </cfRule>
  </conditionalFormatting>
  <conditionalFormatting sqref="W162">
    <cfRule type="cellIs" dxfId="1931" priority="5189" operator="equal">
      <formula>0</formula>
    </cfRule>
    <cfRule type="cellIs" dxfId="1930" priority="5190" operator="lessThan">
      <formula>W163</formula>
    </cfRule>
    <cfRule type="cellIs" dxfId="1929" priority="5195" operator="lessThan">
      <formula>0</formula>
    </cfRule>
  </conditionalFormatting>
  <conditionalFormatting sqref="W164">
    <cfRule type="cellIs" dxfId="1928" priority="5188" operator="equal">
      <formula>0</formula>
    </cfRule>
    <cfRule type="cellIs" dxfId="1927" priority="5193" operator="lessThan">
      <formula>W165</formula>
    </cfRule>
  </conditionalFormatting>
  <conditionalFormatting sqref="W165">
    <cfRule type="cellIs" dxfId="1926" priority="5187" operator="equal">
      <formula>0</formula>
    </cfRule>
    <cfRule type="cellIs" dxfId="1925" priority="5194" operator="greaterThan">
      <formula>W164</formula>
    </cfRule>
  </conditionalFormatting>
  <conditionalFormatting sqref="W167 W173 W179 W185 W191 W197">
    <cfRule type="cellIs" dxfId="1924" priority="5186" operator="equal">
      <formula>0</formula>
    </cfRule>
  </conditionalFormatting>
  <conditionalFormatting sqref="W166 W172 W178 W184 W190 W196">
    <cfRule type="cellIs" dxfId="1923" priority="5179" operator="equal">
      <formula>0</formula>
    </cfRule>
    <cfRule type="cellIs" dxfId="1922" priority="5180" operator="lessThan">
      <formula>W167</formula>
    </cfRule>
    <cfRule type="cellIs" dxfId="1921" priority="5185" operator="lessThan">
      <formula>0</formula>
    </cfRule>
  </conditionalFormatting>
  <conditionalFormatting sqref="W169 W175 W181 W187 W193 W199">
    <cfRule type="cellIs" dxfId="1920" priority="5184" operator="equal">
      <formula>0</formula>
    </cfRule>
  </conditionalFormatting>
  <conditionalFormatting sqref="W168 W174 W180 W186 W192 W198">
    <cfRule type="cellIs" dxfId="1919" priority="5177" operator="equal">
      <formula>0</formula>
    </cfRule>
    <cfRule type="cellIs" dxfId="1918" priority="5178" operator="lessThan">
      <formula>W169</formula>
    </cfRule>
    <cfRule type="cellIs" dxfId="1917" priority="5183" operator="lessThan">
      <formula>0</formula>
    </cfRule>
  </conditionalFormatting>
  <conditionalFormatting sqref="W170 W176 W182 W188 W194 W200">
    <cfRule type="cellIs" dxfId="1916" priority="5176" operator="equal">
      <formula>0</formula>
    </cfRule>
    <cfRule type="cellIs" dxfId="1915" priority="5181" operator="lessThan">
      <formula>W171</formula>
    </cfRule>
  </conditionalFormatting>
  <conditionalFormatting sqref="W171 W177 W183 W189 W195 W201">
    <cfRule type="cellIs" dxfId="1914" priority="5175" operator="equal">
      <formula>0</formula>
    </cfRule>
    <cfRule type="cellIs" dxfId="1913" priority="5182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912" priority="4946" operator="lessThan">
      <formula>W76</formula>
    </cfRule>
    <cfRule type="cellIs" dxfId="1911" priority="4951" operator="equal">
      <formula>0</formula>
    </cfRule>
  </conditionalFormatting>
  <conditionalFormatting sqref="W76">
    <cfRule type="cellIs" dxfId="1910" priority="4947" operator="lessThan">
      <formula>W77</formula>
    </cfRule>
    <cfRule type="cellIs" dxfId="1909" priority="4948" operator="equal">
      <formula>0</formula>
    </cfRule>
    <cfRule type="cellIs" dxfId="1908" priority="4949" operator="lessThan">
      <formula>W77</formula>
    </cfRule>
    <cfRule type="cellIs" dxfId="1907" priority="4950" operator="lessThan">
      <formula>0</formula>
    </cfRule>
  </conditionalFormatting>
  <conditionalFormatting sqref="W83">
    <cfRule type="cellIs" dxfId="1906" priority="4940" operator="lessThan">
      <formula>W82</formula>
    </cfRule>
    <cfRule type="cellIs" dxfId="1905" priority="4945" operator="equal">
      <formula>0</formula>
    </cfRule>
  </conditionalFormatting>
  <conditionalFormatting sqref="W82">
    <cfRule type="cellIs" dxfId="1904" priority="4941" operator="lessThan">
      <formula>W83</formula>
    </cfRule>
    <cfRule type="cellIs" dxfId="1903" priority="4942" operator="equal">
      <formula>0</formula>
    </cfRule>
    <cfRule type="cellIs" dxfId="1902" priority="4943" operator="lessThan">
      <formula>W83</formula>
    </cfRule>
    <cfRule type="cellIs" dxfId="1901" priority="4944" operator="lessThan">
      <formula>0</formula>
    </cfRule>
  </conditionalFormatting>
  <conditionalFormatting sqref="W89">
    <cfRule type="cellIs" dxfId="1900" priority="4934" operator="lessThan">
      <formula>W88</formula>
    </cfRule>
    <cfRule type="cellIs" dxfId="1899" priority="4939" operator="equal">
      <formula>0</formula>
    </cfRule>
  </conditionalFormatting>
  <conditionalFormatting sqref="W88">
    <cfRule type="cellIs" dxfId="1898" priority="4935" operator="lessThan">
      <formula>W89</formula>
    </cfRule>
    <cfRule type="cellIs" dxfId="1897" priority="4936" operator="equal">
      <formula>0</formula>
    </cfRule>
    <cfRule type="cellIs" dxfId="1896" priority="4937" operator="lessThan">
      <formula>W89</formula>
    </cfRule>
    <cfRule type="cellIs" dxfId="1895" priority="4938" operator="lessThan">
      <formula>0</formula>
    </cfRule>
  </conditionalFormatting>
  <conditionalFormatting sqref="W95">
    <cfRule type="cellIs" dxfId="1894" priority="4928" operator="lessThan">
      <formula>W94</formula>
    </cfRule>
    <cfRule type="cellIs" dxfId="1893" priority="4933" operator="equal">
      <formula>0</formula>
    </cfRule>
  </conditionalFormatting>
  <conditionalFormatting sqref="W94">
    <cfRule type="cellIs" dxfId="1892" priority="4929" operator="lessThan">
      <formula>W95</formula>
    </cfRule>
    <cfRule type="cellIs" dxfId="1891" priority="4930" operator="equal">
      <formula>0</formula>
    </cfRule>
    <cfRule type="cellIs" dxfId="1890" priority="4931" operator="lessThan">
      <formula>W95</formula>
    </cfRule>
    <cfRule type="cellIs" dxfId="1889" priority="4932" operator="lessThan">
      <formula>0</formula>
    </cfRule>
  </conditionalFormatting>
  <conditionalFormatting sqref="W101">
    <cfRule type="cellIs" dxfId="1888" priority="4922" operator="lessThan">
      <formula>W100</formula>
    </cfRule>
    <cfRule type="cellIs" dxfId="1887" priority="4927" operator="equal">
      <formula>0</formula>
    </cfRule>
  </conditionalFormatting>
  <conditionalFormatting sqref="W100">
    <cfRule type="cellIs" dxfId="1886" priority="4923" operator="lessThan">
      <formula>W101</formula>
    </cfRule>
    <cfRule type="cellIs" dxfId="1885" priority="4924" operator="equal">
      <formula>0</formula>
    </cfRule>
    <cfRule type="cellIs" dxfId="1884" priority="4925" operator="lessThan">
      <formula>W101</formula>
    </cfRule>
    <cfRule type="cellIs" dxfId="1883" priority="4926" operator="lessThan">
      <formula>0</formula>
    </cfRule>
  </conditionalFormatting>
  <conditionalFormatting sqref="W107">
    <cfRule type="cellIs" dxfId="1882" priority="4916" operator="lessThan">
      <formula>W106</formula>
    </cfRule>
    <cfRule type="cellIs" dxfId="1881" priority="4921" operator="equal">
      <formula>0</formula>
    </cfRule>
  </conditionalFormatting>
  <conditionalFormatting sqref="W106">
    <cfRule type="cellIs" dxfId="1880" priority="4917" operator="lessThan">
      <formula>W107</formula>
    </cfRule>
    <cfRule type="cellIs" dxfId="1879" priority="4918" operator="equal">
      <formula>0</formula>
    </cfRule>
    <cfRule type="cellIs" dxfId="1878" priority="4919" operator="lessThan">
      <formula>W107</formula>
    </cfRule>
    <cfRule type="cellIs" dxfId="1877" priority="4920" operator="lessThan">
      <formula>0</formula>
    </cfRule>
  </conditionalFormatting>
  <conditionalFormatting sqref="W113">
    <cfRule type="cellIs" dxfId="1876" priority="4910" operator="lessThan">
      <formula>W112</formula>
    </cfRule>
    <cfRule type="cellIs" dxfId="1875" priority="4915" operator="equal">
      <formula>0</formula>
    </cfRule>
  </conditionalFormatting>
  <conditionalFormatting sqref="W112">
    <cfRule type="cellIs" dxfId="1874" priority="4911" operator="lessThan">
      <formula>W113</formula>
    </cfRule>
    <cfRule type="cellIs" dxfId="1873" priority="4912" operator="equal">
      <formula>0</formula>
    </cfRule>
    <cfRule type="cellIs" dxfId="1872" priority="4913" operator="lessThan">
      <formula>W113</formula>
    </cfRule>
    <cfRule type="cellIs" dxfId="1871" priority="4914" operator="lessThan">
      <formula>0</formula>
    </cfRule>
  </conditionalFormatting>
  <conditionalFormatting sqref="W119">
    <cfRule type="cellIs" dxfId="1870" priority="4904" operator="lessThan">
      <formula>W118</formula>
    </cfRule>
    <cfRule type="cellIs" dxfId="1869" priority="4909" operator="equal">
      <formula>0</formula>
    </cfRule>
  </conditionalFormatting>
  <conditionalFormatting sqref="W118">
    <cfRule type="cellIs" dxfId="1868" priority="4905" operator="lessThan">
      <formula>W119</formula>
    </cfRule>
    <cfRule type="cellIs" dxfId="1867" priority="4906" operator="equal">
      <formula>0</formula>
    </cfRule>
    <cfRule type="cellIs" dxfId="1866" priority="4907" operator="lessThan">
      <formula>W119</formula>
    </cfRule>
    <cfRule type="cellIs" dxfId="1865" priority="4908" operator="lessThan">
      <formula>0</formula>
    </cfRule>
  </conditionalFormatting>
  <conditionalFormatting sqref="W125">
    <cfRule type="cellIs" dxfId="1864" priority="4898" operator="lessThan">
      <formula>W124</formula>
    </cfRule>
    <cfRule type="cellIs" dxfId="1863" priority="4903" operator="equal">
      <formula>0</formula>
    </cfRule>
  </conditionalFormatting>
  <conditionalFormatting sqref="W124">
    <cfRule type="cellIs" dxfId="1862" priority="4899" operator="lessThan">
      <formula>W125</formula>
    </cfRule>
    <cfRule type="cellIs" dxfId="1861" priority="4900" operator="equal">
      <formula>0</formula>
    </cfRule>
    <cfRule type="cellIs" dxfId="1860" priority="4901" operator="lessThan">
      <formula>W125</formula>
    </cfRule>
    <cfRule type="cellIs" dxfId="1859" priority="4902" operator="lessThan">
      <formula>0</formula>
    </cfRule>
  </conditionalFormatting>
  <conditionalFormatting sqref="W131">
    <cfRule type="cellIs" dxfId="1858" priority="4892" operator="lessThan">
      <formula>W130</formula>
    </cfRule>
    <cfRule type="cellIs" dxfId="1857" priority="4897" operator="equal">
      <formula>0</formula>
    </cfRule>
  </conditionalFormatting>
  <conditionalFormatting sqref="W130">
    <cfRule type="cellIs" dxfId="1856" priority="4893" operator="lessThan">
      <formula>W131</formula>
    </cfRule>
    <cfRule type="cellIs" dxfId="1855" priority="4894" operator="equal">
      <formula>0</formula>
    </cfRule>
    <cfRule type="cellIs" dxfId="1854" priority="4895" operator="lessThan">
      <formula>W131</formula>
    </cfRule>
    <cfRule type="cellIs" dxfId="1853" priority="4896" operator="lessThan">
      <formula>0</formula>
    </cfRule>
  </conditionalFormatting>
  <conditionalFormatting sqref="W137">
    <cfRule type="cellIs" dxfId="1852" priority="4886" operator="lessThan">
      <formula>W136</formula>
    </cfRule>
    <cfRule type="cellIs" dxfId="1851" priority="4891" operator="equal">
      <formula>0</formula>
    </cfRule>
  </conditionalFormatting>
  <conditionalFormatting sqref="W136">
    <cfRule type="cellIs" dxfId="1850" priority="4887" operator="lessThan">
      <formula>W137</formula>
    </cfRule>
    <cfRule type="cellIs" dxfId="1849" priority="4888" operator="equal">
      <formula>0</formula>
    </cfRule>
    <cfRule type="cellIs" dxfId="1848" priority="4889" operator="lessThan">
      <formula>W137</formula>
    </cfRule>
    <cfRule type="cellIs" dxfId="1847" priority="4890" operator="lessThan">
      <formula>0</formula>
    </cfRule>
  </conditionalFormatting>
  <conditionalFormatting sqref="W143">
    <cfRule type="cellIs" dxfId="1846" priority="4880" operator="lessThan">
      <formula>W142</formula>
    </cfRule>
    <cfRule type="cellIs" dxfId="1845" priority="4885" operator="equal">
      <formula>0</formula>
    </cfRule>
  </conditionalFormatting>
  <conditionalFormatting sqref="W142">
    <cfRule type="cellIs" dxfId="1844" priority="4881" operator="lessThan">
      <formula>W143</formula>
    </cfRule>
    <cfRule type="cellIs" dxfId="1843" priority="4882" operator="equal">
      <formula>0</formula>
    </cfRule>
    <cfRule type="cellIs" dxfId="1842" priority="4883" operator="lessThan">
      <formula>W143</formula>
    </cfRule>
    <cfRule type="cellIs" dxfId="1841" priority="4884" operator="lessThan">
      <formula>0</formula>
    </cfRule>
  </conditionalFormatting>
  <conditionalFormatting sqref="W149">
    <cfRule type="cellIs" dxfId="1840" priority="4874" operator="lessThan">
      <formula>W148</formula>
    </cfRule>
    <cfRule type="cellIs" dxfId="1839" priority="4879" operator="equal">
      <formula>0</formula>
    </cfRule>
  </conditionalFormatting>
  <conditionalFormatting sqref="W148">
    <cfRule type="cellIs" dxfId="1838" priority="4875" operator="lessThan">
      <formula>W149</formula>
    </cfRule>
    <cfRule type="cellIs" dxfId="1837" priority="4876" operator="equal">
      <formula>0</formula>
    </cfRule>
    <cfRule type="cellIs" dxfId="1836" priority="4877" operator="lessThan">
      <formula>W149</formula>
    </cfRule>
    <cfRule type="cellIs" dxfId="1835" priority="4878" operator="lessThan">
      <formula>0</formula>
    </cfRule>
  </conditionalFormatting>
  <conditionalFormatting sqref="V82:V87">
    <cfRule type="cellIs" dxfId="1834" priority="4872" operator="lessThan">
      <formula>0</formula>
    </cfRule>
    <cfRule type="cellIs" dxfId="1833" priority="4873" operator="equal">
      <formula>0</formula>
    </cfRule>
  </conditionalFormatting>
  <conditionalFormatting sqref="V88:V93">
    <cfRule type="cellIs" dxfId="1832" priority="4870" operator="lessThan">
      <formula>0</formula>
    </cfRule>
    <cfRule type="cellIs" dxfId="1831" priority="4871" operator="equal">
      <formula>0</formula>
    </cfRule>
  </conditionalFormatting>
  <conditionalFormatting sqref="V94:V99">
    <cfRule type="cellIs" dxfId="1830" priority="4868" operator="lessThan">
      <formula>0</formula>
    </cfRule>
    <cfRule type="cellIs" dxfId="1829" priority="4869" operator="equal">
      <formula>0</formula>
    </cfRule>
  </conditionalFormatting>
  <conditionalFormatting sqref="V100:V105">
    <cfRule type="cellIs" dxfId="1828" priority="4866" operator="lessThan">
      <formula>0</formula>
    </cfRule>
    <cfRule type="cellIs" dxfId="1827" priority="4867" operator="equal">
      <formula>0</formula>
    </cfRule>
  </conditionalFormatting>
  <conditionalFormatting sqref="V106:V111">
    <cfRule type="cellIs" dxfId="1826" priority="4864" operator="lessThan">
      <formula>0</formula>
    </cfRule>
    <cfRule type="cellIs" dxfId="1825" priority="4865" operator="equal">
      <formula>0</formula>
    </cfRule>
  </conditionalFormatting>
  <conditionalFormatting sqref="V112:V117">
    <cfRule type="cellIs" dxfId="1824" priority="4862" operator="lessThan">
      <formula>0</formula>
    </cfRule>
    <cfRule type="cellIs" dxfId="1823" priority="4863" operator="equal">
      <formula>0</formula>
    </cfRule>
  </conditionalFormatting>
  <conditionalFormatting sqref="V118:V123">
    <cfRule type="cellIs" dxfId="1822" priority="4860" operator="lessThan">
      <formula>0</formula>
    </cfRule>
    <cfRule type="cellIs" dxfId="1821" priority="4861" operator="equal">
      <formula>0</formula>
    </cfRule>
  </conditionalFormatting>
  <conditionalFormatting sqref="V124:V129">
    <cfRule type="cellIs" dxfId="1820" priority="4858" operator="lessThan">
      <formula>0</formula>
    </cfRule>
    <cfRule type="cellIs" dxfId="1819" priority="4859" operator="equal">
      <formula>0</formula>
    </cfRule>
  </conditionalFormatting>
  <conditionalFormatting sqref="V130:V135">
    <cfRule type="cellIs" dxfId="1818" priority="4856" operator="lessThan">
      <formula>0</formula>
    </cfRule>
    <cfRule type="cellIs" dxfId="1817" priority="4857" operator="equal">
      <formula>0</formula>
    </cfRule>
  </conditionalFormatting>
  <conditionalFormatting sqref="V136:V141">
    <cfRule type="cellIs" dxfId="1816" priority="4854" operator="lessThan">
      <formula>0</formula>
    </cfRule>
    <cfRule type="cellIs" dxfId="1815" priority="4855" operator="equal">
      <formula>0</formula>
    </cfRule>
  </conditionalFormatting>
  <conditionalFormatting sqref="V142:V147">
    <cfRule type="cellIs" dxfId="1814" priority="4852" operator="lessThan">
      <formula>0</formula>
    </cfRule>
    <cfRule type="cellIs" dxfId="1813" priority="4853" operator="equal">
      <formula>0</formula>
    </cfRule>
  </conditionalFormatting>
  <conditionalFormatting sqref="V148:V153">
    <cfRule type="cellIs" dxfId="1812" priority="4850" operator="lessThan">
      <formula>0</formula>
    </cfRule>
    <cfRule type="cellIs" dxfId="1811" priority="4851" operator="equal">
      <formula>0</formula>
    </cfRule>
  </conditionalFormatting>
  <conditionalFormatting sqref="V154:V159">
    <cfRule type="cellIs" dxfId="1810" priority="4848" operator="lessThan">
      <formula>0</formula>
    </cfRule>
    <cfRule type="cellIs" dxfId="1809" priority="4849" operator="equal">
      <formula>0</formula>
    </cfRule>
  </conditionalFormatting>
  <conditionalFormatting sqref="V160:V165">
    <cfRule type="cellIs" dxfId="1808" priority="4846" operator="lessThan">
      <formula>0</formula>
    </cfRule>
    <cfRule type="cellIs" dxfId="1807" priority="4847" operator="equal">
      <formula>0</formula>
    </cfRule>
  </conditionalFormatting>
  <conditionalFormatting sqref="V166:V201">
    <cfRule type="cellIs" dxfId="1806" priority="4844" operator="lessThan">
      <formula>0</formula>
    </cfRule>
    <cfRule type="cellIs" dxfId="1805" priority="4845" operator="equal">
      <formula>0</formula>
    </cfRule>
  </conditionalFormatting>
  <conditionalFormatting sqref="W75">
    <cfRule type="cellIs" dxfId="1804" priority="4803" operator="equal">
      <formula>0</formula>
    </cfRule>
    <cfRule type="cellIs" dxfId="1803" priority="4804" operator="greaterThan">
      <formula>W74</formula>
    </cfRule>
  </conditionalFormatting>
  <conditionalFormatting sqref="W81">
    <cfRule type="cellIs" dxfId="1802" priority="4801" operator="equal">
      <formula>0</formula>
    </cfRule>
    <cfRule type="cellIs" dxfId="1801" priority="4802" operator="greaterThan">
      <formula>W80</formula>
    </cfRule>
  </conditionalFormatting>
  <conditionalFormatting sqref="V45:V56">
    <cfRule type="cellIs" dxfId="1800" priority="3122" operator="lessThan">
      <formula>0</formula>
    </cfRule>
    <cfRule type="cellIs" dxfId="1799" priority="3123" operator="equal">
      <formula>0</formula>
    </cfRule>
  </conditionalFormatting>
  <conditionalFormatting sqref="G30">
    <cfRule type="cellIs" dxfId="1798" priority="3103" operator="lessThan">
      <formula>0</formula>
    </cfRule>
  </conditionalFormatting>
  <conditionalFormatting sqref="D30">
    <cfRule type="expression" dxfId="1797" priority="3101">
      <formula>E30&gt;B30</formula>
    </cfRule>
  </conditionalFormatting>
  <conditionalFormatting sqref="C30">
    <cfRule type="expression" dxfId="1796" priority="3100">
      <formula>B30&gt;E30</formula>
    </cfRule>
  </conditionalFormatting>
  <conditionalFormatting sqref="G31">
    <cfRule type="cellIs" dxfId="1795" priority="3094" operator="lessThan">
      <formula>0</formula>
    </cfRule>
  </conditionalFormatting>
  <conditionalFormatting sqref="G32">
    <cfRule type="cellIs" dxfId="1794" priority="3038" operator="lessThan">
      <formula>0</formula>
    </cfRule>
  </conditionalFormatting>
  <conditionalFormatting sqref="G33">
    <cfRule type="cellIs" dxfId="1793" priority="3032" operator="lessThan">
      <formula>0</formula>
    </cfRule>
  </conditionalFormatting>
  <conditionalFormatting sqref="G34 G36 G38 G40 G45 G47 G49 G51 G53 G55">
    <cfRule type="cellIs" dxfId="1792" priority="3024" operator="lessThan">
      <formula>0</formula>
    </cfRule>
  </conditionalFormatting>
  <conditionalFormatting sqref="G35 G37 G39 G41 G46 G48 G50 G52 G54 G56">
    <cfRule type="cellIs" dxfId="1791" priority="3018" operator="lessThan">
      <formula>0</formula>
    </cfRule>
  </conditionalFormatting>
  <conditionalFormatting sqref="D31">
    <cfRule type="expression" dxfId="1790" priority="2894">
      <formula>E31&gt;B31</formula>
    </cfRule>
  </conditionalFormatting>
  <conditionalFormatting sqref="C31">
    <cfRule type="expression" dxfId="1789" priority="2893">
      <formula>B31&gt;E31</formula>
    </cfRule>
  </conditionalFormatting>
  <conditionalFormatting sqref="D32 D34 D36 D38 D40 D45 D47 D49 D51 D53 D55">
    <cfRule type="expression" dxfId="1788" priority="2892">
      <formula>E32&gt;B32</formula>
    </cfRule>
  </conditionalFormatting>
  <conditionalFormatting sqref="C32 C34 C36 C38 C40 C45 C47 C49 C51 C53 C55">
    <cfRule type="expression" dxfId="1787" priority="2891">
      <formula>B32&gt;E32</formula>
    </cfRule>
  </conditionalFormatting>
  <conditionalFormatting sqref="D33 D35 D37 D39 D41 D46 D48 D50 D52 D54 D56">
    <cfRule type="expression" dxfId="1786" priority="2890">
      <formula>E33&gt;B33</formula>
    </cfRule>
  </conditionalFormatting>
  <conditionalFormatting sqref="C33 C35 C37 C39 C41 C46 C48 C50 C52 C54 C56">
    <cfRule type="expression" dxfId="1785" priority="2889">
      <formula>B33&gt;E33</formula>
    </cfRule>
  </conditionalFormatting>
  <conditionalFormatting sqref="Y30:Y34 Y37:Y41">
    <cfRule type="cellIs" dxfId="1784" priority="2846" operator="equal">
      <formula>0</formula>
    </cfRule>
  </conditionalFormatting>
  <conditionalFormatting sqref="W22:W29">
    <cfRule type="cellIs" dxfId="1783" priority="2799" operator="equal">
      <formula>0</formula>
    </cfRule>
  </conditionalFormatting>
  <conditionalFormatting sqref="W27 W23">
    <cfRule type="cellIs" dxfId="1782" priority="2613" operator="equal">
      <formula>"STOP"</formula>
    </cfRule>
    <cfRule type="cellIs" dxfId="1781" priority="2614" operator="equal">
      <formula>"TRAILING"</formula>
    </cfRule>
  </conditionalFormatting>
  <conditionalFormatting sqref="X60">
    <cfRule type="cellIs" dxfId="1780" priority="2734" operator="equal">
      <formula>0</formula>
    </cfRule>
    <cfRule type="expression" dxfId="1779" priority="2735">
      <formula>F60*100&lt;X60</formula>
    </cfRule>
    <cfRule type="expression" dxfId="1778" priority="2736">
      <formula>X60&lt;F60*100</formula>
    </cfRule>
  </conditionalFormatting>
  <conditionalFormatting sqref="X61">
    <cfRule type="cellIs" dxfId="1777" priority="2731" operator="equal">
      <formula>0</formula>
    </cfRule>
    <cfRule type="expression" dxfId="1776" priority="2732">
      <formula>F61*100&lt;X61</formula>
    </cfRule>
    <cfRule type="expression" dxfId="1775" priority="2733">
      <formula>X61&lt;F61*100</formula>
    </cfRule>
  </conditionalFormatting>
  <conditionalFormatting sqref="W60:W61">
    <cfRule type="cellIs" dxfId="1774" priority="2730" operator="equal">
      <formula>0</formula>
    </cfRule>
  </conditionalFormatting>
  <conditionalFormatting sqref="W60">
    <cfRule type="containsText" dxfId="1773" priority="2728" operator="containsText" text="STOP">
      <formula>NOT(ISERROR(SEARCH("STOP",W60)))</formula>
    </cfRule>
    <cfRule type="containsText" dxfId="1772" priority="2729" operator="containsText" text="TRAILING">
      <formula>NOT(ISERROR(SEARCH("TRAILING",W60)))</formula>
    </cfRule>
  </conditionalFormatting>
  <conditionalFormatting sqref="W61">
    <cfRule type="containsText" dxfId="1771" priority="2726" operator="containsText" text="STOP">
      <formula>NOT(ISERROR(SEARCH("STOP",W61)))</formula>
    </cfRule>
    <cfRule type="containsText" dxfId="1770" priority="2727" operator="containsText" text="TRAILING">
      <formula>NOT(ISERROR(SEARCH("TRAILING",W61)))</formula>
    </cfRule>
  </conditionalFormatting>
  <conditionalFormatting sqref="V42:V43">
    <cfRule type="cellIs" dxfId="1769" priority="2723" operator="lessThan">
      <formula>0</formula>
    </cfRule>
    <cfRule type="cellIs" dxfId="1768" priority="2724" operator="equal">
      <formula>0</formula>
    </cfRule>
  </conditionalFormatting>
  <conditionalFormatting sqref="G43">
    <cfRule type="cellIs" dxfId="1767" priority="2720" operator="lessThan">
      <formula>0</formula>
    </cfRule>
  </conditionalFormatting>
  <conditionalFormatting sqref="G42">
    <cfRule type="cellIs" dxfId="1766" priority="2718" operator="lessThan">
      <formula>0</formula>
    </cfRule>
  </conditionalFormatting>
  <conditionalFormatting sqref="D43">
    <cfRule type="expression" dxfId="1765" priority="2716">
      <formula>E43&gt;B43</formula>
    </cfRule>
  </conditionalFormatting>
  <conditionalFormatting sqref="C43">
    <cfRule type="expression" dxfId="1764" priority="2715">
      <formula>B43&gt;E43</formula>
    </cfRule>
  </conditionalFormatting>
  <conditionalFormatting sqref="D42">
    <cfRule type="expression" dxfId="1763" priority="2714">
      <formula>E42&gt;B42</formula>
    </cfRule>
  </conditionalFormatting>
  <conditionalFormatting sqref="C42">
    <cfRule type="expression" dxfId="1762" priority="2713">
      <formula>B42&gt;E42</formula>
    </cfRule>
  </conditionalFormatting>
  <conditionalFormatting sqref="V57:V59">
    <cfRule type="cellIs" dxfId="1761" priority="2694" operator="lessThan">
      <formula>0</formula>
    </cfRule>
    <cfRule type="cellIs" dxfId="1760" priority="2695" operator="equal">
      <formula>0</formula>
    </cfRule>
  </conditionalFormatting>
  <conditionalFormatting sqref="G58">
    <cfRule type="cellIs" dxfId="1759" priority="2691" operator="lessThan">
      <formula>0</formula>
    </cfRule>
  </conditionalFormatting>
  <conditionalFormatting sqref="G57 G59">
    <cfRule type="cellIs" dxfId="1758" priority="2689" operator="lessThan">
      <formula>0</formula>
    </cfRule>
  </conditionalFormatting>
  <conditionalFormatting sqref="D58">
    <cfRule type="expression" dxfId="1757" priority="2687">
      <formula>E58&gt;B58</formula>
    </cfRule>
  </conditionalFormatting>
  <conditionalFormatting sqref="C58">
    <cfRule type="expression" dxfId="1756" priority="2686">
      <formula>B58&gt;E58</formula>
    </cfRule>
  </conditionalFormatting>
  <conditionalFormatting sqref="D57 D59">
    <cfRule type="expression" dxfId="1755" priority="2685">
      <formula>E57&gt;B57</formula>
    </cfRule>
  </conditionalFormatting>
  <conditionalFormatting sqref="C57 C59">
    <cfRule type="expression" dxfId="1754" priority="2684">
      <formula>B57&gt;E57</formula>
    </cfRule>
  </conditionalFormatting>
  <conditionalFormatting sqref="B45">
    <cfRule type="cellIs" dxfId="1753" priority="2665" operator="greaterThan">
      <formula>E45</formula>
    </cfRule>
  </conditionalFormatting>
  <conditionalFormatting sqref="B46">
    <cfRule type="cellIs" dxfId="1752" priority="2664" operator="greaterThan">
      <formula>E46</formula>
    </cfRule>
  </conditionalFormatting>
  <conditionalFormatting sqref="B47 B49 B51 B53 B55 B57 B59">
    <cfRule type="cellIs" dxfId="1751" priority="2663" operator="greaterThan">
      <formula>E47</formula>
    </cfRule>
  </conditionalFormatting>
  <conditionalFormatting sqref="B48 B50 B52 B54 B56 B58">
    <cfRule type="cellIs" dxfId="1750" priority="2662" operator="greaterThan">
      <formula>E48</formula>
    </cfRule>
  </conditionalFormatting>
  <conditionalFormatting sqref="E45">
    <cfRule type="cellIs" dxfId="1749" priority="2661" operator="greaterThan">
      <formula>B45</formula>
    </cfRule>
  </conditionalFormatting>
  <conditionalFormatting sqref="E46">
    <cfRule type="cellIs" dxfId="1748" priority="2660" operator="greaterThan">
      <formula>B46</formula>
    </cfRule>
  </conditionalFormatting>
  <conditionalFormatting sqref="E47 E49 E51 E55 E57 E59">
    <cfRule type="cellIs" dxfId="1747" priority="2659" operator="greaterThan">
      <formula>B47</formula>
    </cfRule>
  </conditionalFormatting>
  <conditionalFormatting sqref="E48 E50 E52 E54 E56 E58">
    <cfRule type="cellIs" dxfId="1746" priority="2658" operator="greaterThan">
      <formula>B48</formula>
    </cfRule>
  </conditionalFormatting>
  <conditionalFormatting sqref="E53">
    <cfRule type="cellIs" dxfId="1745" priority="2657" operator="greaterThan">
      <formula>H53</formula>
    </cfRule>
  </conditionalFormatting>
  <conditionalFormatting sqref="B30">
    <cfRule type="cellIs" dxfId="1744" priority="2656" operator="greaterThan">
      <formula>E30</formula>
    </cfRule>
  </conditionalFormatting>
  <conditionalFormatting sqref="B31">
    <cfRule type="cellIs" dxfId="1743" priority="2655" operator="greaterThan">
      <formula>E31</formula>
    </cfRule>
  </conditionalFormatting>
  <conditionalFormatting sqref="B32 B34 B36 B38 B40 B42">
    <cfRule type="cellIs" dxfId="1742" priority="2654" operator="greaterThan">
      <formula>E32</formula>
    </cfRule>
  </conditionalFormatting>
  <conditionalFormatting sqref="B33 B35 B37 B39 B41 B43">
    <cfRule type="cellIs" dxfId="1741" priority="2653" operator="greaterThan">
      <formula>E33</formula>
    </cfRule>
  </conditionalFormatting>
  <conditionalFormatting sqref="E30">
    <cfRule type="cellIs" dxfId="1740" priority="2652" operator="greaterThan">
      <formula>B30</formula>
    </cfRule>
  </conditionalFormatting>
  <conditionalFormatting sqref="E31">
    <cfRule type="cellIs" dxfId="1739" priority="2651" operator="greaterThan">
      <formula>B31</formula>
    </cfRule>
  </conditionalFormatting>
  <conditionalFormatting sqref="E32 E34 E36 E40 E42">
    <cfRule type="cellIs" dxfId="1738" priority="2650" operator="greaterThan">
      <formula>B32</formula>
    </cfRule>
  </conditionalFormatting>
  <conditionalFormatting sqref="E33 E35 E37 E39 E41 E43">
    <cfRule type="cellIs" dxfId="1737" priority="2649" operator="greaterThan">
      <formula>B33</formula>
    </cfRule>
  </conditionalFormatting>
  <conditionalFormatting sqref="E38">
    <cfRule type="cellIs" dxfId="1736" priority="2648" operator="greaterThan">
      <formula>H38</formula>
    </cfRule>
  </conditionalFormatting>
  <conditionalFormatting sqref="M45:M59">
    <cfRule type="dataBar" priority="26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{0EC734D2-C052-47BA-ADE3-62A0F18F54AB}</x14:id>
        </ext>
      </extLst>
    </cfRule>
  </conditionalFormatting>
  <conditionalFormatting sqref="M30:M43">
    <cfRule type="dataBar" priority="2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{6FAA0C48-414B-4221-8C51-021E8C9FE9C5}</x14:id>
        </ext>
      </extLst>
    </cfRule>
  </conditionalFormatting>
  <conditionalFormatting sqref="Y35:Z35">
    <cfRule type="cellIs" dxfId="1735" priority="2637" operator="equal">
      <formula>0</formula>
    </cfRule>
    <cfRule type="expression" dxfId="1734" priority="2638">
      <formula>G35*100&lt;Y35</formula>
    </cfRule>
    <cfRule type="expression" dxfId="1733" priority="2639">
      <formula>Y35&lt;G35*100</formula>
    </cfRule>
  </conditionalFormatting>
  <conditionalFormatting sqref="Y36:Z36">
    <cfRule type="cellIs" dxfId="1732" priority="2631" operator="equal">
      <formula>0</formula>
    </cfRule>
  </conditionalFormatting>
  <conditionalFormatting sqref="Y43:Z43">
    <cfRule type="cellIs" dxfId="1731" priority="2623" operator="equal">
      <formula>0</formula>
    </cfRule>
    <cfRule type="expression" dxfId="1730" priority="2624">
      <formula>G43*100&lt;Y43</formula>
    </cfRule>
    <cfRule type="expression" dxfId="1729" priority="2625">
      <formula>Y43&lt;G43*100</formula>
    </cfRule>
  </conditionalFormatting>
  <conditionalFormatting sqref="Y42:Z42">
    <cfRule type="cellIs" dxfId="1728" priority="2620" operator="equal">
      <formula>0</formula>
    </cfRule>
    <cfRule type="expression" dxfId="1727" priority="2621">
      <formula>G42*100&lt;Y42</formula>
    </cfRule>
    <cfRule type="expression" dxfId="1726" priority="2622">
      <formula>Y42&lt;G42*100</formula>
    </cfRule>
  </conditionalFormatting>
  <conditionalFormatting sqref="W26 W22">
    <cfRule type="cellIs" dxfId="1725" priority="2607" operator="equal">
      <formula>"STOP"</formula>
    </cfRule>
    <cfRule type="cellIs" dxfId="1724" priority="2608" operator="equal">
      <formula>"TRAILING"</formula>
    </cfRule>
  </conditionalFormatting>
  <conditionalFormatting sqref="W29 W25">
    <cfRule type="cellIs" dxfId="1723" priority="2605" operator="equal">
      <formula>"STOP"</formula>
    </cfRule>
    <cfRule type="cellIs" dxfId="1722" priority="2606" operator="equal">
      <formula>"TRAILING"</formula>
    </cfRule>
  </conditionalFormatting>
  <conditionalFormatting sqref="W28 W24">
    <cfRule type="cellIs" dxfId="1721" priority="2603" operator="equal">
      <formula>"STOP"</formula>
    </cfRule>
    <cfRule type="cellIs" dxfId="1720" priority="2604" operator="equal">
      <formula>"TRAILING"</formula>
    </cfRule>
  </conditionalFormatting>
  <conditionalFormatting sqref="W29 W25">
    <cfRule type="cellIs" dxfId="1719" priority="2564" operator="equal">
      <formula>"STOP"</formula>
    </cfRule>
    <cfRule type="cellIs" dxfId="1718" priority="2565" operator="equal">
      <formula>"TRAILING"</formula>
    </cfRule>
  </conditionalFormatting>
  <conditionalFormatting sqref="W28 W24">
    <cfRule type="cellIs" dxfId="1717" priority="2562" operator="equal">
      <formula>"STOP"</formula>
    </cfRule>
    <cfRule type="cellIs" dxfId="1716" priority="2563" operator="equal">
      <formula>"TRAILING"</formula>
    </cfRule>
  </conditionalFormatting>
  <conditionalFormatting sqref="W30:W31">
    <cfRule type="cellIs" dxfId="1715" priority="2545" operator="equal">
      <formula>0</formula>
    </cfRule>
  </conditionalFormatting>
  <conditionalFormatting sqref="W31">
    <cfRule type="cellIs" dxfId="1714" priority="2543" operator="equal">
      <formula>"STOP"</formula>
    </cfRule>
    <cfRule type="cellIs" dxfId="1713" priority="2544" operator="equal">
      <formula>"TRAILING"</formula>
    </cfRule>
  </conditionalFormatting>
  <conditionalFormatting sqref="W30">
    <cfRule type="cellIs" dxfId="1712" priority="2541" operator="equal">
      <formula>"STOP"</formula>
    </cfRule>
    <cfRule type="cellIs" dxfId="1711" priority="2542" operator="equal">
      <formula>"TRAILING"</formula>
    </cfRule>
  </conditionalFormatting>
  <conditionalFormatting sqref="W31">
    <cfRule type="cellIs" dxfId="1710" priority="2539" operator="equal">
      <formula>"STOP"</formula>
    </cfRule>
    <cfRule type="cellIs" dxfId="1709" priority="2540" operator="equal">
      <formula>"TRAILING"</formula>
    </cfRule>
  </conditionalFormatting>
  <conditionalFormatting sqref="W30">
    <cfRule type="cellIs" dxfId="1708" priority="2537" operator="equal">
      <formula>"STOP"</formula>
    </cfRule>
    <cfRule type="cellIs" dxfId="1707" priority="2538" operator="equal">
      <formula>"TRAILING"</formula>
    </cfRule>
  </conditionalFormatting>
  <conditionalFormatting sqref="W32:W33">
    <cfRule type="cellIs" dxfId="1706" priority="2536" operator="equal">
      <formula>0</formula>
    </cfRule>
  </conditionalFormatting>
  <conditionalFormatting sqref="W33">
    <cfRule type="cellIs" dxfId="1705" priority="2534" operator="equal">
      <formula>"STOP"</formula>
    </cfRule>
    <cfRule type="cellIs" dxfId="1704" priority="2535" operator="equal">
      <formula>"TRAILING"</formula>
    </cfRule>
  </conditionalFormatting>
  <conditionalFormatting sqref="W32">
    <cfRule type="cellIs" dxfId="1703" priority="2532" operator="equal">
      <formula>"STOP"</formula>
    </cfRule>
    <cfRule type="cellIs" dxfId="1702" priority="2533" operator="equal">
      <formula>"TRAILING"</formula>
    </cfRule>
  </conditionalFormatting>
  <conditionalFormatting sqref="W33">
    <cfRule type="cellIs" dxfId="1701" priority="2530" operator="equal">
      <formula>"STOP"</formula>
    </cfRule>
    <cfRule type="cellIs" dxfId="1700" priority="2531" operator="equal">
      <formula>"TRAILING"</formula>
    </cfRule>
  </conditionalFormatting>
  <conditionalFormatting sqref="W32">
    <cfRule type="cellIs" dxfId="1699" priority="2528" operator="equal">
      <formula>"STOP"</formula>
    </cfRule>
    <cfRule type="cellIs" dxfId="1698" priority="2529" operator="equal">
      <formula>"TRAILING"</formula>
    </cfRule>
  </conditionalFormatting>
  <conditionalFormatting sqref="W34:W35">
    <cfRule type="cellIs" dxfId="1697" priority="2527" operator="equal">
      <formula>0</formula>
    </cfRule>
  </conditionalFormatting>
  <conditionalFormatting sqref="W35">
    <cfRule type="cellIs" dxfId="1696" priority="2525" operator="equal">
      <formula>"STOP"</formula>
    </cfRule>
    <cfRule type="cellIs" dxfId="1695" priority="2526" operator="equal">
      <formula>"TRAILING"</formula>
    </cfRule>
  </conditionalFormatting>
  <conditionalFormatting sqref="W34">
    <cfRule type="cellIs" dxfId="1694" priority="2523" operator="equal">
      <formula>"STOP"</formula>
    </cfRule>
    <cfRule type="cellIs" dxfId="1693" priority="2524" operator="equal">
      <formula>"TRAILING"</formula>
    </cfRule>
  </conditionalFormatting>
  <conditionalFormatting sqref="W35">
    <cfRule type="cellIs" dxfId="1692" priority="2521" operator="equal">
      <formula>"STOP"</formula>
    </cfRule>
    <cfRule type="cellIs" dxfId="1691" priority="2522" operator="equal">
      <formula>"TRAILING"</formula>
    </cfRule>
  </conditionalFormatting>
  <conditionalFormatting sqref="W34">
    <cfRule type="cellIs" dxfId="1690" priority="2519" operator="equal">
      <formula>"STOP"</formula>
    </cfRule>
    <cfRule type="cellIs" dxfId="1689" priority="2520" operator="equal">
      <formula>"TRAILING"</formula>
    </cfRule>
  </conditionalFormatting>
  <conditionalFormatting sqref="W36:W37">
    <cfRule type="cellIs" dxfId="1688" priority="2518" operator="equal">
      <formula>0</formula>
    </cfRule>
  </conditionalFormatting>
  <conditionalFormatting sqref="W37">
    <cfRule type="cellIs" dxfId="1687" priority="2516" operator="equal">
      <formula>"STOP"</formula>
    </cfRule>
    <cfRule type="cellIs" dxfId="1686" priority="2517" operator="equal">
      <formula>"TRAILING"</formula>
    </cfRule>
  </conditionalFormatting>
  <conditionalFormatting sqref="W36">
    <cfRule type="cellIs" dxfId="1685" priority="2514" operator="equal">
      <formula>"STOP"</formula>
    </cfRule>
    <cfRule type="cellIs" dxfId="1684" priority="2515" operator="equal">
      <formula>"TRAILING"</formula>
    </cfRule>
  </conditionalFormatting>
  <conditionalFormatting sqref="W37">
    <cfRule type="cellIs" dxfId="1683" priority="2512" operator="equal">
      <formula>"STOP"</formula>
    </cfRule>
    <cfRule type="cellIs" dxfId="1682" priority="2513" operator="equal">
      <formula>"TRAILING"</formula>
    </cfRule>
  </conditionalFormatting>
  <conditionalFormatting sqref="W36">
    <cfRule type="cellIs" dxfId="1681" priority="2510" operator="equal">
      <formula>"STOP"</formula>
    </cfRule>
    <cfRule type="cellIs" dxfId="1680" priority="2511" operator="equal">
      <formula>"TRAILING"</formula>
    </cfRule>
  </conditionalFormatting>
  <conditionalFormatting sqref="W38:W39">
    <cfRule type="cellIs" dxfId="1679" priority="2509" operator="equal">
      <formula>0</formula>
    </cfRule>
  </conditionalFormatting>
  <conditionalFormatting sqref="W39">
    <cfRule type="cellIs" dxfId="1678" priority="2507" operator="equal">
      <formula>"STOP"</formula>
    </cfRule>
    <cfRule type="cellIs" dxfId="1677" priority="2508" operator="equal">
      <formula>"TRAILING"</formula>
    </cfRule>
  </conditionalFormatting>
  <conditionalFormatting sqref="W38">
    <cfRule type="cellIs" dxfId="1676" priority="2505" operator="equal">
      <formula>"STOP"</formula>
    </cfRule>
    <cfRule type="cellIs" dxfId="1675" priority="2506" operator="equal">
      <formula>"TRAILING"</formula>
    </cfRule>
  </conditionalFormatting>
  <conditionalFormatting sqref="W39">
    <cfRule type="cellIs" dxfId="1674" priority="2503" operator="equal">
      <formula>"STOP"</formula>
    </cfRule>
    <cfRule type="cellIs" dxfId="1673" priority="2504" operator="equal">
      <formula>"TRAILING"</formula>
    </cfRule>
  </conditionalFormatting>
  <conditionalFormatting sqref="W38">
    <cfRule type="cellIs" dxfId="1672" priority="2501" operator="equal">
      <formula>"STOP"</formula>
    </cfRule>
    <cfRule type="cellIs" dxfId="1671" priority="2502" operator="equal">
      <formula>"TRAILING"</formula>
    </cfRule>
  </conditionalFormatting>
  <conditionalFormatting sqref="W40:W41">
    <cfRule type="cellIs" dxfId="1670" priority="2500" operator="equal">
      <formula>0</formula>
    </cfRule>
  </conditionalFormatting>
  <conditionalFormatting sqref="W41">
    <cfRule type="cellIs" dxfId="1669" priority="2498" operator="equal">
      <formula>"STOP"</formula>
    </cfRule>
    <cfRule type="cellIs" dxfId="1668" priority="2499" operator="equal">
      <formula>"TRAILING"</formula>
    </cfRule>
  </conditionalFormatting>
  <conditionalFormatting sqref="W40">
    <cfRule type="cellIs" dxfId="1667" priority="2496" operator="equal">
      <formula>"STOP"</formula>
    </cfRule>
    <cfRule type="cellIs" dxfId="1666" priority="2497" operator="equal">
      <formula>"TRAILING"</formula>
    </cfRule>
  </conditionalFormatting>
  <conditionalFormatting sqref="W41">
    <cfRule type="cellIs" dxfId="1665" priority="2494" operator="equal">
      <formula>"STOP"</formula>
    </cfRule>
    <cfRule type="cellIs" dxfId="1664" priority="2495" operator="equal">
      <formula>"TRAILING"</formula>
    </cfRule>
  </conditionalFormatting>
  <conditionalFormatting sqref="W40">
    <cfRule type="cellIs" dxfId="1663" priority="2492" operator="equal">
      <formula>"STOP"</formula>
    </cfRule>
    <cfRule type="cellIs" dxfId="1662" priority="2493" operator="equal">
      <formula>"TRAILING"</formula>
    </cfRule>
  </conditionalFormatting>
  <conditionalFormatting sqref="W42:W43">
    <cfRule type="cellIs" dxfId="1661" priority="2491" operator="equal">
      <formula>0</formula>
    </cfRule>
  </conditionalFormatting>
  <conditionalFormatting sqref="W43">
    <cfRule type="cellIs" dxfId="1660" priority="2489" operator="equal">
      <formula>"STOP"</formula>
    </cfRule>
    <cfRule type="cellIs" dxfId="1659" priority="2490" operator="equal">
      <formula>"TRAILING"</formula>
    </cfRule>
  </conditionalFormatting>
  <conditionalFormatting sqref="W42">
    <cfRule type="cellIs" dxfId="1658" priority="2487" operator="equal">
      <formula>"STOP"</formula>
    </cfRule>
    <cfRule type="cellIs" dxfId="1657" priority="2488" operator="equal">
      <formula>"TRAILING"</formula>
    </cfRule>
  </conditionalFormatting>
  <conditionalFormatting sqref="W43">
    <cfRule type="cellIs" dxfId="1656" priority="2485" operator="equal">
      <formula>"STOP"</formula>
    </cfRule>
    <cfRule type="cellIs" dxfId="1655" priority="2486" operator="equal">
      <formula>"TRAILING"</formula>
    </cfRule>
  </conditionalFormatting>
  <conditionalFormatting sqref="W42">
    <cfRule type="cellIs" dxfId="1654" priority="2483" operator="equal">
      <formula>"STOP"</formula>
    </cfRule>
    <cfRule type="cellIs" dxfId="1653" priority="2484" operator="equal">
      <formula>"TRAILING"</formula>
    </cfRule>
  </conditionalFormatting>
  <conditionalFormatting sqref="X26 X22">
    <cfRule type="expression" dxfId="1652" priority="2317">
      <formula>X22*100&lt;C22</formula>
    </cfRule>
    <cfRule type="cellIs" dxfId="1651" priority="2318" operator="equal">
      <formula>0</formula>
    </cfRule>
  </conditionalFormatting>
  <conditionalFormatting sqref="X27 X23">
    <cfRule type="expression" dxfId="1650" priority="2315">
      <formula>X23*100&lt;C23</formula>
    </cfRule>
    <cfRule type="cellIs" dxfId="1649" priority="2316" operator="equal">
      <formula>0</formula>
    </cfRule>
  </conditionalFormatting>
  <conditionalFormatting sqref="X28 X24">
    <cfRule type="expression" dxfId="1648" priority="2313">
      <formula>X24*100&lt;C24</formula>
    </cfRule>
    <cfRule type="cellIs" dxfId="1647" priority="2314" operator="equal">
      <formula>0</formula>
    </cfRule>
  </conditionalFormatting>
  <conditionalFormatting sqref="X29 X25">
    <cfRule type="expression" dxfId="1646" priority="2311">
      <formula>X25*100&lt;C25</formula>
    </cfRule>
    <cfRule type="cellIs" dxfId="1645" priority="2312" operator="equal">
      <formula>0</formula>
    </cfRule>
  </conditionalFormatting>
  <conditionalFormatting sqref="X64">
    <cfRule type="expression" dxfId="1644" priority="2213">
      <formula>X64*100&lt;C64</formula>
    </cfRule>
    <cfRule type="cellIs" dxfId="1643" priority="2214" operator="equal">
      <formula>0</formula>
    </cfRule>
  </conditionalFormatting>
  <conditionalFormatting sqref="X65">
    <cfRule type="expression" dxfId="1642" priority="2211">
      <formula>X65*100&lt;C65</formula>
    </cfRule>
    <cfRule type="cellIs" dxfId="1641" priority="2212" operator="equal">
      <formula>0</formula>
    </cfRule>
  </conditionalFormatting>
  <conditionalFormatting sqref="X66">
    <cfRule type="expression" dxfId="1640" priority="2209">
      <formula>X66*100&lt;C66</formula>
    </cfRule>
    <cfRule type="cellIs" dxfId="1639" priority="2210" operator="equal">
      <formula>0</formula>
    </cfRule>
  </conditionalFormatting>
  <conditionalFormatting sqref="X67">
    <cfRule type="expression" dxfId="1638" priority="2207">
      <formula>X67*100&lt;C67</formula>
    </cfRule>
    <cfRule type="cellIs" dxfId="1637" priority="2208" operator="equal">
      <formula>0</formula>
    </cfRule>
  </conditionalFormatting>
  <conditionalFormatting sqref="X68">
    <cfRule type="expression" dxfId="1636" priority="2205">
      <formula>X68*100&lt;C68</formula>
    </cfRule>
    <cfRule type="cellIs" dxfId="1635" priority="2206" operator="equal">
      <formula>0</formula>
    </cfRule>
  </conditionalFormatting>
  <conditionalFormatting sqref="X69">
    <cfRule type="expression" dxfId="1634" priority="2203">
      <formula>X69*100&lt;C69</formula>
    </cfRule>
    <cfRule type="cellIs" dxfId="1633" priority="2204" operator="equal">
      <formula>0</formula>
    </cfRule>
  </conditionalFormatting>
  <conditionalFormatting sqref="X70">
    <cfRule type="expression" dxfId="1632" priority="2201">
      <formula>X70*100&lt;C70</formula>
    </cfRule>
    <cfRule type="cellIs" dxfId="1631" priority="2202" operator="equal">
      <formula>0</formula>
    </cfRule>
  </conditionalFormatting>
  <conditionalFormatting sqref="X71">
    <cfRule type="expression" dxfId="1630" priority="2199">
      <formula>X71*100&lt;C71</formula>
    </cfRule>
    <cfRule type="cellIs" dxfId="1629" priority="2200" operator="equal">
      <formula>0</formula>
    </cfRule>
  </conditionalFormatting>
  <conditionalFormatting sqref="X72">
    <cfRule type="expression" dxfId="1628" priority="2197">
      <formula>X72*100&lt;C72</formula>
    </cfRule>
    <cfRule type="cellIs" dxfId="1627" priority="2198" operator="equal">
      <formula>0</formula>
    </cfRule>
  </conditionalFormatting>
  <conditionalFormatting sqref="X73">
    <cfRule type="expression" dxfId="1626" priority="2195">
      <formula>X73*100&lt;C73</formula>
    </cfRule>
    <cfRule type="cellIs" dxfId="1625" priority="2196" operator="equal">
      <formula>0</formula>
    </cfRule>
  </conditionalFormatting>
  <conditionalFormatting sqref="X74">
    <cfRule type="expression" dxfId="1624" priority="2193">
      <formula>X74*100&lt;C74</formula>
    </cfRule>
    <cfRule type="cellIs" dxfId="1623" priority="2194" operator="equal">
      <formula>0</formula>
    </cfRule>
  </conditionalFormatting>
  <conditionalFormatting sqref="X75">
    <cfRule type="expression" dxfId="1622" priority="2191">
      <formula>X75*100&lt;C75</formula>
    </cfRule>
    <cfRule type="cellIs" dxfId="1621" priority="2192" operator="equal">
      <formula>0</formula>
    </cfRule>
  </conditionalFormatting>
  <conditionalFormatting sqref="X76">
    <cfRule type="expression" dxfId="1620" priority="2189">
      <formula>X76*100&lt;C76</formula>
    </cfRule>
    <cfRule type="cellIs" dxfId="1619" priority="2190" operator="equal">
      <formula>0</formula>
    </cfRule>
  </conditionalFormatting>
  <conditionalFormatting sqref="X77">
    <cfRule type="expression" dxfId="1618" priority="2187">
      <formula>X77*100&lt;C77</formula>
    </cfRule>
    <cfRule type="cellIs" dxfId="1617" priority="2188" operator="equal">
      <formula>0</formula>
    </cfRule>
  </conditionalFormatting>
  <conditionalFormatting sqref="X78">
    <cfRule type="expression" dxfId="1616" priority="2185">
      <formula>X78*100&lt;C78</formula>
    </cfRule>
    <cfRule type="cellIs" dxfId="1615" priority="2186" operator="equal">
      <formula>0</formula>
    </cfRule>
  </conditionalFormatting>
  <conditionalFormatting sqref="X79">
    <cfRule type="expression" dxfId="1614" priority="2183">
      <formula>X79*100&lt;C79</formula>
    </cfRule>
    <cfRule type="cellIs" dxfId="1613" priority="2184" operator="equal">
      <formula>0</formula>
    </cfRule>
  </conditionalFormatting>
  <conditionalFormatting sqref="X80">
    <cfRule type="expression" dxfId="1612" priority="2181">
      <formula>X80*100&lt;C80</formula>
    </cfRule>
    <cfRule type="cellIs" dxfId="1611" priority="2182" operator="equal">
      <formula>0</formula>
    </cfRule>
  </conditionalFormatting>
  <conditionalFormatting sqref="X81">
    <cfRule type="expression" dxfId="1610" priority="2179">
      <formula>X81*100&lt;C81</formula>
    </cfRule>
    <cfRule type="cellIs" dxfId="1609" priority="2180" operator="equal">
      <formula>0</formula>
    </cfRule>
  </conditionalFormatting>
  <conditionalFormatting sqref="X82">
    <cfRule type="expression" dxfId="1608" priority="2177">
      <formula>X82*100&lt;C82</formula>
    </cfRule>
    <cfRule type="cellIs" dxfId="1607" priority="2178" operator="equal">
      <formula>0</formula>
    </cfRule>
  </conditionalFormatting>
  <conditionalFormatting sqref="X83">
    <cfRule type="expression" dxfId="1606" priority="2175">
      <formula>X83*100&lt;C83</formula>
    </cfRule>
    <cfRule type="cellIs" dxfId="1605" priority="2176" operator="equal">
      <formula>0</formula>
    </cfRule>
  </conditionalFormatting>
  <conditionalFormatting sqref="X84">
    <cfRule type="expression" dxfId="1604" priority="2173">
      <formula>X84*100&lt;C84</formula>
    </cfRule>
    <cfRule type="cellIs" dxfId="1603" priority="2174" operator="equal">
      <formula>0</formula>
    </cfRule>
  </conditionalFormatting>
  <conditionalFormatting sqref="X85">
    <cfRule type="expression" dxfId="1602" priority="2171">
      <formula>X85*100&lt;C85</formula>
    </cfRule>
    <cfRule type="cellIs" dxfId="1601" priority="2172" operator="equal">
      <formula>0</formula>
    </cfRule>
  </conditionalFormatting>
  <conditionalFormatting sqref="X86">
    <cfRule type="expression" dxfId="1600" priority="2169">
      <formula>X86*100&lt;C86</formula>
    </cfRule>
    <cfRule type="cellIs" dxfId="1599" priority="2170" operator="equal">
      <formula>0</formula>
    </cfRule>
  </conditionalFormatting>
  <conditionalFormatting sqref="X87">
    <cfRule type="expression" dxfId="1598" priority="2167">
      <formula>X87*100&lt;C87</formula>
    </cfRule>
    <cfRule type="cellIs" dxfId="1597" priority="2168" operator="equal">
      <formula>0</formula>
    </cfRule>
  </conditionalFormatting>
  <conditionalFormatting sqref="X88">
    <cfRule type="expression" dxfId="1596" priority="2165">
      <formula>X88*100&lt;C88</formula>
    </cfRule>
    <cfRule type="cellIs" dxfId="1595" priority="2166" operator="equal">
      <formula>0</formula>
    </cfRule>
  </conditionalFormatting>
  <conditionalFormatting sqref="X89">
    <cfRule type="expression" dxfId="1594" priority="2163">
      <formula>X89*100&lt;C89</formula>
    </cfRule>
    <cfRule type="cellIs" dxfId="1593" priority="2164" operator="equal">
      <formula>0</formula>
    </cfRule>
  </conditionalFormatting>
  <conditionalFormatting sqref="X90">
    <cfRule type="expression" dxfId="1592" priority="2161">
      <formula>X90*100&lt;C90</formula>
    </cfRule>
    <cfRule type="cellIs" dxfId="1591" priority="2162" operator="equal">
      <formula>0</formula>
    </cfRule>
  </conditionalFormatting>
  <conditionalFormatting sqref="X91">
    <cfRule type="expression" dxfId="1590" priority="2159">
      <formula>X91*100&lt;C91</formula>
    </cfRule>
    <cfRule type="cellIs" dxfId="1589" priority="2160" operator="equal">
      <formula>0</formula>
    </cfRule>
  </conditionalFormatting>
  <conditionalFormatting sqref="X92">
    <cfRule type="expression" dxfId="1588" priority="2157">
      <formula>X92*100&lt;C92</formula>
    </cfRule>
    <cfRule type="cellIs" dxfId="1587" priority="2158" operator="equal">
      <formula>0</formula>
    </cfRule>
  </conditionalFormatting>
  <conditionalFormatting sqref="X93">
    <cfRule type="expression" dxfId="1586" priority="2155">
      <formula>X93*100&lt;C93</formula>
    </cfRule>
    <cfRule type="cellIs" dxfId="1585" priority="2156" operator="equal">
      <formula>0</formula>
    </cfRule>
  </conditionalFormatting>
  <conditionalFormatting sqref="X94">
    <cfRule type="expression" dxfId="1584" priority="2153">
      <formula>X94*100&lt;C94</formula>
    </cfRule>
    <cfRule type="cellIs" dxfId="1583" priority="2154" operator="equal">
      <formula>0</formula>
    </cfRule>
  </conditionalFormatting>
  <conditionalFormatting sqref="X95">
    <cfRule type="expression" dxfId="1582" priority="2151">
      <formula>X95*100&lt;C95</formula>
    </cfRule>
    <cfRule type="cellIs" dxfId="1581" priority="2152" operator="equal">
      <formula>0</formula>
    </cfRule>
  </conditionalFormatting>
  <conditionalFormatting sqref="X96">
    <cfRule type="expression" dxfId="1580" priority="2149">
      <formula>X96*100&lt;C96</formula>
    </cfRule>
    <cfRule type="cellIs" dxfId="1579" priority="2150" operator="equal">
      <formula>0</formula>
    </cfRule>
  </conditionalFormatting>
  <conditionalFormatting sqref="X97">
    <cfRule type="expression" dxfId="1578" priority="2147">
      <formula>X97*100&lt;C97</formula>
    </cfRule>
    <cfRule type="cellIs" dxfId="1577" priority="2148" operator="equal">
      <formula>0</formula>
    </cfRule>
  </conditionalFormatting>
  <conditionalFormatting sqref="X98">
    <cfRule type="expression" dxfId="1576" priority="2145">
      <formula>X98*100&lt;C98</formula>
    </cfRule>
    <cfRule type="cellIs" dxfId="1575" priority="2146" operator="equal">
      <formula>0</formula>
    </cfRule>
  </conditionalFormatting>
  <conditionalFormatting sqref="X99">
    <cfRule type="expression" dxfId="1574" priority="2143">
      <formula>X99*100&lt;C99</formula>
    </cfRule>
    <cfRule type="cellIs" dxfId="1573" priority="2144" operator="equal">
      <formula>0</formula>
    </cfRule>
  </conditionalFormatting>
  <conditionalFormatting sqref="X100">
    <cfRule type="expression" dxfId="1572" priority="2141">
      <formula>X100*100&lt;C100</formula>
    </cfRule>
    <cfRule type="cellIs" dxfId="1571" priority="2142" operator="equal">
      <formula>0</formula>
    </cfRule>
  </conditionalFormatting>
  <conditionalFormatting sqref="X101">
    <cfRule type="expression" dxfId="1570" priority="2139">
      <formula>X101*100&lt;C101</formula>
    </cfRule>
    <cfRule type="cellIs" dxfId="1569" priority="2140" operator="equal">
      <formula>0</formula>
    </cfRule>
  </conditionalFormatting>
  <conditionalFormatting sqref="X102">
    <cfRule type="expression" dxfId="1568" priority="2137">
      <formula>X102*100&lt;C102</formula>
    </cfRule>
    <cfRule type="cellIs" dxfId="1567" priority="2138" operator="equal">
      <formula>0</formula>
    </cfRule>
  </conditionalFormatting>
  <conditionalFormatting sqref="X103">
    <cfRule type="expression" dxfId="1566" priority="2135">
      <formula>X103*100&lt;C103</formula>
    </cfRule>
    <cfRule type="cellIs" dxfId="1565" priority="2136" operator="equal">
      <formula>0</formula>
    </cfRule>
  </conditionalFormatting>
  <conditionalFormatting sqref="X104">
    <cfRule type="expression" dxfId="1564" priority="2133">
      <formula>X104*100&lt;C104</formula>
    </cfRule>
    <cfRule type="cellIs" dxfId="1563" priority="2134" operator="equal">
      <formula>0</formula>
    </cfRule>
  </conditionalFormatting>
  <conditionalFormatting sqref="X105">
    <cfRule type="expression" dxfId="1562" priority="2131">
      <formula>X105*100&lt;C105</formula>
    </cfRule>
    <cfRule type="cellIs" dxfId="1561" priority="2132" operator="equal">
      <formula>0</formula>
    </cfRule>
  </conditionalFormatting>
  <conditionalFormatting sqref="X106">
    <cfRule type="expression" dxfId="1560" priority="2129">
      <formula>X106*100&lt;C106</formula>
    </cfRule>
    <cfRule type="cellIs" dxfId="1559" priority="2130" operator="equal">
      <formula>0</formula>
    </cfRule>
  </conditionalFormatting>
  <conditionalFormatting sqref="X107">
    <cfRule type="expression" dxfId="1558" priority="2127">
      <formula>X107*100&lt;C107</formula>
    </cfRule>
    <cfRule type="cellIs" dxfId="1557" priority="2128" operator="equal">
      <formula>0</formula>
    </cfRule>
  </conditionalFormatting>
  <conditionalFormatting sqref="X108">
    <cfRule type="expression" dxfId="1556" priority="2125">
      <formula>X108*100&lt;C108</formula>
    </cfRule>
    <cfRule type="cellIs" dxfId="1555" priority="2126" operator="equal">
      <formula>0</formula>
    </cfRule>
  </conditionalFormatting>
  <conditionalFormatting sqref="X109">
    <cfRule type="expression" dxfId="1554" priority="2123">
      <formula>X109*100&lt;C109</formula>
    </cfRule>
    <cfRule type="cellIs" dxfId="1553" priority="2124" operator="equal">
      <formula>0</formula>
    </cfRule>
  </conditionalFormatting>
  <conditionalFormatting sqref="X110">
    <cfRule type="expression" dxfId="1552" priority="2121">
      <formula>X110*100&lt;C110</formula>
    </cfRule>
    <cfRule type="cellIs" dxfId="1551" priority="2122" operator="equal">
      <formula>0</formula>
    </cfRule>
  </conditionalFormatting>
  <conditionalFormatting sqref="X111">
    <cfRule type="expression" dxfId="1550" priority="2119">
      <formula>X111*100&lt;C111</formula>
    </cfRule>
    <cfRule type="cellIs" dxfId="1549" priority="2120" operator="equal">
      <formula>0</formula>
    </cfRule>
  </conditionalFormatting>
  <conditionalFormatting sqref="X112">
    <cfRule type="expression" dxfId="1548" priority="2117">
      <formula>X112*100&lt;C112</formula>
    </cfRule>
    <cfRule type="cellIs" dxfId="1547" priority="2118" operator="equal">
      <formula>0</formula>
    </cfRule>
  </conditionalFormatting>
  <conditionalFormatting sqref="X113">
    <cfRule type="expression" dxfId="1546" priority="2115">
      <formula>X113*100&lt;C113</formula>
    </cfRule>
    <cfRule type="cellIs" dxfId="1545" priority="2116" operator="equal">
      <formula>0</formula>
    </cfRule>
  </conditionalFormatting>
  <conditionalFormatting sqref="X114">
    <cfRule type="expression" dxfId="1544" priority="2113">
      <formula>X114*100&lt;C114</formula>
    </cfRule>
    <cfRule type="cellIs" dxfId="1543" priority="2114" operator="equal">
      <formula>0</formula>
    </cfRule>
  </conditionalFormatting>
  <conditionalFormatting sqref="X115">
    <cfRule type="expression" dxfId="1542" priority="2111">
      <formula>X115*100&lt;C115</formula>
    </cfRule>
    <cfRule type="cellIs" dxfId="1541" priority="2112" operator="equal">
      <formula>0</formula>
    </cfRule>
  </conditionalFormatting>
  <conditionalFormatting sqref="X116">
    <cfRule type="expression" dxfId="1540" priority="2109">
      <formula>X116*100&lt;C116</formula>
    </cfRule>
    <cfRule type="cellIs" dxfId="1539" priority="2110" operator="equal">
      <formula>0</formula>
    </cfRule>
  </conditionalFormatting>
  <conditionalFormatting sqref="X117">
    <cfRule type="expression" dxfId="1538" priority="2107">
      <formula>X117*100&lt;C117</formula>
    </cfRule>
    <cfRule type="cellIs" dxfId="1537" priority="2108" operator="equal">
      <formula>0</formula>
    </cfRule>
  </conditionalFormatting>
  <conditionalFormatting sqref="X118">
    <cfRule type="expression" dxfId="1536" priority="2105">
      <formula>X118*100&lt;C118</formula>
    </cfRule>
    <cfRule type="cellIs" dxfId="1535" priority="2106" operator="equal">
      <formula>0</formula>
    </cfRule>
  </conditionalFormatting>
  <conditionalFormatting sqref="X119">
    <cfRule type="expression" dxfId="1534" priority="2103">
      <formula>X119*100&lt;C119</formula>
    </cfRule>
    <cfRule type="cellIs" dxfId="1533" priority="2104" operator="equal">
      <formula>0</formula>
    </cfRule>
  </conditionalFormatting>
  <conditionalFormatting sqref="X120">
    <cfRule type="expression" dxfId="1532" priority="2101">
      <formula>X120*100&lt;C120</formula>
    </cfRule>
    <cfRule type="cellIs" dxfId="1531" priority="2102" operator="equal">
      <formula>0</formula>
    </cfRule>
  </conditionalFormatting>
  <conditionalFormatting sqref="X121">
    <cfRule type="expression" dxfId="1530" priority="2099">
      <formula>X121*100&lt;C121</formula>
    </cfRule>
    <cfRule type="cellIs" dxfId="1529" priority="2100" operator="equal">
      <formula>0</formula>
    </cfRule>
  </conditionalFormatting>
  <conditionalFormatting sqref="X122">
    <cfRule type="expression" dxfId="1528" priority="2097">
      <formula>X122*100&lt;C122</formula>
    </cfRule>
    <cfRule type="cellIs" dxfId="1527" priority="2098" operator="equal">
      <formula>0</formula>
    </cfRule>
  </conditionalFormatting>
  <conditionalFormatting sqref="X123">
    <cfRule type="expression" dxfId="1526" priority="2095">
      <formula>X123*100&lt;C123</formula>
    </cfRule>
    <cfRule type="cellIs" dxfId="1525" priority="2096" operator="equal">
      <formula>0</formula>
    </cfRule>
  </conditionalFormatting>
  <conditionalFormatting sqref="X124">
    <cfRule type="expression" dxfId="1524" priority="2093">
      <formula>X124*100&lt;C124</formula>
    </cfRule>
    <cfRule type="cellIs" dxfId="1523" priority="2094" operator="equal">
      <formula>0</formula>
    </cfRule>
  </conditionalFormatting>
  <conditionalFormatting sqref="X125">
    <cfRule type="expression" dxfId="1522" priority="2091">
      <formula>X125*100&lt;C125</formula>
    </cfRule>
    <cfRule type="cellIs" dxfId="1521" priority="2092" operator="equal">
      <formula>0</formula>
    </cfRule>
  </conditionalFormatting>
  <conditionalFormatting sqref="X126">
    <cfRule type="expression" dxfId="1520" priority="2089">
      <formula>X126*100&lt;C126</formula>
    </cfRule>
    <cfRule type="cellIs" dxfId="1519" priority="2090" operator="equal">
      <formula>0</formula>
    </cfRule>
  </conditionalFormatting>
  <conditionalFormatting sqref="X127">
    <cfRule type="expression" dxfId="1518" priority="2087">
      <formula>X127*100&lt;C127</formula>
    </cfRule>
    <cfRule type="cellIs" dxfId="1517" priority="2088" operator="equal">
      <formula>0</formula>
    </cfRule>
  </conditionalFormatting>
  <conditionalFormatting sqref="X128">
    <cfRule type="expression" dxfId="1516" priority="2085">
      <formula>X128*100&lt;C128</formula>
    </cfRule>
    <cfRule type="cellIs" dxfId="1515" priority="2086" operator="equal">
      <formula>0</formula>
    </cfRule>
  </conditionalFormatting>
  <conditionalFormatting sqref="X129">
    <cfRule type="expression" dxfId="1514" priority="2083">
      <formula>X129*100&lt;C129</formula>
    </cfRule>
    <cfRule type="cellIs" dxfId="1513" priority="2084" operator="equal">
      <formula>0</formula>
    </cfRule>
  </conditionalFormatting>
  <conditionalFormatting sqref="X130">
    <cfRule type="expression" dxfId="1512" priority="2081">
      <formula>X130*100&lt;C130</formula>
    </cfRule>
    <cfRule type="cellIs" dxfId="1511" priority="2082" operator="equal">
      <formula>0</formula>
    </cfRule>
  </conditionalFormatting>
  <conditionalFormatting sqref="X131">
    <cfRule type="expression" dxfId="1510" priority="2079">
      <formula>X131*100&lt;C131</formula>
    </cfRule>
    <cfRule type="cellIs" dxfId="1509" priority="2080" operator="equal">
      <formula>0</formula>
    </cfRule>
  </conditionalFormatting>
  <conditionalFormatting sqref="X132">
    <cfRule type="expression" dxfId="1508" priority="2077">
      <formula>X132*100&lt;C132</formula>
    </cfRule>
    <cfRule type="cellIs" dxfId="1507" priority="2078" operator="equal">
      <formula>0</formula>
    </cfRule>
  </conditionalFormatting>
  <conditionalFormatting sqref="X133">
    <cfRule type="expression" dxfId="1506" priority="2075">
      <formula>X133*100&lt;C133</formula>
    </cfRule>
    <cfRule type="cellIs" dxfId="1505" priority="2076" operator="equal">
      <formula>0</formula>
    </cfRule>
  </conditionalFormatting>
  <conditionalFormatting sqref="X134">
    <cfRule type="expression" dxfId="1504" priority="2073">
      <formula>X134*100&lt;C134</formula>
    </cfRule>
    <cfRule type="cellIs" dxfId="1503" priority="2074" operator="equal">
      <formula>0</formula>
    </cfRule>
  </conditionalFormatting>
  <conditionalFormatting sqref="X135">
    <cfRule type="expression" dxfId="1502" priority="2071">
      <formula>X135*100&lt;C135</formula>
    </cfRule>
    <cfRule type="cellIs" dxfId="1501" priority="2072" operator="equal">
      <formula>0</formula>
    </cfRule>
  </conditionalFormatting>
  <conditionalFormatting sqref="X136">
    <cfRule type="expression" dxfId="1500" priority="2069">
      <formula>X136*100&lt;C136</formula>
    </cfRule>
    <cfRule type="cellIs" dxfId="1499" priority="2070" operator="equal">
      <formula>0</formula>
    </cfRule>
  </conditionalFormatting>
  <conditionalFormatting sqref="X137">
    <cfRule type="expression" dxfId="1498" priority="2067">
      <formula>X137*100&lt;C137</formula>
    </cfRule>
    <cfRule type="cellIs" dxfId="1497" priority="2068" operator="equal">
      <formula>0</formula>
    </cfRule>
  </conditionalFormatting>
  <conditionalFormatting sqref="X138">
    <cfRule type="expression" dxfId="1496" priority="2065">
      <formula>X138*100&lt;C138</formula>
    </cfRule>
    <cfRule type="cellIs" dxfId="1495" priority="2066" operator="equal">
      <formula>0</formula>
    </cfRule>
  </conditionalFormatting>
  <conditionalFormatting sqref="X139">
    <cfRule type="expression" dxfId="1494" priority="2063">
      <formula>X139*100&lt;C139</formula>
    </cfRule>
    <cfRule type="cellIs" dxfId="1493" priority="2064" operator="equal">
      <formula>0</formula>
    </cfRule>
  </conditionalFormatting>
  <conditionalFormatting sqref="X140">
    <cfRule type="expression" dxfId="1492" priority="2061">
      <formula>X140*100&lt;C140</formula>
    </cfRule>
    <cfRule type="cellIs" dxfId="1491" priority="2062" operator="equal">
      <formula>0</formula>
    </cfRule>
  </conditionalFormatting>
  <conditionalFormatting sqref="X141">
    <cfRule type="expression" dxfId="1490" priority="2059">
      <formula>X141*100&lt;C141</formula>
    </cfRule>
    <cfRule type="cellIs" dxfId="1489" priority="2060" operator="equal">
      <formula>0</formula>
    </cfRule>
  </conditionalFormatting>
  <conditionalFormatting sqref="X142">
    <cfRule type="expression" dxfId="1488" priority="2057">
      <formula>X142*100&lt;C142</formula>
    </cfRule>
    <cfRule type="cellIs" dxfId="1487" priority="2058" operator="equal">
      <formula>0</formula>
    </cfRule>
  </conditionalFormatting>
  <conditionalFormatting sqref="X143">
    <cfRule type="expression" dxfId="1486" priority="2055">
      <formula>X143*100&lt;C143</formula>
    </cfRule>
    <cfRule type="cellIs" dxfId="1485" priority="2056" operator="equal">
      <formula>0</formula>
    </cfRule>
  </conditionalFormatting>
  <conditionalFormatting sqref="X144">
    <cfRule type="expression" dxfId="1484" priority="2053">
      <formula>X144*100&lt;C144</formula>
    </cfRule>
    <cfRule type="cellIs" dxfId="1483" priority="2054" operator="equal">
      <formula>0</formula>
    </cfRule>
  </conditionalFormatting>
  <conditionalFormatting sqref="X145">
    <cfRule type="expression" dxfId="1482" priority="2051">
      <formula>X145*100&lt;C145</formula>
    </cfRule>
    <cfRule type="cellIs" dxfId="1481" priority="2052" operator="equal">
      <formula>0</formula>
    </cfRule>
  </conditionalFormatting>
  <conditionalFormatting sqref="X146">
    <cfRule type="expression" dxfId="1480" priority="2049">
      <formula>X146*100&lt;C146</formula>
    </cfRule>
    <cfRule type="cellIs" dxfId="1479" priority="2050" operator="equal">
      <formula>0</formula>
    </cfRule>
  </conditionalFormatting>
  <conditionalFormatting sqref="X147">
    <cfRule type="expression" dxfId="1478" priority="2047">
      <formula>X147*100&lt;C147</formula>
    </cfRule>
    <cfRule type="cellIs" dxfId="1477" priority="2048" operator="equal">
      <formula>0</formula>
    </cfRule>
  </conditionalFormatting>
  <conditionalFormatting sqref="X148">
    <cfRule type="expression" dxfId="1476" priority="2045">
      <formula>X148*100&lt;C148</formula>
    </cfRule>
    <cfRule type="cellIs" dxfId="1475" priority="2046" operator="equal">
      <formula>0</formula>
    </cfRule>
  </conditionalFormatting>
  <conditionalFormatting sqref="X149">
    <cfRule type="expression" dxfId="1474" priority="2043">
      <formula>X149*100&lt;C149</formula>
    </cfRule>
    <cfRule type="cellIs" dxfId="1473" priority="2044" operator="equal">
      <formula>0</formula>
    </cfRule>
  </conditionalFormatting>
  <conditionalFormatting sqref="X150">
    <cfRule type="expression" dxfId="1472" priority="2041">
      <formula>X150*100&lt;C150</formula>
    </cfRule>
    <cfRule type="cellIs" dxfId="1471" priority="2042" operator="equal">
      <formula>0</formula>
    </cfRule>
  </conditionalFormatting>
  <conditionalFormatting sqref="X151">
    <cfRule type="expression" dxfId="1470" priority="2039">
      <formula>X151*100&lt;C151</formula>
    </cfRule>
    <cfRule type="cellIs" dxfId="1469" priority="2040" operator="equal">
      <formula>0</formula>
    </cfRule>
  </conditionalFormatting>
  <conditionalFormatting sqref="X152">
    <cfRule type="expression" dxfId="1468" priority="2037">
      <formula>X152*100&lt;C152</formula>
    </cfRule>
    <cfRule type="cellIs" dxfId="1467" priority="2038" operator="equal">
      <formula>0</formula>
    </cfRule>
  </conditionalFormatting>
  <conditionalFormatting sqref="X153">
    <cfRule type="expression" dxfId="1466" priority="2035">
      <formula>X153*100&lt;C153</formula>
    </cfRule>
    <cfRule type="cellIs" dxfId="1465" priority="2036" operator="equal">
      <formula>0</formula>
    </cfRule>
  </conditionalFormatting>
  <conditionalFormatting sqref="X154">
    <cfRule type="expression" dxfId="1464" priority="2033">
      <formula>X154*100&lt;C154</formula>
    </cfRule>
    <cfRule type="cellIs" dxfId="1463" priority="2034" operator="equal">
      <formula>0</formula>
    </cfRule>
  </conditionalFormatting>
  <conditionalFormatting sqref="X155">
    <cfRule type="expression" dxfId="1462" priority="2031">
      <formula>X155*100&lt;C155</formula>
    </cfRule>
    <cfRule type="cellIs" dxfId="1461" priority="2032" operator="equal">
      <formula>0</formula>
    </cfRule>
  </conditionalFormatting>
  <conditionalFormatting sqref="X156">
    <cfRule type="expression" dxfId="1460" priority="2029">
      <formula>X156*100&lt;C156</formula>
    </cfRule>
    <cfRule type="cellIs" dxfId="1459" priority="2030" operator="equal">
      <formula>0</formula>
    </cfRule>
  </conditionalFormatting>
  <conditionalFormatting sqref="X157">
    <cfRule type="expression" dxfId="1458" priority="2027">
      <formula>X157*100&lt;C157</formula>
    </cfRule>
    <cfRule type="cellIs" dxfId="1457" priority="2028" operator="equal">
      <formula>0</formula>
    </cfRule>
  </conditionalFormatting>
  <conditionalFormatting sqref="X158">
    <cfRule type="expression" dxfId="1456" priority="2025">
      <formula>X158*100&lt;C158</formula>
    </cfRule>
    <cfRule type="cellIs" dxfId="1455" priority="2026" operator="equal">
      <formula>0</formula>
    </cfRule>
  </conditionalFormatting>
  <conditionalFormatting sqref="X159">
    <cfRule type="expression" dxfId="1454" priority="2023">
      <formula>X159*100&lt;C159</formula>
    </cfRule>
    <cfRule type="cellIs" dxfId="1453" priority="2024" operator="equal">
      <formula>0</formula>
    </cfRule>
  </conditionalFormatting>
  <conditionalFormatting sqref="X160">
    <cfRule type="expression" dxfId="1452" priority="2021">
      <formula>X160*100&lt;C160</formula>
    </cfRule>
    <cfRule type="cellIs" dxfId="1451" priority="2022" operator="equal">
      <formula>0</formula>
    </cfRule>
  </conditionalFormatting>
  <conditionalFormatting sqref="X161">
    <cfRule type="expression" dxfId="1450" priority="2019">
      <formula>X161*100&lt;C161</formula>
    </cfRule>
    <cfRule type="cellIs" dxfId="1449" priority="2020" operator="equal">
      <formula>0</formula>
    </cfRule>
  </conditionalFormatting>
  <conditionalFormatting sqref="X162">
    <cfRule type="expression" dxfId="1448" priority="2017">
      <formula>X162*100&lt;C162</formula>
    </cfRule>
    <cfRule type="cellIs" dxfId="1447" priority="2018" operator="equal">
      <formula>0</formula>
    </cfRule>
  </conditionalFormatting>
  <conditionalFormatting sqref="X163">
    <cfRule type="expression" dxfId="1446" priority="2015">
      <formula>X163*100&lt;C163</formula>
    </cfRule>
    <cfRule type="cellIs" dxfId="1445" priority="2016" operator="equal">
      <formula>0</formula>
    </cfRule>
  </conditionalFormatting>
  <conditionalFormatting sqref="X164">
    <cfRule type="expression" dxfId="1444" priority="2013">
      <formula>X164*100&lt;C164</formula>
    </cfRule>
    <cfRule type="cellIs" dxfId="1443" priority="2014" operator="equal">
      <formula>0</formula>
    </cfRule>
  </conditionalFormatting>
  <conditionalFormatting sqref="X165">
    <cfRule type="expression" dxfId="1442" priority="2011">
      <formula>X165*100&lt;C165</formula>
    </cfRule>
    <cfRule type="cellIs" dxfId="1441" priority="2012" operator="equal">
      <formula>0</formula>
    </cfRule>
  </conditionalFormatting>
  <conditionalFormatting sqref="X166 X172 X178 X184 X190 X196">
    <cfRule type="expression" dxfId="1440" priority="2009">
      <formula>X166*100&lt;C166</formula>
    </cfRule>
    <cfRule type="cellIs" dxfId="1439" priority="2010" operator="equal">
      <formula>0</formula>
    </cfRule>
  </conditionalFormatting>
  <conditionalFormatting sqref="X167 X173 X179 X185 X191 X197">
    <cfRule type="expression" dxfId="1438" priority="2007">
      <formula>X167*100&lt;C167</formula>
    </cfRule>
    <cfRule type="cellIs" dxfId="1437" priority="2008" operator="equal">
      <formula>0</formula>
    </cfRule>
  </conditionalFormatting>
  <conditionalFormatting sqref="X168 X174 X180 X186 X192 X198">
    <cfRule type="expression" dxfId="1436" priority="2005">
      <formula>X168*100&lt;C168</formula>
    </cfRule>
    <cfRule type="cellIs" dxfId="1435" priority="2006" operator="equal">
      <formula>0</formula>
    </cfRule>
  </conditionalFormatting>
  <conditionalFormatting sqref="X169 X175 X181 X187 X193 X199">
    <cfRule type="expression" dxfId="1434" priority="2003">
      <formula>X169*100&lt;C169</formula>
    </cfRule>
    <cfRule type="cellIs" dxfId="1433" priority="2004" operator="equal">
      <formula>0</formula>
    </cfRule>
  </conditionalFormatting>
  <conditionalFormatting sqref="X170 X176 X182 X188 X194 X200">
    <cfRule type="expression" dxfId="1432" priority="2001">
      <formula>X170*100&lt;C170</formula>
    </cfRule>
    <cfRule type="cellIs" dxfId="1431" priority="2002" operator="equal">
      <formula>0</formula>
    </cfRule>
  </conditionalFormatting>
  <conditionalFormatting sqref="X171 X177 X183 X189 X195 X201">
    <cfRule type="expression" dxfId="1430" priority="1999">
      <formula>X171*100&lt;C171</formula>
    </cfRule>
    <cfRule type="cellIs" dxfId="1429" priority="2000" operator="equal">
      <formula>0</formula>
    </cfRule>
  </conditionalFormatting>
  <conditionalFormatting sqref="W2:W3">
    <cfRule type="cellIs" dxfId="1428" priority="1998" operator="equal">
      <formula>0</formula>
    </cfRule>
  </conditionalFormatting>
  <conditionalFormatting sqref="W3">
    <cfRule type="cellIs" dxfId="1427" priority="1996" operator="equal">
      <formula>"STOP"</formula>
    </cfRule>
    <cfRule type="cellIs" dxfId="1426" priority="1997" operator="equal">
      <formula>"TRAILING"</formula>
    </cfRule>
  </conditionalFormatting>
  <conditionalFormatting sqref="W2">
    <cfRule type="cellIs" dxfId="1425" priority="1994" operator="equal">
      <formula>"STOP"</formula>
    </cfRule>
    <cfRule type="cellIs" dxfId="1424" priority="1995" operator="equal">
      <formula>"TRAILING"</formula>
    </cfRule>
  </conditionalFormatting>
  <conditionalFormatting sqref="X2">
    <cfRule type="expression" dxfId="1423" priority="1992">
      <formula>X2*100&lt;C2</formula>
    </cfRule>
    <cfRule type="cellIs" dxfId="1422" priority="1993" operator="equal">
      <formula>0</formula>
    </cfRule>
  </conditionalFormatting>
  <conditionalFormatting sqref="X3">
    <cfRule type="expression" dxfId="1421" priority="1990">
      <formula>X3*100&lt;C3</formula>
    </cfRule>
    <cfRule type="cellIs" dxfId="1420" priority="1991" operator="equal">
      <formula>0</formula>
    </cfRule>
  </conditionalFormatting>
  <conditionalFormatting sqref="W4:W5">
    <cfRule type="cellIs" dxfId="1419" priority="1989" operator="equal">
      <formula>0</formula>
    </cfRule>
  </conditionalFormatting>
  <conditionalFormatting sqref="W5">
    <cfRule type="cellIs" dxfId="1418" priority="1987" operator="equal">
      <formula>"STOP"</formula>
    </cfRule>
    <cfRule type="cellIs" dxfId="1417" priority="1988" operator="equal">
      <formula>"TRAILING"</formula>
    </cfRule>
  </conditionalFormatting>
  <conditionalFormatting sqref="W4">
    <cfRule type="cellIs" dxfId="1416" priority="1985" operator="equal">
      <formula>"STOP"</formula>
    </cfRule>
    <cfRule type="cellIs" dxfId="1415" priority="1986" operator="equal">
      <formula>"TRAILING"</formula>
    </cfRule>
  </conditionalFormatting>
  <conditionalFormatting sqref="X4">
    <cfRule type="expression" dxfId="1414" priority="1983">
      <formula>X4*100&lt;C4</formula>
    </cfRule>
    <cfRule type="cellIs" dxfId="1413" priority="1984" operator="equal">
      <formula>0</formula>
    </cfRule>
  </conditionalFormatting>
  <conditionalFormatting sqref="X5">
    <cfRule type="expression" dxfId="1412" priority="1981">
      <formula>X5*100&lt;C5</formula>
    </cfRule>
    <cfRule type="cellIs" dxfId="1411" priority="1982" operator="equal">
      <formula>0</formula>
    </cfRule>
  </conditionalFormatting>
  <conditionalFormatting sqref="W6:W7">
    <cfRule type="cellIs" dxfId="1410" priority="1980" operator="equal">
      <formula>0</formula>
    </cfRule>
  </conditionalFormatting>
  <conditionalFormatting sqref="W7">
    <cfRule type="cellIs" dxfId="1409" priority="1978" operator="equal">
      <formula>"STOP"</formula>
    </cfRule>
    <cfRule type="cellIs" dxfId="1408" priority="1979" operator="equal">
      <formula>"TRAILING"</formula>
    </cfRule>
  </conditionalFormatting>
  <conditionalFormatting sqref="W6">
    <cfRule type="cellIs" dxfId="1407" priority="1976" operator="equal">
      <formula>"STOP"</formula>
    </cfRule>
    <cfRule type="cellIs" dxfId="1406" priority="1977" operator="equal">
      <formula>"TRAILING"</formula>
    </cfRule>
  </conditionalFormatting>
  <conditionalFormatting sqref="X6">
    <cfRule type="expression" dxfId="1405" priority="1974">
      <formula>X6*100&lt;C6</formula>
    </cfRule>
    <cfRule type="cellIs" dxfId="1404" priority="1975" operator="equal">
      <formula>0</formula>
    </cfRule>
  </conditionalFormatting>
  <conditionalFormatting sqref="X7">
    <cfRule type="expression" dxfId="1403" priority="1972">
      <formula>X7*100&lt;C7</formula>
    </cfRule>
    <cfRule type="cellIs" dxfId="1402" priority="1973" operator="equal">
      <formula>0</formula>
    </cfRule>
  </conditionalFormatting>
  <conditionalFormatting sqref="W8:W9">
    <cfRule type="cellIs" dxfId="1401" priority="1971" operator="equal">
      <formula>0</formula>
    </cfRule>
  </conditionalFormatting>
  <conditionalFormatting sqref="W9">
    <cfRule type="cellIs" dxfId="1400" priority="1969" operator="equal">
      <formula>"STOP"</formula>
    </cfRule>
    <cfRule type="cellIs" dxfId="1399" priority="1970" operator="equal">
      <formula>"TRAILING"</formula>
    </cfRule>
  </conditionalFormatting>
  <conditionalFormatting sqref="W8">
    <cfRule type="cellIs" dxfId="1398" priority="1967" operator="equal">
      <formula>"STOP"</formula>
    </cfRule>
    <cfRule type="cellIs" dxfId="1397" priority="1968" operator="equal">
      <formula>"TRAILING"</formula>
    </cfRule>
  </conditionalFormatting>
  <conditionalFormatting sqref="X8">
    <cfRule type="expression" dxfId="1396" priority="1965">
      <formula>X8*100&lt;C8</formula>
    </cfRule>
    <cfRule type="cellIs" dxfId="1395" priority="1966" operator="equal">
      <formula>0</formula>
    </cfRule>
  </conditionalFormatting>
  <conditionalFormatting sqref="X9">
    <cfRule type="expression" dxfId="1394" priority="1963">
      <formula>X9*100&lt;C9</formula>
    </cfRule>
    <cfRule type="cellIs" dxfId="1393" priority="1964" operator="equal">
      <formula>0</formula>
    </cfRule>
  </conditionalFormatting>
  <conditionalFormatting sqref="W10:W11">
    <cfRule type="cellIs" dxfId="1392" priority="1962" operator="equal">
      <formula>0</formula>
    </cfRule>
  </conditionalFormatting>
  <conditionalFormatting sqref="W11">
    <cfRule type="cellIs" dxfId="1391" priority="1960" operator="equal">
      <formula>"STOP"</formula>
    </cfRule>
    <cfRule type="cellIs" dxfId="1390" priority="1961" operator="equal">
      <formula>"TRAILING"</formula>
    </cfRule>
  </conditionalFormatting>
  <conditionalFormatting sqref="W10">
    <cfRule type="cellIs" dxfId="1389" priority="1958" operator="equal">
      <formula>"STOP"</formula>
    </cfRule>
    <cfRule type="cellIs" dxfId="1388" priority="1959" operator="equal">
      <formula>"TRAILING"</formula>
    </cfRule>
  </conditionalFormatting>
  <conditionalFormatting sqref="X10">
    <cfRule type="expression" dxfId="1387" priority="1956">
      <formula>X10*100&lt;C10</formula>
    </cfRule>
    <cfRule type="cellIs" dxfId="1386" priority="1957" operator="equal">
      <formula>0</formula>
    </cfRule>
  </conditionalFormatting>
  <conditionalFormatting sqref="X11">
    <cfRule type="expression" dxfId="1385" priority="1954">
      <formula>X11*100&lt;C11</formula>
    </cfRule>
    <cfRule type="cellIs" dxfId="1384" priority="1955" operator="equal">
      <formula>0</formula>
    </cfRule>
  </conditionalFormatting>
  <conditionalFormatting sqref="W12:W13">
    <cfRule type="cellIs" dxfId="1383" priority="1953" operator="equal">
      <formula>0</formula>
    </cfRule>
  </conditionalFormatting>
  <conditionalFormatting sqref="W13">
    <cfRule type="cellIs" dxfId="1382" priority="1951" operator="equal">
      <formula>"STOP"</formula>
    </cfRule>
    <cfRule type="cellIs" dxfId="1381" priority="1952" operator="equal">
      <formula>"TRAILING"</formula>
    </cfRule>
  </conditionalFormatting>
  <conditionalFormatting sqref="W12">
    <cfRule type="cellIs" dxfId="1380" priority="1949" operator="equal">
      <formula>"STOP"</formula>
    </cfRule>
    <cfRule type="cellIs" dxfId="1379" priority="1950" operator="equal">
      <formula>"TRAILING"</formula>
    </cfRule>
  </conditionalFormatting>
  <conditionalFormatting sqref="X12">
    <cfRule type="expression" dxfId="1378" priority="1947">
      <formula>X12*100&lt;C12</formula>
    </cfRule>
    <cfRule type="cellIs" dxfId="1377" priority="1948" operator="equal">
      <formula>0</formula>
    </cfRule>
  </conditionalFormatting>
  <conditionalFormatting sqref="X13">
    <cfRule type="expression" dxfId="1376" priority="1945">
      <formula>X13*100&lt;C13</formula>
    </cfRule>
    <cfRule type="cellIs" dxfId="1375" priority="1946" operator="equal">
      <formula>0</formula>
    </cfRule>
  </conditionalFormatting>
  <conditionalFormatting sqref="W14:W15 W18:W19">
    <cfRule type="cellIs" dxfId="1374" priority="1944" operator="equal">
      <formula>0</formula>
    </cfRule>
  </conditionalFormatting>
  <conditionalFormatting sqref="W15 W19">
    <cfRule type="cellIs" dxfId="1373" priority="1942" operator="equal">
      <formula>"STOP"</formula>
    </cfRule>
    <cfRule type="cellIs" dxfId="1372" priority="1943" operator="equal">
      <formula>"TRAILING"</formula>
    </cfRule>
  </conditionalFormatting>
  <conditionalFormatting sqref="W14 W18">
    <cfRule type="cellIs" dxfId="1371" priority="1940" operator="equal">
      <formula>"STOP"</formula>
    </cfRule>
    <cfRule type="cellIs" dxfId="1370" priority="1941" operator="equal">
      <formula>"TRAILING"</formula>
    </cfRule>
  </conditionalFormatting>
  <conditionalFormatting sqref="X14 X18">
    <cfRule type="expression" dxfId="1369" priority="1938">
      <formula>X14*100&lt;C14</formula>
    </cfRule>
    <cfRule type="cellIs" dxfId="1368" priority="1939" operator="equal">
      <formula>0</formula>
    </cfRule>
  </conditionalFormatting>
  <conditionalFormatting sqref="X15 X19">
    <cfRule type="expression" dxfId="1367" priority="1936">
      <formula>X15*100&lt;C15</formula>
    </cfRule>
    <cfRule type="cellIs" dxfId="1366" priority="1937" operator="equal">
      <formula>0</formula>
    </cfRule>
  </conditionalFormatting>
  <conditionalFormatting sqref="W16:W17 W20:W21">
    <cfRule type="cellIs" dxfId="1365" priority="1935" operator="equal">
      <formula>0</formula>
    </cfRule>
  </conditionalFormatting>
  <conditionalFormatting sqref="W17 W21">
    <cfRule type="cellIs" dxfId="1364" priority="1933" operator="equal">
      <formula>"STOP"</formula>
    </cfRule>
    <cfRule type="cellIs" dxfId="1363" priority="1934" operator="equal">
      <formula>"TRAILING"</formula>
    </cfRule>
  </conditionalFormatting>
  <conditionalFormatting sqref="W16 W20">
    <cfRule type="cellIs" dxfId="1362" priority="1931" operator="equal">
      <formula>"STOP"</formula>
    </cfRule>
    <cfRule type="cellIs" dxfId="1361" priority="1932" operator="equal">
      <formula>"TRAILING"</formula>
    </cfRule>
  </conditionalFormatting>
  <conditionalFormatting sqref="X16 X20">
    <cfRule type="expression" dxfId="1360" priority="1929">
      <formula>X16*100&lt;C16</formula>
    </cfRule>
    <cfRule type="cellIs" dxfId="1359" priority="1930" operator="equal">
      <formula>0</formula>
    </cfRule>
  </conditionalFormatting>
  <conditionalFormatting sqref="X17 X21">
    <cfRule type="expression" dxfId="1358" priority="1927">
      <formula>X17*100&lt;C17</formula>
    </cfRule>
    <cfRule type="cellIs" dxfId="1357" priority="1928" operator="equal">
      <formula>0</formula>
    </cfRule>
  </conditionalFormatting>
  <conditionalFormatting sqref="X30">
    <cfRule type="expression" dxfId="1356" priority="1889">
      <formula>X30*100&lt;C30</formula>
    </cfRule>
    <cfRule type="cellIs" dxfId="1355" priority="1890" operator="equal">
      <formula>0</formula>
    </cfRule>
  </conditionalFormatting>
  <conditionalFormatting sqref="X31">
    <cfRule type="expression" dxfId="1354" priority="1887">
      <formula>X31*100&lt;C31</formula>
    </cfRule>
    <cfRule type="cellIs" dxfId="1353" priority="1888" operator="equal">
      <formula>0</formula>
    </cfRule>
  </conditionalFormatting>
  <conditionalFormatting sqref="X32">
    <cfRule type="expression" dxfId="1352" priority="1885">
      <formula>X32*100&lt;C32</formula>
    </cfRule>
    <cfRule type="cellIs" dxfId="1351" priority="1886" operator="equal">
      <formula>0</formula>
    </cfRule>
  </conditionalFormatting>
  <conditionalFormatting sqref="X33">
    <cfRule type="expression" dxfId="1350" priority="1883">
      <formula>X33*100&lt;C33</formula>
    </cfRule>
    <cfRule type="cellIs" dxfId="1349" priority="1884" operator="equal">
      <formula>0</formula>
    </cfRule>
  </conditionalFormatting>
  <conditionalFormatting sqref="X34">
    <cfRule type="expression" dxfId="1348" priority="1881">
      <formula>X34*100&lt;C34</formula>
    </cfRule>
    <cfRule type="cellIs" dxfId="1347" priority="1882" operator="equal">
      <formula>0</formula>
    </cfRule>
  </conditionalFormatting>
  <conditionalFormatting sqref="X35">
    <cfRule type="expression" dxfId="1346" priority="1879">
      <formula>X35*100&lt;C35</formula>
    </cfRule>
    <cfRule type="cellIs" dxfId="1345" priority="1880" operator="equal">
      <formula>0</formula>
    </cfRule>
  </conditionalFormatting>
  <conditionalFormatting sqref="X36">
    <cfRule type="expression" dxfId="1344" priority="1877">
      <formula>X36*100&lt;C36</formula>
    </cfRule>
    <cfRule type="cellIs" dxfId="1343" priority="1878" operator="equal">
      <formula>0</formula>
    </cfRule>
  </conditionalFormatting>
  <conditionalFormatting sqref="X37">
    <cfRule type="expression" dxfId="1342" priority="1875">
      <formula>X37*100&lt;C37</formula>
    </cfRule>
    <cfRule type="cellIs" dxfId="1341" priority="1876" operator="equal">
      <formula>0</formula>
    </cfRule>
  </conditionalFormatting>
  <conditionalFormatting sqref="X38">
    <cfRule type="expression" dxfId="1340" priority="1873">
      <formula>X38*100&lt;C38</formula>
    </cfRule>
    <cfRule type="cellIs" dxfId="1339" priority="1874" operator="equal">
      <formula>0</formula>
    </cfRule>
  </conditionalFormatting>
  <conditionalFormatting sqref="X39">
    <cfRule type="expression" dxfId="1338" priority="1871">
      <formula>X39*100&lt;C39</formula>
    </cfRule>
    <cfRule type="cellIs" dxfId="1337" priority="1872" operator="equal">
      <formula>0</formula>
    </cfRule>
  </conditionalFormatting>
  <conditionalFormatting sqref="X40">
    <cfRule type="expression" dxfId="1336" priority="1869">
      <formula>X40*100&lt;C40</formula>
    </cfRule>
    <cfRule type="cellIs" dxfId="1335" priority="1870" operator="equal">
      <formula>0</formula>
    </cfRule>
  </conditionalFormatting>
  <conditionalFormatting sqref="X41">
    <cfRule type="expression" dxfId="1334" priority="1867">
      <formula>X41*100&lt;C41</formula>
    </cfRule>
    <cfRule type="cellIs" dxfId="1333" priority="1868" operator="equal">
      <formula>0</formula>
    </cfRule>
  </conditionalFormatting>
  <conditionalFormatting sqref="X42">
    <cfRule type="expression" dxfId="1332" priority="1865">
      <formula>X42*100&lt;C42</formula>
    </cfRule>
    <cfRule type="cellIs" dxfId="1331" priority="1866" operator="equal">
      <formula>0</formula>
    </cfRule>
  </conditionalFormatting>
  <conditionalFormatting sqref="X43">
    <cfRule type="expression" dxfId="1330" priority="1863">
      <formula>X43*100&lt;C43</formula>
    </cfRule>
    <cfRule type="cellIs" dxfId="1329" priority="1864" operator="equal">
      <formula>0</formula>
    </cfRule>
  </conditionalFormatting>
  <conditionalFormatting sqref="Y64">
    <cfRule type="cellIs" dxfId="1328" priority="709" operator="lessThanOrEqual">
      <formula>0</formula>
    </cfRule>
    <cfRule type="expression" dxfId="1327" priority="1732">
      <formula>(C65)-(D64)&lt;(C65/100)*(1+$AD$1*$AE$1)</formula>
    </cfRule>
  </conditionalFormatting>
  <conditionalFormatting sqref="Y65">
    <cfRule type="cellIs" dxfId="1326" priority="1733" operator="equal">
      <formula>0</formula>
    </cfRule>
  </conditionalFormatting>
  <conditionalFormatting sqref="Y60">
    <cfRule type="expression" dxfId="1325" priority="1729">
      <formula>(C61)-(D60)&gt;(C61/100)*(1+$AD$1*$AE$1)</formula>
    </cfRule>
    <cfRule type="cellIs" dxfId="1324" priority="1731" operator="lessThanOrEqual">
      <formula>0</formula>
    </cfRule>
  </conditionalFormatting>
  <conditionalFormatting sqref="Y61">
    <cfRule type="cellIs" dxfId="1323" priority="1730" operator="equal">
      <formula>0</formula>
    </cfRule>
  </conditionalFormatting>
  <conditionalFormatting sqref="U1">
    <cfRule type="cellIs" dxfId="1322" priority="1643" operator="notEqual">
      <formula>0</formula>
    </cfRule>
  </conditionalFormatting>
  <conditionalFormatting sqref="V1">
    <cfRule type="cellIs" dxfId="1321" priority="1642" operator="notEqual">
      <formula>0</formula>
    </cfRule>
  </conditionalFormatting>
  <conditionalFormatting sqref="Z36">
    <cfRule type="cellIs" dxfId="1320" priority="1632" operator="greaterThan">
      <formula>0</formula>
    </cfRule>
  </conditionalFormatting>
  <conditionalFormatting sqref="Z22">
    <cfRule type="cellIs" dxfId="1319" priority="1631" operator="equal">
      <formula>0</formula>
    </cfRule>
  </conditionalFormatting>
  <conditionalFormatting sqref="Z22">
    <cfRule type="cellIs" dxfId="1318" priority="1630" operator="greaterThan">
      <formula>0</formula>
    </cfRule>
  </conditionalFormatting>
  <conditionalFormatting sqref="Z23">
    <cfRule type="cellIs" dxfId="1317" priority="1615" operator="equal">
      <formula>0</formula>
    </cfRule>
  </conditionalFormatting>
  <conditionalFormatting sqref="Z23">
    <cfRule type="cellIs" dxfId="1316" priority="1614" operator="greaterThan">
      <formula>0</formula>
    </cfRule>
  </conditionalFormatting>
  <conditionalFormatting sqref="S1">
    <cfRule type="cellIs" dxfId="1315" priority="1619" operator="equal">
      <formula>"STOP"</formula>
    </cfRule>
  </conditionalFormatting>
  <conditionalFormatting sqref="R1">
    <cfRule type="cellIs" dxfId="1314" priority="1616" operator="equal">
      <formula>"REC"</formula>
    </cfRule>
    <cfRule type="cellIs" dxfId="1313" priority="1618" operator="equal">
      <formula>"TRAIL"</formula>
    </cfRule>
  </conditionalFormatting>
  <conditionalFormatting sqref="Q1">
    <cfRule type="cellIs" dxfId="1312" priority="1617" operator="equal">
      <formula>"PRC"</formula>
    </cfRule>
  </conditionalFormatting>
  <conditionalFormatting sqref="Z24">
    <cfRule type="cellIs" dxfId="1311" priority="1613" operator="equal">
      <formula>0</formula>
    </cfRule>
  </conditionalFormatting>
  <conditionalFormatting sqref="Z24">
    <cfRule type="cellIs" dxfId="1310" priority="1612" operator="greaterThan">
      <formula>0</formula>
    </cfRule>
  </conditionalFormatting>
  <conditionalFormatting sqref="Z25">
    <cfRule type="cellIs" dxfId="1309" priority="1611" operator="equal">
      <formula>0</formula>
    </cfRule>
  </conditionalFormatting>
  <conditionalFormatting sqref="Z25">
    <cfRule type="cellIs" dxfId="1308" priority="1610" operator="greaterThan">
      <formula>0</formula>
    </cfRule>
  </conditionalFormatting>
  <conditionalFormatting sqref="Z26">
    <cfRule type="cellIs" dxfId="1307" priority="1609" operator="equal">
      <formula>0</formula>
    </cfRule>
  </conditionalFormatting>
  <conditionalFormatting sqref="Z26">
    <cfRule type="cellIs" dxfId="1306" priority="1608" operator="greaterThan">
      <formula>0</formula>
    </cfRule>
  </conditionalFormatting>
  <conditionalFormatting sqref="Z27">
    <cfRule type="cellIs" dxfId="1305" priority="1607" operator="equal">
      <formula>0</formula>
    </cfRule>
  </conditionalFormatting>
  <conditionalFormatting sqref="Z27">
    <cfRule type="cellIs" dxfId="1304" priority="1606" operator="greaterThan">
      <formula>0</formula>
    </cfRule>
  </conditionalFormatting>
  <conditionalFormatting sqref="Z28">
    <cfRule type="cellIs" dxfId="1303" priority="1605" operator="equal">
      <formula>0</formula>
    </cfRule>
  </conditionalFormatting>
  <conditionalFormatting sqref="Z28">
    <cfRule type="cellIs" dxfId="1302" priority="1604" operator="greaterThan">
      <formula>0</formula>
    </cfRule>
  </conditionalFormatting>
  <conditionalFormatting sqref="Z29">
    <cfRule type="cellIs" dxfId="1301" priority="1603" operator="equal">
      <formula>0</formula>
    </cfRule>
  </conditionalFormatting>
  <conditionalFormatting sqref="Z29">
    <cfRule type="cellIs" dxfId="1300" priority="1602" operator="greaterThan">
      <formula>0</formula>
    </cfRule>
  </conditionalFormatting>
  <conditionalFormatting sqref="A30">
    <cfRule type="expression" dxfId="1299" priority="1598">
      <formula>X30&lt;&gt;0</formula>
    </cfRule>
  </conditionalFormatting>
  <conditionalFormatting sqref="A31">
    <cfRule type="expression" dxfId="1298" priority="1564">
      <formula>X31&lt;&gt;0</formula>
    </cfRule>
  </conditionalFormatting>
  <conditionalFormatting sqref="A32">
    <cfRule type="expression" dxfId="1297" priority="1562">
      <formula>X32&lt;&gt;0</formula>
    </cfRule>
  </conditionalFormatting>
  <conditionalFormatting sqref="A33">
    <cfRule type="expression" dxfId="1296" priority="1560">
      <formula>X33&lt;&gt;0</formula>
    </cfRule>
  </conditionalFormatting>
  <conditionalFormatting sqref="A34">
    <cfRule type="expression" dxfId="1295" priority="1558">
      <formula>X34&lt;&gt;0</formula>
    </cfRule>
  </conditionalFormatting>
  <conditionalFormatting sqref="A35">
    <cfRule type="expression" dxfId="1294" priority="1556">
      <formula>X35&lt;&gt;0</formula>
    </cfRule>
  </conditionalFormatting>
  <conditionalFormatting sqref="A36">
    <cfRule type="expression" dxfId="1293" priority="1554">
      <formula>X36&lt;&gt;0</formula>
    </cfRule>
  </conditionalFormatting>
  <conditionalFormatting sqref="A37">
    <cfRule type="expression" dxfId="1292" priority="1552">
      <formula>X37&lt;&gt;0</formula>
    </cfRule>
  </conditionalFormatting>
  <conditionalFormatting sqref="A38">
    <cfRule type="expression" dxfId="1291" priority="1550">
      <formula>X38&lt;&gt;0</formula>
    </cfRule>
  </conditionalFormatting>
  <conditionalFormatting sqref="A39">
    <cfRule type="expression" dxfId="1290" priority="1548">
      <formula>X39&lt;&gt;0</formula>
    </cfRule>
  </conditionalFormatting>
  <conditionalFormatting sqref="A40">
    <cfRule type="expression" dxfId="1289" priority="1546">
      <formula>X40&lt;&gt;0</formula>
    </cfRule>
  </conditionalFormatting>
  <conditionalFormatting sqref="A41">
    <cfRule type="expression" dxfId="1288" priority="1544">
      <formula>X41&lt;&gt;0</formula>
    </cfRule>
  </conditionalFormatting>
  <conditionalFormatting sqref="A42">
    <cfRule type="expression" dxfId="1287" priority="1542">
      <formula>X42&lt;&gt;0</formula>
    </cfRule>
  </conditionalFormatting>
  <conditionalFormatting sqref="A43">
    <cfRule type="expression" dxfId="1286" priority="1540">
      <formula>X43&lt;&gt;0</formula>
    </cfRule>
  </conditionalFormatting>
  <conditionalFormatting sqref="B22">
    <cfRule type="expression" dxfId="1285" priority="1285">
      <formula>IF($V22&lt;&gt;0,AND(MID($A22,5,1)=" "))</formula>
    </cfRule>
    <cfRule type="expression" dxfId="1284" priority="1286">
      <formula>IF($V22&lt;&gt;0,AND(MID($A22,5,1)="C"))</formula>
    </cfRule>
    <cfRule type="expression" dxfId="1283" priority="1287">
      <formula>IF($V22&lt;&gt;0,AND(MID($A22,5,1)="D"))</formula>
    </cfRule>
  </conditionalFormatting>
  <conditionalFormatting sqref="A45">
    <cfRule type="expression" dxfId="1282" priority="1245">
      <formula>X45&lt;&gt;0</formula>
    </cfRule>
  </conditionalFormatting>
  <conditionalFormatting sqref="A46">
    <cfRule type="expression" dxfId="1281" priority="1244">
      <formula>X46&lt;&gt;0</formula>
    </cfRule>
  </conditionalFormatting>
  <conditionalFormatting sqref="A47">
    <cfRule type="expression" dxfId="1280" priority="1243">
      <formula>X47&lt;&gt;0</formula>
    </cfRule>
  </conditionalFormatting>
  <conditionalFormatting sqref="A48">
    <cfRule type="expression" dxfId="1279" priority="1242">
      <formula>X48&lt;&gt;0</formula>
    </cfRule>
  </conditionalFormatting>
  <conditionalFormatting sqref="A49">
    <cfRule type="expression" dxfId="1278" priority="1241">
      <formula>X49&lt;&gt;0</formula>
    </cfRule>
  </conditionalFormatting>
  <conditionalFormatting sqref="A50">
    <cfRule type="expression" dxfId="1277" priority="1240">
      <formula>X50&lt;&gt;0</formula>
    </cfRule>
  </conditionalFormatting>
  <conditionalFormatting sqref="A51">
    <cfRule type="expression" dxfId="1276" priority="1239">
      <formula>X51&lt;&gt;0</formula>
    </cfRule>
  </conditionalFormatting>
  <conditionalFormatting sqref="A52">
    <cfRule type="expression" dxfId="1275" priority="1238">
      <formula>X52&lt;&gt;0</formula>
    </cfRule>
  </conditionalFormatting>
  <conditionalFormatting sqref="A53">
    <cfRule type="expression" dxfId="1274" priority="1237">
      <formula>X53&lt;&gt;0</formula>
    </cfRule>
  </conditionalFormatting>
  <conditionalFormatting sqref="A54">
    <cfRule type="expression" dxfId="1273" priority="1236">
      <formula>X54&lt;&gt;0</formula>
    </cfRule>
  </conditionalFormatting>
  <conditionalFormatting sqref="A55">
    <cfRule type="expression" dxfId="1272" priority="1235">
      <formula>X55&lt;&gt;0</formula>
    </cfRule>
  </conditionalFormatting>
  <conditionalFormatting sqref="A56">
    <cfRule type="expression" dxfId="1271" priority="1234">
      <formula>X56&lt;&gt;0</formula>
    </cfRule>
  </conditionalFormatting>
  <conditionalFormatting sqref="A57">
    <cfRule type="expression" dxfId="1270" priority="1233">
      <formula>X57&lt;&gt;0</formula>
    </cfRule>
  </conditionalFormatting>
  <conditionalFormatting sqref="A58">
    <cfRule type="expression" dxfId="1269" priority="1232">
      <formula>X58&lt;&gt;0</formula>
    </cfRule>
  </conditionalFormatting>
  <conditionalFormatting sqref="A59">
    <cfRule type="expression" dxfId="1268" priority="1231">
      <formula>X59&lt;&gt;0</formula>
    </cfRule>
  </conditionalFormatting>
  <conditionalFormatting sqref="C22">
    <cfRule type="cellIs" dxfId="1267" priority="1065" operator="lessThan">
      <formula>D22</formula>
    </cfRule>
    <cfRule type="expression" dxfId="1266" priority="1225">
      <formula>IF($V22&lt;&gt;0,AND(MID($A22,5,1)=" "))</formula>
    </cfRule>
    <cfRule type="expression" dxfId="1265" priority="1226">
      <formula>IF($V22&lt;&gt;0,AND(MID($A22,5,1)="C"))</formula>
    </cfRule>
    <cfRule type="expression" dxfId="1264" priority="1227">
      <formula>IF($V22&lt;&gt;0,AND(MID($A22,5,1)="D"))</formula>
    </cfRule>
  </conditionalFormatting>
  <conditionalFormatting sqref="D22">
    <cfRule type="cellIs" dxfId="1263" priority="1064" operator="lessThan">
      <formula>C22</formula>
    </cfRule>
    <cfRule type="expression" dxfId="1262" priority="1219">
      <formula>IF($V22&lt;&gt;0,AND(MID($A22,5,1)=" "))</formula>
    </cfRule>
    <cfRule type="expression" dxfId="1261" priority="1220">
      <formula>IF($V22&lt;&gt;0,AND(MID($A22,5,1)="C"))</formula>
    </cfRule>
    <cfRule type="expression" dxfId="1260" priority="1221">
      <formula>IF($V22&lt;&gt;0,AND(MID($A22,5,1)="D"))</formula>
    </cfRule>
  </conditionalFormatting>
  <conditionalFormatting sqref="F22">
    <cfRule type="expression" dxfId="1259" priority="1207">
      <formula>IF($V22&lt;&gt;0,AND(MID($A22,5,1)=" "))</formula>
    </cfRule>
    <cfRule type="expression" dxfId="1258" priority="1208">
      <formula>IF($V22&lt;&gt;0,AND(MID($A22,5,1)="C"))</formula>
    </cfRule>
    <cfRule type="expression" dxfId="1257" priority="1209">
      <formula>IF($V22&lt;&gt;0,AND(MID($A22,5,1)="D"))</formula>
    </cfRule>
  </conditionalFormatting>
  <conditionalFormatting sqref="A22">
    <cfRule type="expression" dxfId="1256" priority="1201">
      <formula>IF($V22&lt;&gt;0,AND(MID($A22,5,1)=" "))</formula>
    </cfRule>
    <cfRule type="expression" dxfId="1255" priority="1202">
      <formula>IF($V22&lt;&gt;0,AND(MID($A22,5,1)="C"))</formula>
    </cfRule>
    <cfRule type="expression" dxfId="1254" priority="1203">
      <formula>IF($V22&lt;&gt;0,AND(MID($A22,5,1)="D"))</formula>
    </cfRule>
  </conditionalFormatting>
  <conditionalFormatting sqref="E22">
    <cfRule type="expression" dxfId="1253" priority="1195">
      <formula>IF($V22&lt;&gt;0,AND(MID($A22,5,1)=" "))</formula>
    </cfRule>
    <cfRule type="expression" dxfId="1252" priority="1196">
      <formula>IF($V22&lt;&gt;0,AND(MID($A22,5,1)="C"))</formula>
    </cfRule>
    <cfRule type="expression" dxfId="1251" priority="1197">
      <formula>IF($V22&lt;&gt;0,AND(MID($A22,5,1)="D"))</formula>
    </cfRule>
  </conditionalFormatting>
  <conditionalFormatting sqref="B24">
    <cfRule type="expression" dxfId="1250" priority="1189">
      <formula>IF($V24&lt;&gt;0,AND(MID($A24,5,1)=" "))</formula>
    </cfRule>
    <cfRule type="expression" dxfId="1249" priority="1190">
      <formula>IF($V24&lt;&gt;0,AND(MID($A24,5,1)="C"))</formula>
    </cfRule>
    <cfRule type="expression" dxfId="1248" priority="1191">
      <formula>IF($V24&lt;&gt;0,AND(MID($A24,5,1)="D"))</formula>
    </cfRule>
  </conditionalFormatting>
  <conditionalFormatting sqref="F24">
    <cfRule type="expression" dxfId="1247" priority="1180">
      <formula>IF($V24&lt;&gt;0,AND(MID($A24,5,1)=" "))</formula>
    </cfRule>
    <cfRule type="expression" dxfId="1246" priority="1181">
      <formula>IF($V24&lt;&gt;0,AND(MID($A24,5,1)="C"))</formula>
    </cfRule>
    <cfRule type="expression" dxfId="1245" priority="1182">
      <formula>IF($V24&lt;&gt;0,AND(MID($A24,5,1)="D"))</formula>
    </cfRule>
  </conditionalFormatting>
  <conditionalFormatting sqref="E24">
    <cfRule type="expression" dxfId="1244" priority="1174">
      <formula>IF($V24&lt;&gt;0,AND(MID($A24,5,1)=" "))</formula>
    </cfRule>
    <cfRule type="expression" dxfId="1243" priority="1175">
      <formula>IF($V24&lt;&gt;0,AND(MID($A24,5,1)="C"))</formula>
    </cfRule>
    <cfRule type="expression" dxfId="1242" priority="1176">
      <formula>IF($V24&lt;&gt;0,AND(MID($A24,5,1)="D"))</formula>
    </cfRule>
  </conditionalFormatting>
  <conditionalFormatting sqref="B25">
    <cfRule type="expression" dxfId="1241" priority="1171">
      <formula>IF($V25&lt;&gt;0,AND(MID($A25,5,1)=" "))</formula>
    </cfRule>
    <cfRule type="expression" dxfId="1240" priority="1172">
      <formula>IF($V25&lt;&gt;0,AND(MID($A25,5,1)="C"))</formula>
    </cfRule>
    <cfRule type="expression" dxfId="1239" priority="1173">
      <formula>IF($V25&lt;&gt;0,AND(MID($A25,5,1)="D"))</formula>
    </cfRule>
  </conditionalFormatting>
  <conditionalFormatting sqref="F25">
    <cfRule type="expression" dxfId="1238" priority="1162">
      <formula>IF($V25&lt;&gt;0,AND(MID($A25,5,1)=" "))</formula>
    </cfRule>
    <cfRule type="expression" dxfId="1237" priority="1163">
      <formula>IF($V25&lt;&gt;0,AND(MID($A25,5,1)="C"))</formula>
    </cfRule>
    <cfRule type="expression" dxfId="1236" priority="1164">
      <formula>IF($V25&lt;&gt;0,AND(MID($A25,5,1)="D"))</formula>
    </cfRule>
  </conditionalFormatting>
  <conditionalFormatting sqref="E25">
    <cfRule type="expression" dxfId="1235" priority="1156">
      <formula>IF($V25&lt;&gt;0,AND(MID($A25,5,1)=" "))</formula>
    </cfRule>
    <cfRule type="expression" dxfId="1234" priority="1157">
      <formula>IF($V25&lt;&gt;0,AND(MID($A25,5,1)="C"))</formula>
    </cfRule>
    <cfRule type="expression" dxfId="1233" priority="1158">
      <formula>IF($V25&lt;&gt;0,AND(MID($A25,5,1)="D"))</formula>
    </cfRule>
  </conditionalFormatting>
  <conditionalFormatting sqref="B23">
    <cfRule type="expression" dxfId="1232" priority="1153">
      <formula>IF($V23&lt;&gt;0,AND(MID($A23,5,1)=" "))</formula>
    </cfRule>
    <cfRule type="expression" dxfId="1231" priority="1154">
      <formula>IF($V23&lt;&gt;0,AND(MID($A23,5,1)="C"))</formula>
    </cfRule>
    <cfRule type="expression" dxfId="1230" priority="1155">
      <formula>IF($V23&lt;&gt;0,AND(MID($A23,5,1)="D"))</formula>
    </cfRule>
  </conditionalFormatting>
  <conditionalFormatting sqref="F23">
    <cfRule type="expression" dxfId="1229" priority="1144">
      <formula>IF($V23&lt;&gt;0,AND(MID($A23,5,1)=" "))</formula>
    </cfRule>
    <cfRule type="expression" dxfId="1228" priority="1145">
      <formula>IF($V23&lt;&gt;0,AND(MID($A23,5,1)="C"))</formula>
    </cfRule>
    <cfRule type="expression" dxfId="1227" priority="1146">
      <formula>IF($V23&lt;&gt;0,AND(MID($A23,5,1)="D"))</formula>
    </cfRule>
  </conditionalFormatting>
  <conditionalFormatting sqref="E23">
    <cfRule type="expression" dxfId="1226" priority="1138">
      <formula>IF($V23&lt;&gt;0,AND(MID($A23,5,1)=" "))</formula>
    </cfRule>
    <cfRule type="expression" dxfId="1225" priority="1139">
      <formula>IF($V23&lt;&gt;0,AND(MID($A23,5,1)="C"))</formula>
    </cfRule>
    <cfRule type="expression" dxfId="1224" priority="1140">
      <formula>IF($V23&lt;&gt;0,AND(MID($A23,5,1)="D"))</formula>
    </cfRule>
  </conditionalFormatting>
  <conditionalFormatting sqref="B26">
    <cfRule type="expression" dxfId="1223" priority="1135">
      <formula>IF($V26&lt;&gt;0,AND(MID($A26,5,1)=" "))</formula>
    </cfRule>
    <cfRule type="expression" dxfId="1222" priority="1136">
      <formula>IF($V26&lt;&gt;0,AND(MID($A26,5,1)="C"))</formula>
    </cfRule>
    <cfRule type="expression" dxfId="1221" priority="1137">
      <formula>IF($V26&lt;&gt;0,AND(MID($A26,5,1)="D"))</formula>
    </cfRule>
  </conditionalFormatting>
  <conditionalFormatting sqref="F26">
    <cfRule type="expression" dxfId="1220" priority="1126">
      <formula>IF($V26&lt;&gt;0,AND(MID($A26,5,1)=" "))</formula>
    </cfRule>
    <cfRule type="expression" dxfId="1219" priority="1127">
      <formula>IF($V26&lt;&gt;0,AND(MID($A26,5,1)="C"))</formula>
    </cfRule>
    <cfRule type="expression" dxfId="1218" priority="1128">
      <formula>IF($V26&lt;&gt;0,AND(MID($A26,5,1)="D"))</formula>
    </cfRule>
  </conditionalFormatting>
  <conditionalFormatting sqref="E26">
    <cfRule type="expression" dxfId="1217" priority="1120">
      <formula>IF($V26&lt;&gt;0,AND(MID($A26,5,1)=" "))</formula>
    </cfRule>
    <cfRule type="expression" dxfId="1216" priority="1121">
      <formula>IF($V26&lt;&gt;0,AND(MID($A26,5,1)="C"))</formula>
    </cfRule>
    <cfRule type="expression" dxfId="1215" priority="1122">
      <formula>IF($V26&lt;&gt;0,AND(MID($A26,5,1)="D"))</formula>
    </cfRule>
  </conditionalFormatting>
  <conditionalFormatting sqref="B28">
    <cfRule type="expression" dxfId="1214" priority="1117">
      <formula>IF($V28&lt;&gt;0,AND(MID($A28,5,1)=" "))</formula>
    </cfRule>
    <cfRule type="expression" dxfId="1213" priority="1118">
      <formula>IF($V28&lt;&gt;0,AND(MID($A28,5,1)="C"))</formula>
    </cfRule>
    <cfRule type="expression" dxfId="1212" priority="1119">
      <formula>IF($V28&lt;&gt;0,AND(MID($A28,5,1)="D"))</formula>
    </cfRule>
  </conditionalFormatting>
  <conditionalFormatting sqref="F28">
    <cfRule type="expression" dxfId="1211" priority="1108">
      <formula>IF($V28&lt;&gt;0,AND(MID($A28,5,1)=" "))</formula>
    </cfRule>
    <cfRule type="expression" dxfId="1210" priority="1109">
      <formula>IF($V28&lt;&gt;0,AND(MID($A28,5,1)="C"))</formula>
    </cfRule>
    <cfRule type="expression" dxfId="1209" priority="1110">
      <formula>IF($V28&lt;&gt;0,AND(MID($A28,5,1)="D"))</formula>
    </cfRule>
  </conditionalFormatting>
  <conditionalFormatting sqref="E28">
    <cfRule type="expression" dxfId="1208" priority="1102">
      <formula>IF($V28&lt;&gt;0,AND(MID($A28,5,1)=" "))</formula>
    </cfRule>
    <cfRule type="expression" dxfId="1207" priority="1103">
      <formula>IF($V28&lt;&gt;0,AND(MID($A28,5,1)="C"))</formula>
    </cfRule>
    <cfRule type="expression" dxfId="1206" priority="1104">
      <formula>IF($V28&lt;&gt;0,AND(MID($A28,5,1)="D"))</formula>
    </cfRule>
  </conditionalFormatting>
  <conditionalFormatting sqref="B29">
    <cfRule type="expression" dxfId="1205" priority="1099">
      <formula>IF($V29&lt;&gt;0,AND(MID($A29,5,1)=" "))</formula>
    </cfRule>
    <cfRule type="expression" dxfId="1204" priority="1100">
      <formula>IF($V29&lt;&gt;0,AND(MID($A29,5,1)="C"))</formula>
    </cfRule>
    <cfRule type="expression" dxfId="1203" priority="1101">
      <formula>IF($V29&lt;&gt;0,AND(MID($A29,5,1)="D"))</formula>
    </cfRule>
  </conditionalFormatting>
  <conditionalFormatting sqref="F29">
    <cfRule type="expression" dxfId="1202" priority="1090">
      <formula>IF($V29&lt;&gt;0,AND(MID($A29,5,1)=" "))</formula>
    </cfRule>
    <cfRule type="expression" dxfId="1201" priority="1091">
      <formula>IF($V29&lt;&gt;0,AND(MID($A29,5,1)="C"))</formula>
    </cfRule>
    <cfRule type="expression" dxfId="1200" priority="1092">
      <formula>IF($V29&lt;&gt;0,AND(MID($A29,5,1)="D"))</formula>
    </cfRule>
  </conditionalFormatting>
  <conditionalFormatting sqref="E29">
    <cfRule type="expression" dxfId="1199" priority="1084">
      <formula>IF($V29&lt;&gt;0,AND(MID($A29,5,1)=" "))</formula>
    </cfRule>
    <cfRule type="expression" dxfId="1198" priority="1085">
      <formula>IF($V29&lt;&gt;0,AND(MID($A29,5,1)="C"))</formula>
    </cfRule>
    <cfRule type="expression" dxfId="1197" priority="1086">
      <formula>IF($V29&lt;&gt;0,AND(MID($A29,5,1)="D"))</formula>
    </cfRule>
  </conditionalFormatting>
  <conditionalFormatting sqref="B27">
    <cfRule type="expression" dxfId="1196" priority="1081">
      <formula>IF($V27&lt;&gt;0,AND(MID($A27,5,1)=" "))</formula>
    </cfRule>
    <cfRule type="expression" dxfId="1195" priority="1082">
      <formula>IF($V27&lt;&gt;0,AND(MID($A27,5,1)="C"))</formula>
    </cfRule>
    <cfRule type="expression" dxfId="1194" priority="1083">
      <formula>IF($V27&lt;&gt;0,AND(MID($A27,5,1)="D"))</formula>
    </cfRule>
  </conditionalFormatting>
  <conditionalFormatting sqref="F27">
    <cfRule type="expression" dxfId="1193" priority="1072">
      <formula>IF($V27&lt;&gt;0,AND(MID($A27,5,1)=" "))</formula>
    </cfRule>
    <cfRule type="expression" dxfId="1192" priority="1073">
      <formula>IF($V27&lt;&gt;0,AND(MID($A27,5,1)="C"))</formula>
    </cfRule>
    <cfRule type="expression" dxfId="1191" priority="1074">
      <formula>IF($V27&lt;&gt;0,AND(MID($A27,5,1)="D"))</formula>
    </cfRule>
  </conditionalFormatting>
  <conditionalFormatting sqref="E27">
    <cfRule type="expression" dxfId="1190" priority="1066">
      <formula>IF($V27&lt;&gt;0,AND(MID($A27,5,1)=" "))</formula>
    </cfRule>
    <cfRule type="expression" dxfId="1189" priority="1067">
      <formula>IF($V27&lt;&gt;0,AND(MID($A27,5,1)="C"))</formula>
    </cfRule>
    <cfRule type="expression" dxfId="1188" priority="1068">
      <formula>IF($V27&lt;&gt;0,AND(MID($A27,5,1)="D"))</formula>
    </cfRule>
  </conditionalFormatting>
  <conditionalFormatting sqref="C23">
    <cfRule type="cellIs" dxfId="1187" priority="1057" operator="lessThan">
      <formula>D23</formula>
    </cfRule>
    <cfRule type="expression" dxfId="1186" priority="1061">
      <formula>IF($V23&lt;&gt;0,AND(MID($A23,5,1)=" "))</formula>
    </cfRule>
    <cfRule type="expression" dxfId="1185" priority="1062">
      <formula>IF($V23&lt;&gt;0,AND(MID($A23,5,1)="C"))</formula>
    </cfRule>
    <cfRule type="expression" dxfId="1184" priority="1063">
      <formula>IF($V23&lt;&gt;0,AND(MID($A23,5,1)="D"))</formula>
    </cfRule>
  </conditionalFormatting>
  <conditionalFormatting sqref="D23">
    <cfRule type="cellIs" dxfId="1183" priority="1056" operator="lessThan">
      <formula>C23</formula>
    </cfRule>
    <cfRule type="expression" dxfId="1182" priority="1058">
      <formula>IF($V23&lt;&gt;0,AND(MID($A23,5,1)=" "))</formula>
    </cfRule>
    <cfRule type="expression" dxfId="1181" priority="1059">
      <formula>IF($V23&lt;&gt;0,AND(MID($A23,5,1)="C"))</formula>
    </cfRule>
    <cfRule type="expression" dxfId="1180" priority="1060">
      <formula>IF($V23&lt;&gt;0,AND(MID($A23,5,1)="D"))</formula>
    </cfRule>
  </conditionalFormatting>
  <conditionalFormatting sqref="C24">
    <cfRule type="cellIs" dxfId="1179" priority="1049" operator="lessThan">
      <formula>D24</formula>
    </cfRule>
    <cfRule type="expression" dxfId="1178" priority="1053">
      <formula>IF($V24&lt;&gt;0,AND(MID($A24,5,1)=" "))</formula>
    </cfRule>
    <cfRule type="expression" dxfId="1177" priority="1054">
      <formula>IF($V24&lt;&gt;0,AND(MID($A24,5,1)="C"))</formula>
    </cfRule>
    <cfRule type="expression" dxfId="1176" priority="1055">
      <formula>IF($V24&lt;&gt;0,AND(MID($A24,5,1)="D"))</formula>
    </cfRule>
  </conditionalFormatting>
  <conditionalFormatting sqref="D24">
    <cfRule type="cellIs" dxfId="1175" priority="1048" operator="lessThan">
      <formula>C24</formula>
    </cfRule>
    <cfRule type="expression" dxfId="1174" priority="1050">
      <formula>IF($V24&lt;&gt;0,AND(MID($A24,5,1)=" "))</formula>
    </cfRule>
    <cfRule type="expression" dxfId="1173" priority="1051">
      <formula>IF($V24&lt;&gt;0,AND(MID($A24,5,1)="C"))</formula>
    </cfRule>
    <cfRule type="expression" dxfId="1172" priority="1052">
      <formula>IF($V24&lt;&gt;0,AND(MID($A24,5,1)="D"))</formula>
    </cfRule>
  </conditionalFormatting>
  <conditionalFormatting sqref="C25">
    <cfRule type="cellIs" dxfId="1171" priority="1041" operator="lessThan">
      <formula>D25</formula>
    </cfRule>
    <cfRule type="expression" dxfId="1170" priority="1045">
      <formula>IF($V25&lt;&gt;0,AND(MID($A25,5,1)=" "))</formula>
    </cfRule>
    <cfRule type="expression" dxfId="1169" priority="1046">
      <formula>IF($V25&lt;&gt;0,AND(MID($A25,5,1)="C"))</formula>
    </cfRule>
    <cfRule type="expression" dxfId="1168" priority="1047">
      <formula>IF($V25&lt;&gt;0,AND(MID($A25,5,1)="D"))</formula>
    </cfRule>
  </conditionalFormatting>
  <conditionalFormatting sqref="D25">
    <cfRule type="cellIs" dxfId="1167" priority="1040" operator="lessThan">
      <formula>C25</formula>
    </cfRule>
    <cfRule type="expression" dxfId="1166" priority="1042">
      <formula>IF($V25&lt;&gt;0,AND(MID($A25,5,1)=" "))</formula>
    </cfRule>
    <cfRule type="expression" dxfId="1165" priority="1043">
      <formula>IF($V25&lt;&gt;0,AND(MID($A25,5,1)="C"))</formula>
    </cfRule>
    <cfRule type="expression" dxfId="1164" priority="1044">
      <formula>IF($V25&lt;&gt;0,AND(MID($A25,5,1)="D"))</formula>
    </cfRule>
  </conditionalFormatting>
  <conditionalFormatting sqref="C26">
    <cfRule type="cellIs" dxfId="1163" priority="1033" operator="lessThan">
      <formula>D26</formula>
    </cfRule>
    <cfRule type="expression" dxfId="1162" priority="1037">
      <formula>IF($V26&lt;&gt;0,AND(MID($A26,5,1)=" "))</formula>
    </cfRule>
    <cfRule type="expression" dxfId="1161" priority="1038">
      <formula>IF($V26&lt;&gt;0,AND(MID($A26,5,1)="C"))</formula>
    </cfRule>
    <cfRule type="expression" dxfId="1160" priority="1039">
      <formula>IF($V26&lt;&gt;0,AND(MID($A26,5,1)="D"))</formula>
    </cfRule>
  </conditionalFormatting>
  <conditionalFormatting sqref="D26">
    <cfRule type="cellIs" dxfId="1159" priority="1032" operator="lessThan">
      <formula>C26</formula>
    </cfRule>
    <cfRule type="expression" dxfId="1158" priority="1034">
      <formula>IF($V26&lt;&gt;0,AND(MID($A26,5,1)=" "))</formula>
    </cfRule>
    <cfRule type="expression" dxfId="1157" priority="1035">
      <formula>IF($V26&lt;&gt;0,AND(MID($A26,5,1)="C"))</formula>
    </cfRule>
    <cfRule type="expression" dxfId="1156" priority="1036">
      <formula>IF($V26&lt;&gt;0,AND(MID($A26,5,1)="D"))</formula>
    </cfRule>
  </conditionalFormatting>
  <conditionalFormatting sqref="C27">
    <cfRule type="cellIs" dxfId="1155" priority="1025" operator="lessThan">
      <formula>D27</formula>
    </cfRule>
    <cfRule type="expression" dxfId="1154" priority="1029">
      <formula>IF($V27&lt;&gt;0,AND(MID($A27,5,1)=" "))</formula>
    </cfRule>
    <cfRule type="expression" dxfId="1153" priority="1030">
      <formula>IF($V27&lt;&gt;0,AND(MID($A27,5,1)="C"))</formula>
    </cfRule>
    <cfRule type="expression" dxfId="1152" priority="1031">
      <formula>IF($V27&lt;&gt;0,AND(MID($A27,5,1)="D"))</formula>
    </cfRule>
  </conditionalFormatting>
  <conditionalFormatting sqref="D27">
    <cfRule type="cellIs" dxfId="1151" priority="1024" operator="lessThan">
      <formula>C27</formula>
    </cfRule>
    <cfRule type="expression" dxfId="1150" priority="1026">
      <formula>IF($V27&lt;&gt;0,AND(MID($A27,5,1)=" "))</formula>
    </cfRule>
    <cfRule type="expression" dxfId="1149" priority="1027">
      <formula>IF($V27&lt;&gt;0,AND(MID($A27,5,1)="C"))</formula>
    </cfRule>
    <cfRule type="expression" dxfId="1148" priority="1028">
      <formula>IF($V27&lt;&gt;0,AND(MID($A27,5,1)="D"))</formula>
    </cfRule>
  </conditionalFormatting>
  <conditionalFormatting sqref="C28">
    <cfRule type="cellIs" dxfId="1147" priority="1017" operator="lessThan">
      <formula>D28</formula>
    </cfRule>
    <cfRule type="expression" dxfId="1146" priority="1021">
      <formula>IF($V28&lt;&gt;0,AND(MID($A28,5,1)=" "))</formula>
    </cfRule>
    <cfRule type="expression" dxfId="1145" priority="1022">
      <formula>IF($V28&lt;&gt;0,AND(MID($A28,5,1)="C"))</formula>
    </cfRule>
    <cfRule type="expression" dxfId="1144" priority="1023">
      <formula>IF($V28&lt;&gt;0,AND(MID($A28,5,1)="D"))</formula>
    </cfRule>
  </conditionalFormatting>
  <conditionalFormatting sqref="D28">
    <cfRule type="cellIs" dxfId="1143" priority="1016" operator="lessThan">
      <formula>C28</formula>
    </cfRule>
    <cfRule type="expression" dxfId="1142" priority="1018">
      <formula>IF($V28&lt;&gt;0,AND(MID($A28,5,1)=" "))</formula>
    </cfRule>
    <cfRule type="expression" dxfId="1141" priority="1019">
      <formula>IF($V28&lt;&gt;0,AND(MID($A28,5,1)="C"))</formula>
    </cfRule>
    <cfRule type="expression" dxfId="1140" priority="1020">
      <formula>IF($V28&lt;&gt;0,AND(MID($A28,5,1)="D"))</formula>
    </cfRule>
  </conditionalFormatting>
  <conditionalFormatting sqref="C29">
    <cfRule type="cellIs" dxfId="1139" priority="1009" operator="lessThan">
      <formula>D29</formula>
    </cfRule>
    <cfRule type="expression" dxfId="1138" priority="1013">
      <formula>IF($V29&lt;&gt;0,AND(MID($A29,5,1)=" "))</formula>
    </cfRule>
    <cfRule type="expression" dxfId="1137" priority="1014">
      <formula>IF($V29&lt;&gt;0,AND(MID($A29,5,1)="C"))</formula>
    </cfRule>
    <cfRule type="expression" dxfId="1136" priority="1015">
      <formula>IF($V29&lt;&gt;0,AND(MID($A29,5,1)="D"))</formula>
    </cfRule>
  </conditionalFormatting>
  <conditionalFormatting sqref="D29">
    <cfRule type="cellIs" dxfId="1135" priority="1008" operator="lessThan">
      <formula>C29</formula>
    </cfRule>
    <cfRule type="expression" dxfId="1134" priority="1010">
      <formula>IF($V29&lt;&gt;0,AND(MID($A29,5,1)=" "))</formula>
    </cfRule>
    <cfRule type="expression" dxfId="1133" priority="1011">
      <formula>IF($V29&lt;&gt;0,AND(MID($A29,5,1)="C"))</formula>
    </cfRule>
    <cfRule type="expression" dxfId="1132" priority="1012">
      <formula>IF($V29&lt;&gt;0,AND(MID($A29,5,1)="D"))</formula>
    </cfRule>
  </conditionalFormatting>
  <conditionalFormatting sqref="A15">
    <cfRule type="expression" dxfId="1131" priority="931">
      <formula>IF($Y17&gt;$Y14,AND(MID($A15,5,1)=" "))</formula>
    </cfRule>
    <cfRule type="expression" dxfId="1130" priority="932">
      <formula>IF($Y17&gt;$Y14,AND(MID($A15,5,1)="C"))</formula>
    </cfRule>
    <cfRule type="expression" dxfId="1129" priority="933">
      <formula>IF($Y17&gt;$Y14,AND(MID($A15,5,1)="D"))</formula>
    </cfRule>
  </conditionalFormatting>
  <conditionalFormatting sqref="A16">
    <cfRule type="expression" dxfId="1128" priority="934">
      <formula>IF($Y17&gt;$Y14,AND(MID($A16,5,1)=" "))</formula>
    </cfRule>
    <cfRule type="expression" dxfId="1127" priority="935">
      <formula>IF($Y17&gt;$Y14,AND(MID($A16,5,1)="C"))</formula>
    </cfRule>
    <cfRule type="expression" dxfId="1126" priority="936">
      <formula>IF($Y17&gt;$Y14,AND(MID($A16,5,1)="D"))</formula>
    </cfRule>
  </conditionalFormatting>
  <conditionalFormatting sqref="A17">
    <cfRule type="expression" dxfId="1125" priority="928">
      <formula>IF($Y17&gt;$Y14,AND(MID($A17,5,1)=" "))</formula>
    </cfRule>
    <cfRule type="expression" dxfId="1124" priority="929">
      <formula>IF($Y17&gt;$Y14,AND(MID($A17,5,1)="C"))</formula>
    </cfRule>
    <cfRule type="expression" dxfId="1123" priority="930">
      <formula>IF($Y17&gt;$Y14,AND(MID($A17,5,1)="D"))</formula>
    </cfRule>
  </conditionalFormatting>
  <conditionalFormatting sqref="A14">
    <cfRule type="expression" dxfId="1122" priority="925">
      <formula>IF($Y17&gt;$Y14,AND(MID($A14,5,1)=" "))</formula>
    </cfRule>
    <cfRule type="expression" dxfId="1121" priority="926">
      <formula>IF($Y17&gt;$Y14,AND(MID($A14,5,1)="C"))</formula>
    </cfRule>
    <cfRule type="expression" dxfId="1120" priority="927">
      <formula>IF($Y17&gt;$Y14,AND(MID($A14,5,1)="D"))</formula>
    </cfRule>
  </conditionalFormatting>
  <conditionalFormatting sqref="B12">
    <cfRule type="expression" dxfId="1119" priority="919">
      <formula>IF($Y13&gt;$Y10,AND(MID($A12,5,1)=" "))</formula>
    </cfRule>
    <cfRule type="expression" dxfId="1118" priority="920">
      <formula>IF($Y13&gt;$Y10,AND(MID($A12,5,1)="C"))</formula>
    </cfRule>
    <cfRule type="expression" dxfId="1117" priority="921">
      <formula>IF($Y13&gt;$Y10,AND(MID($A12,5,1)="D"))</formula>
    </cfRule>
  </conditionalFormatting>
  <conditionalFormatting sqref="C12">
    <cfRule type="expression" dxfId="1116" priority="922">
      <formula>IF($Y13&gt;$Y10,AND(MID($A12,5,1)=" "))</formula>
    </cfRule>
    <cfRule type="expression" dxfId="1115" priority="923">
      <formula>IF($Y13&gt;$Y10,AND(MID($A12,5,1)="C"))</formula>
    </cfRule>
    <cfRule type="expression" dxfId="1114" priority="924">
      <formula>IF($Y13&gt;$Y10,AND(MID($A12,5,1)="D"))</formula>
    </cfRule>
  </conditionalFormatting>
  <conditionalFormatting sqref="A23">
    <cfRule type="expression" dxfId="1113" priority="916">
      <formula>IF($V23&lt;&gt;0,AND(MID($A23,5,1)=" "))</formula>
    </cfRule>
    <cfRule type="expression" dxfId="1112" priority="917">
      <formula>IF($V23&lt;&gt;0,AND(MID($A23,5,1)="C"))</formula>
    </cfRule>
    <cfRule type="expression" dxfId="1111" priority="918">
      <formula>IF($V23&lt;&gt;0,AND(MID($A23,5,1)="D"))</formula>
    </cfRule>
  </conditionalFormatting>
  <conditionalFormatting sqref="A24">
    <cfRule type="expression" dxfId="1110" priority="913">
      <formula>IF($V24&lt;&gt;0,AND(MID($A24,5,1)=" "))</formula>
    </cfRule>
    <cfRule type="expression" dxfId="1109" priority="914">
      <formula>IF($V24&lt;&gt;0,AND(MID($A24,5,1)="C"))</formula>
    </cfRule>
    <cfRule type="expression" dxfId="1108" priority="915">
      <formula>IF($V24&lt;&gt;0,AND(MID($A24,5,1)="D"))</formula>
    </cfRule>
  </conditionalFormatting>
  <conditionalFormatting sqref="A25">
    <cfRule type="expression" dxfId="1107" priority="910">
      <formula>IF($V25&lt;&gt;0,AND(MID($A25,5,1)=" "))</formula>
    </cfRule>
    <cfRule type="expression" dxfId="1106" priority="911">
      <formula>IF($V25&lt;&gt;0,AND(MID($A25,5,1)="C"))</formula>
    </cfRule>
    <cfRule type="expression" dxfId="1105" priority="912">
      <formula>IF($V25&lt;&gt;0,AND(MID($A25,5,1)="D"))</formula>
    </cfRule>
  </conditionalFormatting>
  <conditionalFormatting sqref="A26">
    <cfRule type="expression" dxfId="1104" priority="895">
      <formula>IF($V26&lt;&gt;0,AND(MID($A26,5,1)=" "))</formula>
    </cfRule>
    <cfRule type="expression" dxfId="1103" priority="896">
      <formula>IF($V26&lt;&gt;0,AND(MID($A26,5,1)="C"))</formula>
    </cfRule>
    <cfRule type="expression" dxfId="1102" priority="897">
      <formula>IF($V26&lt;&gt;0,AND(MID($A26,5,1)="D"))</formula>
    </cfRule>
  </conditionalFormatting>
  <conditionalFormatting sqref="A27">
    <cfRule type="expression" dxfId="1101" priority="892">
      <formula>IF($V27&lt;&gt;0,AND(MID($A27,5,1)=" "))</formula>
    </cfRule>
    <cfRule type="expression" dxfId="1100" priority="893">
      <formula>IF($V27&lt;&gt;0,AND(MID($A27,5,1)="C"))</formula>
    </cfRule>
    <cfRule type="expression" dxfId="1099" priority="894">
      <formula>IF($V27&lt;&gt;0,AND(MID($A27,5,1)="D"))</formula>
    </cfRule>
  </conditionalFormatting>
  <conditionalFormatting sqref="A28">
    <cfRule type="expression" dxfId="1098" priority="889">
      <formula>IF($V28&lt;&gt;0,AND(MID($A28,5,1)=" "))</formula>
    </cfRule>
    <cfRule type="expression" dxfId="1097" priority="890">
      <formula>IF($V28&lt;&gt;0,AND(MID($A28,5,1)="C"))</formula>
    </cfRule>
    <cfRule type="expression" dxfId="1096" priority="891">
      <formula>IF($V28&lt;&gt;0,AND(MID($A28,5,1)="D"))</formula>
    </cfRule>
  </conditionalFormatting>
  <conditionalFormatting sqref="A29">
    <cfRule type="expression" dxfId="1095" priority="886">
      <formula>IF($V29&lt;&gt;0,AND(MID($A29,5,1)=" "))</formula>
    </cfRule>
    <cfRule type="expression" dxfId="1094" priority="887">
      <formula>IF($V29&lt;&gt;0,AND(MID($A29,5,1)="C"))</formula>
    </cfRule>
    <cfRule type="expression" dxfId="1093" priority="888">
      <formula>IF($V29&lt;&gt;0,AND(MID($A29,5,1)="D"))</formula>
    </cfRule>
  </conditionalFormatting>
  <conditionalFormatting sqref="B64">
    <cfRule type="expression" dxfId="1092" priority="877">
      <formula>IF($V64&lt;&gt;0,AND(MID($A64,5,1)=" "))</formula>
    </cfRule>
    <cfRule type="expression" dxfId="1091" priority="878">
      <formula>IF($V64&lt;&gt;0,AND(MID($A64,5,1)="C"))</formula>
    </cfRule>
    <cfRule type="expression" dxfId="1090" priority="879">
      <formula>IF($V64&lt;&gt;0,AND(MID($A64,5,1)="D"))</formula>
    </cfRule>
  </conditionalFormatting>
  <conditionalFormatting sqref="F64">
    <cfRule type="expression" dxfId="1089" priority="874">
      <formula>IF($V64&lt;&gt;0,AND(MID($A64,5,1)=" "))</formula>
    </cfRule>
    <cfRule type="expression" dxfId="1088" priority="875">
      <formula>IF($V64&lt;&gt;0,AND(MID($A64,5,1)="C"))</formula>
    </cfRule>
    <cfRule type="expression" dxfId="1087" priority="876">
      <formula>IF($V64&lt;&gt;0,AND(MID($A64,5,1)="D"))</formula>
    </cfRule>
  </conditionalFormatting>
  <conditionalFormatting sqref="E64">
    <cfRule type="expression" dxfId="1086" priority="871">
      <formula>IF($V64&lt;&gt;0,AND(MID($A64,5,1)=" "))</formula>
    </cfRule>
    <cfRule type="expression" dxfId="1085" priority="872">
      <formula>IF($V64&lt;&gt;0,AND(MID($A64,5,1)="C"))</formula>
    </cfRule>
    <cfRule type="expression" dxfId="1084" priority="873">
      <formula>IF($V64&lt;&gt;0,AND(MID($A64,5,1)="D"))</formula>
    </cfRule>
  </conditionalFormatting>
  <conditionalFormatting sqref="B65">
    <cfRule type="expression" dxfId="1083" priority="868">
      <formula>IF($V65&lt;&gt;0,AND(MID($A65,5,1)=" "))</formula>
    </cfRule>
    <cfRule type="expression" dxfId="1082" priority="869">
      <formula>IF($V65&lt;&gt;0,AND(MID($A65,5,1)="C"))</formula>
    </cfRule>
    <cfRule type="expression" dxfId="1081" priority="870">
      <formula>IF($V65&lt;&gt;0,AND(MID($A65,5,1)="D"))</formula>
    </cfRule>
  </conditionalFormatting>
  <conditionalFormatting sqref="F65">
    <cfRule type="expression" dxfId="1080" priority="865">
      <formula>IF($V65&lt;&gt;0,AND(MID($A65,5,1)=" "))</formula>
    </cfRule>
    <cfRule type="expression" dxfId="1079" priority="866">
      <formula>IF($V65&lt;&gt;0,AND(MID($A65,5,1)="C"))</formula>
    </cfRule>
    <cfRule type="expression" dxfId="1078" priority="867">
      <formula>IF($V65&lt;&gt;0,AND(MID($A65,5,1)="D"))</formula>
    </cfRule>
  </conditionalFormatting>
  <conditionalFormatting sqref="E65">
    <cfRule type="expression" dxfId="1077" priority="862">
      <formula>IF($V65&lt;&gt;0,AND(MID($A65,5,1)=" "))</formula>
    </cfRule>
    <cfRule type="expression" dxfId="1076" priority="863">
      <formula>IF($V65&lt;&gt;0,AND(MID($A65,5,1)="C"))</formula>
    </cfRule>
    <cfRule type="expression" dxfId="1075" priority="864">
      <formula>IF($V65&lt;&gt;0,AND(MID($A65,5,1)="D"))</formula>
    </cfRule>
  </conditionalFormatting>
  <conditionalFormatting sqref="C64">
    <cfRule type="cellIs" dxfId="1074" priority="855" operator="lessThan">
      <formula>D64</formula>
    </cfRule>
    <cfRule type="expression" dxfId="1073" priority="859">
      <formula>IF($V64&lt;&gt;0,AND(MID($A64,5,1)=" "))</formula>
    </cfRule>
    <cfRule type="expression" dxfId="1072" priority="860">
      <formula>IF($V64&lt;&gt;0,AND(MID($A64,5,1)="C"))</formula>
    </cfRule>
    <cfRule type="expression" dxfId="1071" priority="861">
      <formula>IF($V64&lt;&gt;0,AND(MID($A64,5,1)="D"))</formula>
    </cfRule>
  </conditionalFormatting>
  <conditionalFormatting sqref="D64">
    <cfRule type="cellIs" dxfId="1070" priority="854" operator="lessThan">
      <formula>C64</formula>
    </cfRule>
    <cfRule type="expression" dxfId="1069" priority="856">
      <formula>IF($V64&lt;&gt;0,AND(MID($A64,5,1)=" "))</formula>
    </cfRule>
    <cfRule type="expression" dxfId="1068" priority="857">
      <formula>IF($V64&lt;&gt;0,AND(MID($A64,5,1)="C"))</formula>
    </cfRule>
    <cfRule type="expression" dxfId="1067" priority="858">
      <formula>IF($V64&lt;&gt;0,AND(MID($A64,5,1)="D"))</formula>
    </cfRule>
  </conditionalFormatting>
  <conditionalFormatting sqref="C65">
    <cfRule type="cellIs" dxfId="1066" priority="847" operator="lessThan">
      <formula>D65</formula>
    </cfRule>
    <cfRule type="expression" dxfId="1065" priority="851">
      <formula>IF($V65&lt;&gt;0,AND(MID($A65,5,1)=" "))</formula>
    </cfRule>
    <cfRule type="expression" dxfId="1064" priority="852">
      <formula>IF($V65&lt;&gt;0,AND(MID($A65,5,1)="C"))</formula>
    </cfRule>
    <cfRule type="expression" dxfId="1063" priority="853">
      <formula>IF($V65&lt;&gt;0,AND(MID($A65,5,1)="D"))</formula>
    </cfRule>
  </conditionalFormatting>
  <conditionalFormatting sqref="D65">
    <cfRule type="cellIs" dxfId="1062" priority="846" operator="lessThan">
      <formula>C65</formula>
    </cfRule>
    <cfRule type="expression" dxfId="1061" priority="848">
      <formula>IF($V65&lt;&gt;0,AND(MID($A65,5,1)=" "))</formula>
    </cfRule>
    <cfRule type="expression" dxfId="1060" priority="849">
      <formula>IF($V65&lt;&gt;0,AND(MID($A65,5,1)="C"))</formula>
    </cfRule>
    <cfRule type="expression" dxfId="1059" priority="850">
      <formula>IF($V65&lt;&gt;0,AND(MID($A65,5,1)="D"))</formula>
    </cfRule>
  </conditionalFormatting>
  <conditionalFormatting sqref="Y72 Y74">
    <cfRule type="cellIs" dxfId="1058" priority="708" operator="lessThanOrEqual">
      <formula>0</formula>
    </cfRule>
  </conditionalFormatting>
  <conditionalFormatting sqref="Y73">
    <cfRule type="cellIs" dxfId="1057" priority="707" operator="equal">
      <formula>0</formula>
    </cfRule>
  </conditionalFormatting>
  <conditionalFormatting sqref="Y75">
    <cfRule type="cellIs" dxfId="1056" priority="706" operator="equal">
      <formula>0</formula>
    </cfRule>
  </conditionalFormatting>
  <conditionalFormatting sqref="Y70">
    <cfRule type="cellIs" dxfId="1055" priority="703" operator="lessThanOrEqual">
      <formula>0</formula>
    </cfRule>
    <cfRule type="expression" dxfId="1054" priority="704">
      <formula>(C71)-(D70)&lt;(C71/100)*(1+$AD$1*$AE$1)</formula>
    </cfRule>
  </conditionalFormatting>
  <conditionalFormatting sqref="Y71">
    <cfRule type="cellIs" dxfId="1053" priority="705" operator="equal">
      <formula>0</formula>
    </cfRule>
  </conditionalFormatting>
  <conditionalFormatting sqref="Y78 Y80">
    <cfRule type="cellIs" dxfId="1052" priority="702" operator="lessThanOrEqual">
      <formula>0</formula>
    </cfRule>
  </conditionalFormatting>
  <conditionalFormatting sqref="Y79">
    <cfRule type="cellIs" dxfId="1051" priority="701" operator="equal">
      <formula>0</formula>
    </cfRule>
  </conditionalFormatting>
  <conditionalFormatting sqref="Y81">
    <cfRule type="cellIs" dxfId="1050" priority="700" operator="equal">
      <formula>0</formula>
    </cfRule>
  </conditionalFormatting>
  <conditionalFormatting sqref="Y76">
    <cfRule type="cellIs" dxfId="1049" priority="697" operator="lessThanOrEqual">
      <formula>0</formula>
    </cfRule>
    <cfRule type="expression" dxfId="1048" priority="698">
      <formula>(C77)-(D76)&lt;(C77/100)*(1+$AD$1*$AE$1)</formula>
    </cfRule>
  </conditionalFormatting>
  <conditionalFormatting sqref="Y77">
    <cfRule type="cellIs" dxfId="1047" priority="699" operator="equal">
      <formula>0</formula>
    </cfRule>
  </conditionalFormatting>
  <conditionalFormatting sqref="Y84 Y86">
    <cfRule type="cellIs" dxfId="1046" priority="696" operator="lessThanOrEqual">
      <formula>0</formula>
    </cfRule>
  </conditionalFormatting>
  <conditionalFormatting sqref="Y85">
    <cfRule type="cellIs" dxfId="1045" priority="695" operator="equal">
      <formula>0</formula>
    </cfRule>
  </conditionalFormatting>
  <conditionalFormatting sqref="Y87">
    <cfRule type="cellIs" dxfId="1044" priority="694" operator="equal">
      <formula>0</formula>
    </cfRule>
  </conditionalFormatting>
  <conditionalFormatting sqref="Y82">
    <cfRule type="cellIs" dxfId="1043" priority="691" operator="lessThanOrEqual">
      <formula>0</formula>
    </cfRule>
    <cfRule type="expression" dxfId="1042" priority="692">
      <formula>(C83)-(D82)&lt;(C83/100)*(1+$AD$1*$AE$1)</formula>
    </cfRule>
  </conditionalFormatting>
  <conditionalFormatting sqref="Y83">
    <cfRule type="cellIs" dxfId="1041" priority="693" operator="equal">
      <formula>0</formula>
    </cfRule>
  </conditionalFormatting>
  <conditionalFormatting sqref="Y90 Y92">
    <cfRule type="cellIs" dxfId="1040" priority="690" operator="lessThanOrEqual">
      <formula>0</formula>
    </cfRule>
  </conditionalFormatting>
  <conditionalFormatting sqref="Y91">
    <cfRule type="cellIs" dxfId="1039" priority="689" operator="equal">
      <formula>0</formula>
    </cfRule>
  </conditionalFormatting>
  <conditionalFormatting sqref="Y93">
    <cfRule type="cellIs" dxfId="1038" priority="688" operator="equal">
      <formula>0</formula>
    </cfRule>
  </conditionalFormatting>
  <conditionalFormatting sqref="Y88">
    <cfRule type="cellIs" dxfId="1037" priority="685" operator="lessThanOrEqual">
      <formula>0</formula>
    </cfRule>
    <cfRule type="expression" dxfId="1036" priority="686">
      <formula>(C89)-(D88)&lt;(C89/100)*(1+$AD$1*$AE$1)</formula>
    </cfRule>
  </conditionalFormatting>
  <conditionalFormatting sqref="Y89">
    <cfRule type="cellIs" dxfId="1035" priority="687" operator="equal">
      <formula>0</formula>
    </cfRule>
  </conditionalFormatting>
  <conditionalFormatting sqref="Y96 Y98">
    <cfRule type="cellIs" dxfId="1034" priority="684" operator="lessThanOrEqual">
      <formula>0</formula>
    </cfRule>
  </conditionalFormatting>
  <conditionalFormatting sqref="Y97">
    <cfRule type="cellIs" dxfId="1033" priority="683" operator="equal">
      <formula>0</formula>
    </cfRule>
  </conditionalFormatting>
  <conditionalFormatting sqref="Y99">
    <cfRule type="cellIs" dxfId="1032" priority="682" operator="equal">
      <formula>0</formula>
    </cfRule>
  </conditionalFormatting>
  <conditionalFormatting sqref="Y94">
    <cfRule type="cellIs" dxfId="1031" priority="679" operator="lessThanOrEqual">
      <formula>0</formula>
    </cfRule>
    <cfRule type="expression" dxfId="1030" priority="680">
      <formula>(C95)-(D94)&lt;(C95/100)*(1+$AD$1*$AE$1)</formula>
    </cfRule>
  </conditionalFormatting>
  <conditionalFormatting sqref="Y95">
    <cfRule type="cellIs" dxfId="1029" priority="681" operator="equal">
      <formula>0</formula>
    </cfRule>
  </conditionalFormatting>
  <conditionalFormatting sqref="Y102 Y104">
    <cfRule type="cellIs" dxfId="1028" priority="678" operator="lessThanOrEqual">
      <formula>0</formula>
    </cfRule>
  </conditionalFormatting>
  <conditionalFormatting sqref="Y103">
    <cfRule type="cellIs" dxfId="1027" priority="677" operator="equal">
      <formula>0</formula>
    </cfRule>
  </conditionalFormatting>
  <conditionalFormatting sqref="Y105">
    <cfRule type="cellIs" dxfId="1026" priority="676" operator="equal">
      <formula>0</formula>
    </cfRule>
  </conditionalFormatting>
  <conditionalFormatting sqref="Y100">
    <cfRule type="cellIs" dxfId="1025" priority="673" operator="lessThanOrEqual">
      <formula>0</formula>
    </cfRule>
    <cfRule type="expression" dxfId="1024" priority="674">
      <formula>(C101)-(D100)&lt;(C101/100)*(1+$AD$1*$AE$1)</formula>
    </cfRule>
  </conditionalFormatting>
  <conditionalFormatting sqref="Y101">
    <cfRule type="cellIs" dxfId="1023" priority="675" operator="equal">
      <formula>0</formula>
    </cfRule>
  </conditionalFormatting>
  <conditionalFormatting sqref="Y108 Y110">
    <cfRule type="cellIs" dxfId="1022" priority="672" operator="lessThanOrEqual">
      <formula>0</formula>
    </cfRule>
  </conditionalFormatting>
  <conditionalFormatting sqref="Y109">
    <cfRule type="cellIs" dxfId="1021" priority="671" operator="equal">
      <formula>0</formula>
    </cfRule>
  </conditionalFormatting>
  <conditionalFormatting sqref="Y111">
    <cfRule type="cellIs" dxfId="1020" priority="670" operator="equal">
      <formula>0</formula>
    </cfRule>
  </conditionalFormatting>
  <conditionalFormatting sqref="Y106">
    <cfRule type="cellIs" dxfId="1019" priority="667" operator="lessThanOrEqual">
      <formula>0</formula>
    </cfRule>
    <cfRule type="expression" dxfId="1018" priority="668">
      <formula>(C107)-(D106)&lt;(C107/100)*(1+$AD$1*$AE$1)</formula>
    </cfRule>
  </conditionalFormatting>
  <conditionalFormatting sqref="Y107">
    <cfRule type="cellIs" dxfId="1017" priority="669" operator="equal">
      <formula>0</formula>
    </cfRule>
  </conditionalFormatting>
  <conditionalFormatting sqref="Y114 Y116">
    <cfRule type="cellIs" dxfId="1016" priority="666" operator="lessThanOrEqual">
      <formula>0</formula>
    </cfRule>
  </conditionalFormatting>
  <conditionalFormatting sqref="Y115">
    <cfRule type="cellIs" dxfId="1015" priority="665" operator="equal">
      <formula>0</formula>
    </cfRule>
  </conditionalFormatting>
  <conditionalFormatting sqref="Y117">
    <cfRule type="cellIs" dxfId="1014" priority="664" operator="equal">
      <formula>0</formula>
    </cfRule>
  </conditionalFormatting>
  <conditionalFormatting sqref="Y112">
    <cfRule type="cellIs" dxfId="1013" priority="661" operator="lessThanOrEqual">
      <formula>0</formula>
    </cfRule>
    <cfRule type="expression" dxfId="1012" priority="662">
      <formula>(C113)-(D112)&lt;(C113/100)*(1+$AD$1*$AE$1)</formula>
    </cfRule>
  </conditionalFormatting>
  <conditionalFormatting sqref="Y113">
    <cfRule type="cellIs" dxfId="1011" priority="663" operator="equal">
      <formula>0</formula>
    </cfRule>
  </conditionalFormatting>
  <conditionalFormatting sqref="Y120 Y122">
    <cfRule type="cellIs" dxfId="1010" priority="660" operator="lessThanOrEqual">
      <formula>0</formula>
    </cfRule>
  </conditionalFormatting>
  <conditionalFormatting sqref="Y121">
    <cfRule type="cellIs" dxfId="1009" priority="659" operator="equal">
      <formula>0</formula>
    </cfRule>
  </conditionalFormatting>
  <conditionalFormatting sqref="Y123">
    <cfRule type="cellIs" dxfId="1008" priority="658" operator="equal">
      <formula>0</formula>
    </cfRule>
  </conditionalFormatting>
  <conditionalFormatting sqref="Y118">
    <cfRule type="cellIs" dxfId="1007" priority="655" operator="lessThanOrEqual">
      <formula>0</formula>
    </cfRule>
    <cfRule type="expression" dxfId="1006" priority="656">
      <formula>(C119)-(D118)&lt;(C119/100)*(1+$AD$1*$AE$1)</formula>
    </cfRule>
  </conditionalFormatting>
  <conditionalFormatting sqref="Y119">
    <cfRule type="cellIs" dxfId="1005" priority="657" operator="equal">
      <formula>0</formula>
    </cfRule>
  </conditionalFormatting>
  <conditionalFormatting sqref="Y126 Y128">
    <cfRule type="cellIs" dxfId="1004" priority="654" operator="lessThanOrEqual">
      <formula>0</formula>
    </cfRule>
  </conditionalFormatting>
  <conditionalFormatting sqref="Y127">
    <cfRule type="cellIs" dxfId="1003" priority="653" operator="equal">
      <formula>0</formula>
    </cfRule>
  </conditionalFormatting>
  <conditionalFormatting sqref="Y129">
    <cfRule type="cellIs" dxfId="1002" priority="652" operator="equal">
      <formula>0</formula>
    </cfRule>
  </conditionalFormatting>
  <conditionalFormatting sqref="Y124">
    <cfRule type="cellIs" dxfId="1001" priority="649" operator="lessThanOrEqual">
      <formula>0</formula>
    </cfRule>
    <cfRule type="expression" dxfId="1000" priority="650">
      <formula>(C125)-(D124)&lt;(C125/100)*(1+$AD$1*$AE$1)</formula>
    </cfRule>
  </conditionalFormatting>
  <conditionalFormatting sqref="Y125">
    <cfRule type="cellIs" dxfId="999" priority="651" operator="equal">
      <formula>0</formula>
    </cfRule>
  </conditionalFormatting>
  <conditionalFormatting sqref="Y132 Y134">
    <cfRule type="cellIs" dxfId="998" priority="648" operator="lessThanOrEqual">
      <formula>0</formula>
    </cfRule>
  </conditionalFormatting>
  <conditionalFormatting sqref="Y133">
    <cfRule type="cellIs" dxfId="997" priority="647" operator="equal">
      <formula>0</formula>
    </cfRule>
  </conditionalFormatting>
  <conditionalFormatting sqref="Y135">
    <cfRule type="cellIs" dxfId="996" priority="646" operator="equal">
      <formula>0</formula>
    </cfRule>
  </conditionalFormatting>
  <conditionalFormatting sqref="Y130">
    <cfRule type="cellIs" dxfId="995" priority="643" operator="lessThanOrEqual">
      <formula>0</formula>
    </cfRule>
    <cfRule type="expression" dxfId="994" priority="644">
      <formula>(C131)-(D130)&lt;(C131/100)*(1+$AD$1*$AE$1)</formula>
    </cfRule>
  </conditionalFormatting>
  <conditionalFormatting sqref="Y131">
    <cfRule type="cellIs" dxfId="993" priority="645" operator="equal">
      <formula>0</formula>
    </cfRule>
  </conditionalFormatting>
  <conditionalFormatting sqref="Y138 Y140">
    <cfRule type="cellIs" dxfId="992" priority="642" operator="lessThanOrEqual">
      <formula>0</formula>
    </cfRule>
  </conditionalFormatting>
  <conditionalFormatting sqref="Y139">
    <cfRule type="cellIs" dxfId="991" priority="641" operator="equal">
      <formula>0</formula>
    </cfRule>
  </conditionalFormatting>
  <conditionalFormatting sqref="Y141">
    <cfRule type="cellIs" dxfId="990" priority="640" operator="equal">
      <formula>0</formula>
    </cfRule>
  </conditionalFormatting>
  <conditionalFormatting sqref="Y136">
    <cfRule type="cellIs" dxfId="989" priority="637" operator="lessThanOrEqual">
      <formula>0</formula>
    </cfRule>
    <cfRule type="expression" dxfId="988" priority="638">
      <formula>(C137)-(D136)&lt;(C137/100)*(1+$AD$1*$AE$1)</formula>
    </cfRule>
  </conditionalFormatting>
  <conditionalFormatting sqref="Y137">
    <cfRule type="cellIs" dxfId="987" priority="639" operator="equal">
      <formula>0</formula>
    </cfRule>
  </conditionalFormatting>
  <conditionalFormatting sqref="Y144 Y146">
    <cfRule type="cellIs" dxfId="986" priority="636" operator="lessThanOrEqual">
      <formula>0</formula>
    </cfRule>
  </conditionalFormatting>
  <conditionalFormatting sqref="Y145">
    <cfRule type="cellIs" dxfId="985" priority="635" operator="equal">
      <formula>0</formula>
    </cfRule>
  </conditionalFormatting>
  <conditionalFormatting sqref="Y147">
    <cfRule type="cellIs" dxfId="984" priority="634" operator="equal">
      <formula>0</formula>
    </cfRule>
  </conditionalFormatting>
  <conditionalFormatting sqref="Y142">
    <cfRule type="cellIs" dxfId="983" priority="631" operator="lessThanOrEqual">
      <formula>0</formula>
    </cfRule>
    <cfRule type="expression" dxfId="982" priority="632">
      <formula>(C143)-(D142)&lt;(C143/100)*(1+$AD$1*$AE$1)</formula>
    </cfRule>
  </conditionalFormatting>
  <conditionalFormatting sqref="Y143">
    <cfRule type="cellIs" dxfId="981" priority="633" operator="equal">
      <formula>0</formula>
    </cfRule>
  </conditionalFormatting>
  <conditionalFormatting sqref="Y150 Y152">
    <cfRule type="cellIs" dxfId="980" priority="630" operator="lessThanOrEqual">
      <formula>0</formula>
    </cfRule>
  </conditionalFormatting>
  <conditionalFormatting sqref="Y151">
    <cfRule type="cellIs" dxfId="979" priority="629" operator="equal">
      <formula>0</formula>
    </cfRule>
  </conditionalFormatting>
  <conditionalFormatting sqref="Y153">
    <cfRule type="cellIs" dxfId="978" priority="628" operator="equal">
      <formula>0</formula>
    </cfRule>
  </conditionalFormatting>
  <conditionalFormatting sqref="Y148">
    <cfRule type="cellIs" dxfId="977" priority="625" operator="lessThanOrEqual">
      <formula>0</formula>
    </cfRule>
    <cfRule type="expression" dxfId="976" priority="626">
      <formula>(C149)-(D148)&lt;(C149/100)*(1+$AD$1*$AE$1)</formula>
    </cfRule>
  </conditionalFormatting>
  <conditionalFormatting sqref="Y149">
    <cfRule type="cellIs" dxfId="975" priority="627" operator="equal">
      <formula>0</formula>
    </cfRule>
  </conditionalFormatting>
  <conditionalFormatting sqref="Y156 Y158">
    <cfRule type="cellIs" dxfId="974" priority="624" operator="lessThanOrEqual">
      <formula>0</formula>
    </cfRule>
  </conditionalFormatting>
  <conditionalFormatting sqref="Y157">
    <cfRule type="cellIs" dxfId="973" priority="623" operator="equal">
      <formula>0</formula>
    </cfRule>
  </conditionalFormatting>
  <conditionalFormatting sqref="Y159">
    <cfRule type="cellIs" dxfId="972" priority="622" operator="equal">
      <formula>0</formula>
    </cfRule>
  </conditionalFormatting>
  <conditionalFormatting sqref="Y154">
    <cfRule type="cellIs" dxfId="971" priority="619" operator="lessThanOrEqual">
      <formula>0</formula>
    </cfRule>
    <cfRule type="expression" dxfId="970" priority="620">
      <formula>(C155)-(D154)&lt;(C155/100)*(1+$AD$1*$AE$1)</formula>
    </cfRule>
  </conditionalFormatting>
  <conditionalFormatting sqref="Y155">
    <cfRule type="cellIs" dxfId="969" priority="621" operator="equal">
      <formula>0</formula>
    </cfRule>
  </conditionalFormatting>
  <conditionalFormatting sqref="Y162 Y164">
    <cfRule type="cellIs" dxfId="968" priority="618" operator="lessThanOrEqual">
      <formula>0</formula>
    </cfRule>
  </conditionalFormatting>
  <conditionalFormatting sqref="Y163">
    <cfRule type="cellIs" dxfId="967" priority="617" operator="equal">
      <formula>0</formula>
    </cfRule>
  </conditionalFormatting>
  <conditionalFormatting sqref="Y165">
    <cfRule type="cellIs" dxfId="966" priority="616" operator="equal">
      <formula>0</formula>
    </cfRule>
  </conditionalFormatting>
  <conditionalFormatting sqref="Y160">
    <cfRule type="cellIs" dxfId="965" priority="613" operator="lessThanOrEqual">
      <formula>0</formula>
    </cfRule>
    <cfRule type="expression" dxfId="964" priority="614">
      <formula>(C161)-(D160)&lt;(C161/100)*(1+$AD$1*$AE$1)</formula>
    </cfRule>
  </conditionalFormatting>
  <conditionalFormatting sqref="Y161">
    <cfRule type="cellIs" dxfId="963" priority="615" operator="equal">
      <formula>0</formula>
    </cfRule>
  </conditionalFormatting>
  <conditionalFormatting sqref="Y168 Y170 Y174 Y180 Y186 Y192 Y198 Y176 Y182 Y188 Y194 Y200">
    <cfRule type="cellIs" dxfId="962" priority="612" operator="lessThanOrEqual">
      <formula>0</formula>
    </cfRule>
  </conditionalFormatting>
  <conditionalFormatting sqref="Y169 Y175 Y181 Y187 Y193 Y199">
    <cfRule type="cellIs" dxfId="961" priority="611" operator="equal">
      <formula>0</formula>
    </cfRule>
  </conditionalFormatting>
  <conditionalFormatting sqref="Y171 Y177 Y183 Y189 Y195 Y201">
    <cfRule type="cellIs" dxfId="960" priority="610" operator="equal">
      <formula>0</formula>
    </cfRule>
  </conditionalFormatting>
  <conditionalFormatting sqref="Y166 Y172 Y178 Y184 Y190 Y196">
    <cfRule type="cellIs" dxfId="959" priority="607" operator="lessThanOrEqual">
      <formula>0</formula>
    </cfRule>
    <cfRule type="expression" dxfId="958" priority="608">
      <formula>(C167)-(D166)&lt;(C167/100)*(1+$AD$1*$AE$1)</formula>
    </cfRule>
  </conditionalFormatting>
  <conditionalFormatting sqref="Y167 Y173 Y179 Y185 Y191 Y197">
    <cfRule type="cellIs" dxfId="957" priority="609" operator="equal">
      <formula>0</formula>
    </cfRule>
  </conditionalFormatting>
  <conditionalFormatting sqref="V44">
    <cfRule type="cellIs" dxfId="956" priority="605" operator="lessThan">
      <formula>0</formula>
    </cfRule>
    <cfRule type="cellIs" dxfId="955" priority="606" operator="equal">
      <formula>0</formula>
    </cfRule>
  </conditionalFormatting>
  <conditionalFormatting sqref="G44">
    <cfRule type="cellIs" dxfId="954" priority="604" operator="lessThan">
      <formula>0</formula>
    </cfRule>
  </conditionalFormatting>
  <conditionalFormatting sqref="D44">
    <cfRule type="expression" dxfId="953" priority="603">
      <formula>E44&gt;B44</formula>
    </cfRule>
  </conditionalFormatting>
  <conditionalFormatting sqref="C44">
    <cfRule type="expression" dxfId="952" priority="602">
      <formula>B44&gt;E44</formula>
    </cfRule>
  </conditionalFormatting>
  <conditionalFormatting sqref="B44">
    <cfRule type="cellIs" dxfId="951" priority="601" operator="greaterThan">
      <formula>E44</formula>
    </cfRule>
  </conditionalFormatting>
  <conditionalFormatting sqref="E44">
    <cfRule type="cellIs" dxfId="950" priority="600" operator="greaterThan">
      <formula>B44</formula>
    </cfRule>
  </conditionalFormatting>
  <conditionalFormatting sqref="M44">
    <cfRule type="dataBar" priority="5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{7D6618ED-0B3F-45CA-8120-128FA7F49025}</x14:id>
        </ext>
      </extLst>
    </cfRule>
  </conditionalFormatting>
  <conditionalFormatting sqref="Y44:Z44">
    <cfRule type="cellIs" dxfId="949" priority="596" operator="equal">
      <formula>0</formula>
    </cfRule>
    <cfRule type="expression" dxfId="948" priority="597">
      <formula>G44*100&lt;Y44</formula>
    </cfRule>
    <cfRule type="expression" dxfId="947" priority="598">
      <formula>Y44&lt;G44*100</formula>
    </cfRule>
  </conditionalFormatting>
  <conditionalFormatting sqref="W44">
    <cfRule type="cellIs" dxfId="946" priority="595" operator="equal">
      <formula>0</formula>
    </cfRule>
  </conditionalFormatting>
  <conditionalFormatting sqref="W44">
    <cfRule type="cellIs" dxfId="945" priority="593" operator="equal">
      <formula>"STOP"</formula>
    </cfRule>
    <cfRule type="cellIs" dxfId="944" priority="594" operator="equal">
      <formula>"TRAILING"</formula>
    </cfRule>
  </conditionalFormatting>
  <conditionalFormatting sqref="W44">
    <cfRule type="cellIs" dxfId="943" priority="591" operator="equal">
      <formula>"STOP"</formula>
    </cfRule>
    <cfRule type="cellIs" dxfId="942" priority="592" operator="equal">
      <formula>"TRAILING"</formula>
    </cfRule>
  </conditionalFormatting>
  <conditionalFormatting sqref="X44">
    <cfRule type="expression" dxfId="941" priority="589">
      <formula>X44*100&lt;C44</formula>
    </cfRule>
    <cfRule type="cellIs" dxfId="940" priority="590" operator="equal">
      <formula>0</formula>
    </cfRule>
  </conditionalFormatting>
  <conditionalFormatting sqref="A44">
    <cfRule type="expression" dxfId="939" priority="588">
      <formula>X44&lt;&gt;0</formula>
    </cfRule>
  </conditionalFormatting>
  <conditionalFormatting sqref="Y45:Z45 Y47:Z47 Y49:Z49 Y51:Z51 Y53:Z53 Y55:Z55 Y57:Z57 Y59:Z59">
    <cfRule type="cellIs" dxfId="938" priority="585" operator="equal">
      <formula>0</formula>
    </cfRule>
    <cfRule type="expression" dxfId="937" priority="586">
      <formula>G45*100&lt;Y45</formula>
    </cfRule>
    <cfRule type="expression" dxfId="936" priority="587">
      <formula>Y45&lt;G45*100</formula>
    </cfRule>
  </conditionalFormatting>
  <conditionalFormatting sqref="W45 W47 W49 W51 W53 W55 W57 W59">
    <cfRule type="cellIs" dxfId="935" priority="584" operator="equal">
      <formula>0</formula>
    </cfRule>
  </conditionalFormatting>
  <conditionalFormatting sqref="W45 W47 W49 W51 W53 W55 W57 W59">
    <cfRule type="cellIs" dxfId="934" priority="582" operator="equal">
      <formula>"STOP"</formula>
    </cfRule>
    <cfRule type="cellIs" dxfId="933" priority="583" operator="equal">
      <formula>"TRAILING"</formula>
    </cfRule>
  </conditionalFormatting>
  <conditionalFormatting sqref="W45 W47 W49 W51 W53 W55 W57 W59">
    <cfRule type="cellIs" dxfId="932" priority="580" operator="equal">
      <formula>"STOP"</formula>
    </cfRule>
    <cfRule type="cellIs" dxfId="931" priority="581" operator="equal">
      <formula>"TRAILING"</formula>
    </cfRule>
  </conditionalFormatting>
  <conditionalFormatting sqref="X45 X47 X49 X51 X53 X55 X57 X59">
    <cfRule type="expression" dxfId="930" priority="578">
      <formula>X45*100&lt;C45</formula>
    </cfRule>
    <cfRule type="cellIs" dxfId="929" priority="579" operator="equal">
      <formula>0</formula>
    </cfRule>
  </conditionalFormatting>
  <conditionalFormatting sqref="Y46:Z46 Y48:Z48 Y50:Z50 Y52:Z52 Y54:Z54 Y56:Z56 Y58:Z58">
    <cfRule type="cellIs" dxfId="928" priority="575" operator="equal">
      <formula>0</formula>
    </cfRule>
    <cfRule type="expression" dxfId="927" priority="576">
      <formula>G46*100&lt;Y46</formula>
    </cfRule>
    <cfRule type="expression" dxfId="926" priority="577">
      <formula>Y46&lt;G46*100</formula>
    </cfRule>
  </conditionalFormatting>
  <conditionalFormatting sqref="W46 W48 W50 W52 W54 W56 W58">
    <cfRule type="cellIs" dxfId="925" priority="574" operator="equal">
      <formula>0</formula>
    </cfRule>
  </conditionalFormatting>
  <conditionalFormatting sqref="W46 W48 W50 W52 W54 W56 W58">
    <cfRule type="cellIs" dxfId="924" priority="572" operator="equal">
      <formula>"STOP"</formula>
    </cfRule>
    <cfRule type="cellIs" dxfId="923" priority="573" operator="equal">
      <formula>"TRAILING"</formula>
    </cfRule>
  </conditionalFormatting>
  <conditionalFormatting sqref="W46 W48 W50 W52 W54 W56 W58">
    <cfRule type="cellIs" dxfId="922" priority="570" operator="equal">
      <formula>"STOP"</formula>
    </cfRule>
    <cfRule type="cellIs" dxfId="921" priority="571" operator="equal">
      <formula>"TRAILING"</formula>
    </cfRule>
  </conditionalFormatting>
  <conditionalFormatting sqref="X46 X48 X50 X52 X54 X56 X58">
    <cfRule type="expression" dxfId="920" priority="568">
      <formula>X46*100&lt;C46</formula>
    </cfRule>
    <cfRule type="cellIs" dxfId="919" priority="569" operator="equal">
      <formula>0</formula>
    </cfRule>
  </conditionalFormatting>
  <conditionalFormatting sqref="AA2">
    <cfRule type="expression" dxfId="918" priority="565">
      <formula>IF($Y5&gt;$Y2,AND(MID($A2,5,1)=" "))</formula>
    </cfRule>
    <cfRule type="expression" dxfId="917" priority="566">
      <formula>IF($Y5&gt;$Y2,AND(MID($A2,5,1)="C"))</formula>
    </cfRule>
    <cfRule type="expression" dxfId="916" priority="567">
      <formula>IF($Y5&gt;$Y2,AND(MID($A2,5,1)="D"))</formula>
    </cfRule>
  </conditionalFormatting>
  <conditionalFormatting sqref="AA4">
    <cfRule type="expression" dxfId="915" priority="520">
      <formula>IF($Y5&gt;$Y2,AND(MID($A4,5,1)=" "))</formula>
    </cfRule>
    <cfRule type="expression" dxfId="914" priority="521">
      <formula>IF($Y5&gt;$Y2,AND(MID($A4,5,1)="C"))</formula>
    </cfRule>
    <cfRule type="expression" dxfId="913" priority="522">
      <formula>IF($Y5&gt;$Y2,AND(MID($A4,5,1)="D"))</formula>
    </cfRule>
  </conditionalFormatting>
  <conditionalFormatting sqref="AA6">
    <cfRule type="expression" dxfId="912" priority="514">
      <formula>IF($Y9&gt;$Y6,AND(MID($A6,5,1)=" "))</formula>
    </cfRule>
    <cfRule type="expression" dxfId="911" priority="515">
      <formula>IF($Y9&gt;$Y6,AND(MID($A6,5,1)="C"))</formula>
    </cfRule>
    <cfRule type="expression" dxfId="910" priority="516">
      <formula>IF($Y9&gt;$Y6,AND(MID($A6,5,1)="D"))</formula>
    </cfRule>
  </conditionalFormatting>
  <conditionalFormatting sqref="AA8">
    <cfRule type="expression" dxfId="909" priority="511">
      <formula>IF($Y9&gt;$Y6,AND(MID($A8,5,1)=" "))</formula>
    </cfRule>
    <cfRule type="expression" dxfId="908" priority="512">
      <formula>IF($Y9&gt;$Y6,AND(MID($A8,5,1)="C"))</formula>
    </cfRule>
    <cfRule type="expression" dxfId="907" priority="513">
      <formula>IF($Y9&gt;$Y6,AND(MID($A8,5,1)="D"))</formula>
    </cfRule>
  </conditionalFormatting>
  <conditionalFormatting sqref="AA10">
    <cfRule type="expression" dxfId="906" priority="508">
      <formula>IF($Y13&gt;$Y10,AND(MID($A10,5,1)=" "))</formula>
    </cfRule>
    <cfRule type="expression" dxfId="905" priority="509">
      <formula>IF($Y13&gt;$Y10,AND(MID($A10,5,1)="C"))</formula>
    </cfRule>
    <cfRule type="expression" dxfId="904" priority="510">
      <formula>IF($Y13&gt;$Y10,AND(MID($A10,5,1)="D"))</formula>
    </cfRule>
  </conditionalFormatting>
  <conditionalFormatting sqref="AA12">
    <cfRule type="expression" dxfId="903" priority="505">
      <formula>IF($Y13&gt;$Y10,AND(MID($A12,5,1)=" "))</formula>
    </cfRule>
    <cfRule type="expression" dxfId="902" priority="506">
      <formula>IF($Y13&gt;$Y10,AND(MID($A12,5,1)="C"))</formula>
    </cfRule>
    <cfRule type="expression" dxfId="901" priority="507">
      <formula>IF($Y13&gt;$Y10,AND(MID($A12,5,1)="D"))</formula>
    </cfRule>
  </conditionalFormatting>
  <conditionalFormatting sqref="AA14">
    <cfRule type="expression" dxfId="900" priority="502">
      <formula>IF($Y17&gt;$Y14,AND(MID($A14,5,1)=" "))</formula>
    </cfRule>
    <cfRule type="expression" dxfId="899" priority="503">
      <formula>IF($Y17&gt;$Y14,AND(MID($A14,5,1)="C"))</formula>
    </cfRule>
    <cfRule type="expression" dxfId="898" priority="504">
      <formula>IF($Y17&gt;$Y14,AND(MID($A14,5,1)="D"))</formula>
    </cfRule>
  </conditionalFormatting>
  <conditionalFormatting sqref="AA16">
    <cfRule type="expression" dxfId="897" priority="499">
      <formula>IF($Y17&gt;$Y14,AND(MID($A16,5,1)=" "))</formula>
    </cfRule>
    <cfRule type="expression" dxfId="896" priority="500">
      <formula>IF($Y17&gt;$Y14,AND(MID($A16,5,1)="C"))</formula>
    </cfRule>
    <cfRule type="expression" dxfId="895" priority="501">
      <formula>IF($Y17&gt;$Y14,AND(MID($A16,5,1)="D"))</formula>
    </cfRule>
  </conditionalFormatting>
  <conditionalFormatting sqref="AA18">
    <cfRule type="expression" dxfId="894" priority="496">
      <formula>IF($Y21&gt;$Y18,AND(MID($A18,5,1)=" "))</formula>
    </cfRule>
    <cfRule type="expression" dxfId="893" priority="497">
      <formula>IF($Y21&gt;$Y18,AND(MID($A18,5,1)="C"))</formula>
    </cfRule>
    <cfRule type="expression" dxfId="892" priority="498">
      <formula>IF($Y21&gt;$Y18,AND(MID($A18,5,1)="D"))</formula>
    </cfRule>
  </conditionalFormatting>
  <conditionalFormatting sqref="AA20">
    <cfRule type="expression" dxfId="891" priority="493">
      <formula>IF($Y21&gt;$Y18,AND(MID($A20,5,1)=" "))</formula>
    </cfRule>
    <cfRule type="expression" dxfId="890" priority="494">
      <formula>IF($Y21&gt;$Y18,AND(MID($A20,5,1)="C"))</formula>
    </cfRule>
    <cfRule type="expression" dxfId="889" priority="495">
      <formula>IF($Y21&gt;$Y18,AND(MID($A20,5,1)="D"))</formula>
    </cfRule>
  </conditionalFormatting>
  <conditionalFormatting sqref="Y21">
    <cfRule type="expression" dxfId="888" priority="475">
      <formula>IF($Y22&gt;$Y19,AND(MID($A21,5,1)=" "))</formula>
    </cfRule>
    <cfRule type="expression" dxfId="887" priority="476">
      <formula>IF($Y22&gt;$Y19,AND(MID($A21,5,1)="C"))</formula>
    </cfRule>
    <cfRule type="expression" dxfId="886" priority="477">
      <formula>IF($Y22&gt;$Y19,AND(MID($A21,5,1)="D"))</formula>
    </cfRule>
  </conditionalFormatting>
  <conditionalFormatting sqref="Y17">
    <cfRule type="expression" dxfId="885" priority="472">
      <formula>IF($Y18&gt;$Y15,AND(MID($A17,5,1)=" "))</formula>
    </cfRule>
    <cfRule type="expression" dxfId="884" priority="473">
      <formula>IF($Y18&gt;$Y15,AND(MID($A17,5,1)="C"))</formula>
    </cfRule>
    <cfRule type="expression" dxfId="883" priority="474">
      <formula>IF($Y18&gt;$Y15,AND(MID($A17,5,1)="D"))</formula>
    </cfRule>
  </conditionalFormatting>
  <conditionalFormatting sqref="Y13">
    <cfRule type="expression" dxfId="882" priority="469">
      <formula>IF($Y13&gt;$Y10,AND(MID($A13,5,1)=" "))</formula>
    </cfRule>
    <cfRule type="expression" dxfId="881" priority="470">
      <formula>IF($Y13&gt;$Y10,AND(MID($A13,5,1)="C"))</formula>
    </cfRule>
    <cfRule type="expression" dxfId="880" priority="471">
      <formula>IF($Y13&gt;$Y10,AND(MID($A13,5,1)="D"))</formula>
    </cfRule>
  </conditionalFormatting>
  <conditionalFormatting sqref="Y9">
    <cfRule type="expression" dxfId="879" priority="466">
      <formula>IF($Y9&gt;$Y6,AND(MID($A9,5,1)=" "))</formula>
    </cfRule>
    <cfRule type="expression" dxfId="878" priority="467">
      <formula>IF($Y9&gt;$Y6,AND(MID($A9,5,1)="C"))</formula>
    </cfRule>
    <cfRule type="expression" dxfId="877" priority="468">
      <formula>IF($Y9&gt;$Y6,AND(MID($A9,5,1)="D"))</formula>
    </cfRule>
  </conditionalFormatting>
  <conditionalFormatting sqref="Y5">
    <cfRule type="expression" dxfId="876" priority="463">
      <formula>IF($Y6&gt;$Y3,AND(MID($A5,5,1)=" "))</formula>
    </cfRule>
    <cfRule type="expression" dxfId="875" priority="464">
      <formula>IF($Y6&gt;$Y3,AND(MID($A5,5,1)="C"))</formula>
    </cfRule>
    <cfRule type="expression" dxfId="874" priority="465">
      <formula>IF($Y6&gt;$Y3,AND(MID($A5,5,1)="D"))</formula>
    </cfRule>
  </conditionalFormatting>
  <conditionalFormatting sqref="A64">
    <cfRule type="expression" dxfId="873" priority="460">
      <formula>IF($V64&lt;&gt;0,AND(MID($A64,5,1)=" "))</formula>
    </cfRule>
    <cfRule type="expression" dxfId="872" priority="461">
      <formula>IF($V64&lt;&gt;0,AND(MID($A64,5,1)="C"))</formula>
    </cfRule>
    <cfRule type="expression" dxfId="871" priority="462">
      <formula>IF($V64&lt;&gt;0,AND(MID($A64,5,1)="D"))</formula>
    </cfRule>
  </conditionalFormatting>
  <conditionalFormatting sqref="A65">
    <cfRule type="expression" dxfId="870" priority="457">
      <formula>IF($V65&lt;&gt;0,AND(MID($A65,5,1)=" "))</formula>
    </cfRule>
    <cfRule type="expression" dxfId="869" priority="458">
      <formula>IF($V65&lt;&gt;0,AND(MID($A65,5,1)="C"))</formula>
    </cfRule>
    <cfRule type="expression" dxfId="868" priority="459">
      <formula>IF($V65&lt;&gt;0,AND(MID($A65,5,1)="D"))</formula>
    </cfRule>
  </conditionalFormatting>
  <conditionalFormatting sqref="A66">
    <cfRule type="expression" dxfId="867" priority="442">
      <formula>IF($V66&lt;&gt;0,AND(MID($A66,5,1)=" "))</formula>
    </cfRule>
    <cfRule type="expression" dxfId="866" priority="443">
      <formula>IF($V66&lt;&gt;0,AND(MID($A66,5,1)="C"))</formula>
    </cfRule>
    <cfRule type="expression" dxfId="865" priority="444">
      <formula>IF($V66&lt;&gt;0,AND(MID($A66,5,1)="D"))</formula>
    </cfRule>
  </conditionalFormatting>
  <conditionalFormatting sqref="A67">
    <cfRule type="expression" dxfId="864" priority="439">
      <formula>IF($V67&lt;&gt;0,AND(MID($A67,5,1)=" "))</formula>
    </cfRule>
    <cfRule type="expression" dxfId="863" priority="440">
      <formula>IF($V67&lt;&gt;0,AND(MID($A67,5,1)="C"))</formula>
    </cfRule>
    <cfRule type="expression" dxfId="862" priority="441">
      <formula>IF($V67&lt;&gt;0,AND(MID($A67,5,1)="D"))</formula>
    </cfRule>
  </conditionalFormatting>
  <conditionalFormatting sqref="A68">
    <cfRule type="expression" dxfId="861" priority="436">
      <formula>IF($V68&lt;&gt;0,AND(MID($A68,5,1)=" "))</formula>
    </cfRule>
    <cfRule type="expression" dxfId="860" priority="437">
      <formula>IF($V68&lt;&gt;0,AND(MID($A68,5,1)="C"))</formula>
    </cfRule>
    <cfRule type="expression" dxfId="859" priority="438">
      <formula>IF($V68&lt;&gt;0,AND(MID($A68,5,1)="D"))</formula>
    </cfRule>
  </conditionalFormatting>
  <conditionalFormatting sqref="A69">
    <cfRule type="expression" dxfId="858" priority="433">
      <formula>IF($V69&lt;&gt;0,AND(MID($A69,5,1)=" "))</formula>
    </cfRule>
    <cfRule type="expression" dxfId="857" priority="434">
      <formula>IF($V69&lt;&gt;0,AND(MID($A69,5,1)="C"))</formula>
    </cfRule>
    <cfRule type="expression" dxfId="856" priority="435">
      <formula>IF($V69&lt;&gt;0,AND(MID($A69,5,1)="D"))</formula>
    </cfRule>
  </conditionalFormatting>
  <conditionalFormatting sqref="A70">
    <cfRule type="expression" dxfId="855" priority="394">
      <formula>IF($V70&lt;&gt;0,AND(MID($A70,5,1)=" "))</formula>
    </cfRule>
    <cfRule type="expression" dxfId="854" priority="395">
      <formula>IF($V70&lt;&gt;0,AND(MID($A70,5,1)="C"))</formula>
    </cfRule>
    <cfRule type="expression" dxfId="853" priority="396">
      <formula>IF($V70&lt;&gt;0,AND(MID($A70,5,1)="D"))</formula>
    </cfRule>
  </conditionalFormatting>
  <conditionalFormatting sqref="A71">
    <cfRule type="expression" dxfId="852" priority="391">
      <formula>IF($V71&lt;&gt;0,AND(MID($A71,5,1)=" "))</formula>
    </cfRule>
    <cfRule type="expression" dxfId="851" priority="392">
      <formula>IF($V71&lt;&gt;0,AND(MID($A71,5,1)="C"))</formula>
    </cfRule>
    <cfRule type="expression" dxfId="850" priority="393">
      <formula>IF($V71&lt;&gt;0,AND(MID($A71,5,1)="D"))</formula>
    </cfRule>
  </conditionalFormatting>
  <conditionalFormatting sqref="A72">
    <cfRule type="expression" dxfId="849" priority="388">
      <formula>IF($V72&lt;&gt;0,AND(MID($A72,5,1)=" "))</formula>
    </cfRule>
    <cfRule type="expression" dxfId="848" priority="389">
      <formula>IF($V72&lt;&gt;0,AND(MID($A72,5,1)="C"))</formula>
    </cfRule>
    <cfRule type="expression" dxfId="847" priority="390">
      <formula>IF($V72&lt;&gt;0,AND(MID($A72,5,1)="D"))</formula>
    </cfRule>
  </conditionalFormatting>
  <conditionalFormatting sqref="A73">
    <cfRule type="expression" dxfId="846" priority="385">
      <formula>IF($V73&lt;&gt;0,AND(MID($A73,5,1)=" "))</formula>
    </cfRule>
    <cfRule type="expression" dxfId="845" priority="386">
      <formula>IF($V73&lt;&gt;0,AND(MID($A73,5,1)="C"))</formula>
    </cfRule>
    <cfRule type="expression" dxfId="844" priority="387">
      <formula>IF($V73&lt;&gt;0,AND(MID($A73,5,1)="D"))</formula>
    </cfRule>
  </conditionalFormatting>
  <conditionalFormatting sqref="A74">
    <cfRule type="expression" dxfId="843" priority="382">
      <formula>IF($V74&lt;&gt;0,AND(MID($A74,5,1)=" "))</formula>
    </cfRule>
    <cfRule type="expression" dxfId="842" priority="383">
      <formula>IF($V74&lt;&gt;0,AND(MID($A74,5,1)="C"))</formula>
    </cfRule>
    <cfRule type="expression" dxfId="841" priority="384">
      <formula>IF($V74&lt;&gt;0,AND(MID($A74,5,1)="D"))</formula>
    </cfRule>
  </conditionalFormatting>
  <conditionalFormatting sqref="A75">
    <cfRule type="expression" dxfId="840" priority="379">
      <formula>IF($V75&lt;&gt;0,AND(MID($A75,5,1)=" "))</formula>
    </cfRule>
    <cfRule type="expression" dxfId="839" priority="380">
      <formula>IF($V75&lt;&gt;0,AND(MID($A75,5,1)="C"))</formula>
    </cfRule>
    <cfRule type="expression" dxfId="838" priority="381">
      <formula>IF($V75&lt;&gt;0,AND(MID($A75,5,1)="D"))</formula>
    </cfRule>
  </conditionalFormatting>
  <conditionalFormatting sqref="A76">
    <cfRule type="expression" dxfId="837" priority="358">
      <formula>IF($V76&lt;&gt;0,AND(MID($A76,5,1)=" "))</formula>
    </cfRule>
    <cfRule type="expression" dxfId="836" priority="359">
      <formula>IF($V76&lt;&gt;0,AND(MID($A76,5,1)="C"))</formula>
    </cfRule>
    <cfRule type="expression" dxfId="835" priority="360">
      <formula>IF($V76&lt;&gt;0,AND(MID($A76,5,1)="D"))</formula>
    </cfRule>
  </conditionalFormatting>
  <conditionalFormatting sqref="A77">
    <cfRule type="expression" dxfId="834" priority="355">
      <formula>IF($V77&lt;&gt;0,AND(MID($A77,5,1)=" "))</formula>
    </cfRule>
    <cfRule type="expression" dxfId="833" priority="356">
      <formula>IF($V77&lt;&gt;0,AND(MID($A77,5,1)="C"))</formula>
    </cfRule>
    <cfRule type="expression" dxfId="832" priority="357">
      <formula>IF($V77&lt;&gt;0,AND(MID($A77,5,1)="D"))</formula>
    </cfRule>
  </conditionalFormatting>
  <conditionalFormatting sqref="A78">
    <cfRule type="expression" dxfId="831" priority="352">
      <formula>IF($V78&lt;&gt;0,AND(MID($A78,5,1)=" "))</formula>
    </cfRule>
    <cfRule type="expression" dxfId="830" priority="353">
      <formula>IF($V78&lt;&gt;0,AND(MID($A78,5,1)="C"))</formula>
    </cfRule>
    <cfRule type="expression" dxfId="829" priority="354">
      <formula>IF($V78&lt;&gt;0,AND(MID($A78,5,1)="D"))</formula>
    </cfRule>
  </conditionalFormatting>
  <conditionalFormatting sqref="A79">
    <cfRule type="expression" dxfId="828" priority="349">
      <formula>IF($V79&lt;&gt;0,AND(MID($A79,5,1)=" "))</formula>
    </cfRule>
    <cfRule type="expression" dxfId="827" priority="350">
      <formula>IF($V79&lt;&gt;0,AND(MID($A79,5,1)="C"))</formula>
    </cfRule>
    <cfRule type="expression" dxfId="826" priority="351">
      <formula>IF($V79&lt;&gt;0,AND(MID($A79,5,1)="D"))</formula>
    </cfRule>
  </conditionalFormatting>
  <conditionalFormatting sqref="A80">
    <cfRule type="expression" dxfId="825" priority="346">
      <formula>IF($V80&lt;&gt;0,AND(MID($A80,5,1)=" "))</formula>
    </cfRule>
    <cfRule type="expression" dxfId="824" priority="347">
      <formula>IF($V80&lt;&gt;0,AND(MID($A80,5,1)="C"))</formula>
    </cfRule>
    <cfRule type="expression" dxfId="823" priority="348">
      <formula>IF($V80&lt;&gt;0,AND(MID($A80,5,1)="D"))</formula>
    </cfRule>
  </conditionalFormatting>
  <conditionalFormatting sqref="A81">
    <cfRule type="expression" dxfId="822" priority="343">
      <formula>IF($V81&lt;&gt;0,AND(MID($A81,5,1)=" "))</formula>
    </cfRule>
    <cfRule type="expression" dxfId="821" priority="344">
      <formula>IF($V81&lt;&gt;0,AND(MID($A81,5,1)="C"))</formula>
    </cfRule>
    <cfRule type="expression" dxfId="820" priority="345">
      <formula>IF($V81&lt;&gt;0,AND(MID($A81,5,1)="D"))</formula>
    </cfRule>
  </conditionalFormatting>
  <conditionalFormatting sqref="A82">
    <cfRule type="expression" dxfId="819" priority="340">
      <formula>IF($V82&lt;&gt;0,AND(MID($A82,5,1)=" "))</formula>
    </cfRule>
    <cfRule type="expression" dxfId="818" priority="341">
      <formula>IF($V82&lt;&gt;0,AND(MID($A82,5,1)="C"))</formula>
    </cfRule>
    <cfRule type="expression" dxfId="817" priority="342">
      <formula>IF($V82&lt;&gt;0,AND(MID($A82,5,1)="D"))</formula>
    </cfRule>
  </conditionalFormatting>
  <conditionalFormatting sqref="A83">
    <cfRule type="expression" dxfId="816" priority="337">
      <formula>IF($V83&lt;&gt;0,AND(MID($A83,5,1)=" "))</formula>
    </cfRule>
    <cfRule type="expression" dxfId="815" priority="338">
      <formula>IF($V83&lt;&gt;0,AND(MID($A83,5,1)="C"))</formula>
    </cfRule>
    <cfRule type="expression" dxfId="814" priority="339">
      <formula>IF($V83&lt;&gt;0,AND(MID($A83,5,1)="D"))</formula>
    </cfRule>
  </conditionalFormatting>
  <conditionalFormatting sqref="A84">
    <cfRule type="expression" dxfId="813" priority="334">
      <formula>IF($V84&lt;&gt;0,AND(MID($A84,5,1)=" "))</formula>
    </cfRule>
    <cfRule type="expression" dxfId="812" priority="335">
      <formula>IF($V84&lt;&gt;0,AND(MID($A84,5,1)="C"))</formula>
    </cfRule>
    <cfRule type="expression" dxfId="811" priority="336">
      <formula>IF($V84&lt;&gt;0,AND(MID($A84,5,1)="D"))</formula>
    </cfRule>
  </conditionalFormatting>
  <conditionalFormatting sqref="A85">
    <cfRule type="expression" dxfId="810" priority="331">
      <formula>IF($V85&lt;&gt;0,AND(MID($A85,5,1)=" "))</formula>
    </cfRule>
    <cfRule type="expression" dxfId="809" priority="332">
      <formula>IF($V85&lt;&gt;0,AND(MID($A85,5,1)="C"))</formula>
    </cfRule>
    <cfRule type="expression" dxfId="808" priority="333">
      <formula>IF($V85&lt;&gt;0,AND(MID($A85,5,1)="D"))</formula>
    </cfRule>
  </conditionalFormatting>
  <conditionalFormatting sqref="A86">
    <cfRule type="expression" dxfId="807" priority="328">
      <formula>IF($V86&lt;&gt;0,AND(MID($A86,5,1)=" "))</formula>
    </cfRule>
    <cfRule type="expression" dxfId="806" priority="329">
      <formula>IF($V86&lt;&gt;0,AND(MID($A86,5,1)="C"))</formula>
    </cfRule>
    <cfRule type="expression" dxfId="805" priority="330">
      <formula>IF($V86&lt;&gt;0,AND(MID($A86,5,1)="D"))</formula>
    </cfRule>
  </conditionalFormatting>
  <conditionalFormatting sqref="A87">
    <cfRule type="expression" dxfId="804" priority="325">
      <formula>IF($V87&lt;&gt;0,AND(MID($A87,5,1)=" "))</formula>
    </cfRule>
    <cfRule type="expression" dxfId="803" priority="326">
      <formula>IF($V87&lt;&gt;0,AND(MID($A87,5,1)="C"))</formula>
    </cfRule>
    <cfRule type="expression" dxfId="802" priority="327">
      <formula>IF($V87&lt;&gt;0,AND(MID($A87,5,1)="D"))</formula>
    </cfRule>
  </conditionalFormatting>
  <conditionalFormatting sqref="A88">
    <cfRule type="expression" dxfId="801" priority="322">
      <formula>IF($V88&lt;&gt;0,AND(MID($A88,5,1)=" "))</formula>
    </cfRule>
    <cfRule type="expression" dxfId="800" priority="323">
      <formula>IF($V88&lt;&gt;0,AND(MID($A88,5,1)="C"))</formula>
    </cfRule>
    <cfRule type="expression" dxfId="799" priority="324">
      <formula>IF($V88&lt;&gt;0,AND(MID($A88,5,1)="D"))</formula>
    </cfRule>
  </conditionalFormatting>
  <conditionalFormatting sqref="A89">
    <cfRule type="expression" dxfId="798" priority="319">
      <formula>IF($V89&lt;&gt;0,AND(MID($A89,5,1)=" "))</formula>
    </cfRule>
    <cfRule type="expression" dxfId="797" priority="320">
      <formula>IF($V89&lt;&gt;0,AND(MID($A89,5,1)="C"))</formula>
    </cfRule>
    <cfRule type="expression" dxfId="796" priority="321">
      <formula>IF($V89&lt;&gt;0,AND(MID($A89,5,1)="D"))</formula>
    </cfRule>
  </conditionalFormatting>
  <conditionalFormatting sqref="A90">
    <cfRule type="expression" dxfId="795" priority="316">
      <formula>IF($V90&lt;&gt;0,AND(MID($A90,5,1)=" "))</formula>
    </cfRule>
    <cfRule type="expression" dxfId="794" priority="317">
      <formula>IF($V90&lt;&gt;0,AND(MID($A90,5,1)="C"))</formula>
    </cfRule>
    <cfRule type="expression" dxfId="793" priority="318">
      <formula>IF($V90&lt;&gt;0,AND(MID($A90,5,1)="D"))</formula>
    </cfRule>
  </conditionalFormatting>
  <conditionalFormatting sqref="A91">
    <cfRule type="expression" dxfId="792" priority="313">
      <formula>IF($V91&lt;&gt;0,AND(MID($A91,5,1)=" "))</formula>
    </cfRule>
    <cfRule type="expression" dxfId="791" priority="314">
      <formula>IF($V91&lt;&gt;0,AND(MID($A91,5,1)="C"))</formula>
    </cfRule>
    <cfRule type="expression" dxfId="790" priority="315">
      <formula>IF($V91&lt;&gt;0,AND(MID($A91,5,1)="D"))</formula>
    </cfRule>
  </conditionalFormatting>
  <conditionalFormatting sqref="A92">
    <cfRule type="expression" dxfId="789" priority="310">
      <formula>IF($V92&lt;&gt;0,AND(MID($A92,5,1)=" "))</formula>
    </cfRule>
    <cfRule type="expression" dxfId="788" priority="311">
      <formula>IF($V92&lt;&gt;0,AND(MID($A92,5,1)="C"))</formula>
    </cfRule>
    <cfRule type="expression" dxfId="787" priority="312">
      <formula>IF($V92&lt;&gt;0,AND(MID($A92,5,1)="D"))</formula>
    </cfRule>
  </conditionalFormatting>
  <conditionalFormatting sqref="A93">
    <cfRule type="expression" dxfId="786" priority="307">
      <formula>IF($V93&lt;&gt;0,AND(MID($A93,5,1)=" "))</formula>
    </cfRule>
    <cfRule type="expression" dxfId="785" priority="308">
      <formula>IF($V93&lt;&gt;0,AND(MID($A93,5,1)="C"))</formula>
    </cfRule>
    <cfRule type="expression" dxfId="784" priority="309">
      <formula>IF($V93&lt;&gt;0,AND(MID($A93,5,1)="D"))</formula>
    </cfRule>
  </conditionalFormatting>
  <conditionalFormatting sqref="A94">
    <cfRule type="expression" dxfId="783" priority="304">
      <formula>IF($V94&lt;&gt;0,AND(MID($A94,5,1)=" "))</formula>
    </cfRule>
    <cfRule type="expression" dxfId="782" priority="305">
      <formula>IF($V94&lt;&gt;0,AND(MID($A94,5,1)="C"))</formula>
    </cfRule>
    <cfRule type="expression" dxfId="781" priority="306">
      <formula>IF($V94&lt;&gt;0,AND(MID($A94,5,1)="D"))</formula>
    </cfRule>
  </conditionalFormatting>
  <conditionalFormatting sqref="A95">
    <cfRule type="expression" dxfId="780" priority="301">
      <formula>IF($V95&lt;&gt;0,AND(MID($A95,5,1)=" "))</formula>
    </cfRule>
    <cfRule type="expression" dxfId="779" priority="302">
      <formula>IF($V95&lt;&gt;0,AND(MID($A95,5,1)="C"))</formula>
    </cfRule>
    <cfRule type="expression" dxfId="778" priority="303">
      <formula>IF($V95&lt;&gt;0,AND(MID($A95,5,1)="D"))</formula>
    </cfRule>
  </conditionalFormatting>
  <conditionalFormatting sqref="A96">
    <cfRule type="expression" dxfId="777" priority="298">
      <formula>IF($V96&lt;&gt;0,AND(MID($A96,5,1)=" "))</formula>
    </cfRule>
    <cfRule type="expression" dxfId="776" priority="299">
      <formula>IF($V96&lt;&gt;0,AND(MID($A96,5,1)="C"))</formula>
    </cfRule>
    <cfRule type="expression" dxfId="775" priority="300">
      <formula>IF($V96&lt;&gt;0,AND(MID($A96,5,1)="D"))</formula>
    </cfRule>
  </conditionalFormatting>
  <conditionalFormatting sqref="A97">
    <cfRule type="expression" dxfId="774" priority="295">
      <formula>IF($V97&lt;&gt;0,AND(MID($A97,5,1)=" "))</formula>
    </cfRule>
    <cfRule type="expression" dxfId="773" priority="296">
      <formula>IF($V97&lt;&gt;0,AND(MID($A97,5,1)="C"))</formula>
    </cfRule>
    <cfRule type="expression" dxfId="772" priority="297">
      <formula>IF($V97&lt;&gt;0,AND(MID($A97,5,1)="D"))</formula>
    </cfRule>
  </conditionalFormatting>
  <conditionalFormatting sqref="A98">
    <cfRule type="expression" dxfId="771" priority="292">
      <formula>IF($V98&lt;&gt;0,AND(MID($A98,5,1)=" "))</formula>
    </cfRule>
    <cfRule type="expression" dxfId="770" priority="293">
      <formula>IF($V98&lt;&gt;0,AND(MID($A98,5,1)="C"))</formula>
    </cfRule>
    <cfRule type="expression" dxfId="769" priority="294">
      <formula>IF($V98&lt;&gt;0,AND(MID($A98,5,1)="D"))</formula>
    </cfRule>
  </conditionalFormatting>
  <conditionalFormatting sqref="A99">
    <cfRule type="expression" dxfId="768" priority="289">
      <formula>IF($V99&lt;&gt;0,AND(MID($A99,5,1)=" "))</formula>
    </cfRule>
    <cfRule type="expression" dxfId="767" priority="290">
      <formula>IF($V99&lt;&gt;0,AND(MID($A99,5,1)="C"))</formula>
    </cfRule>
    <cfRule type="expression" dxfId="766" priority="291">
      <formula>IF($V99&lt;&gt;0,AND(MID($A99,5,1)="D"))</formula>
    </cfRule>
  </conditionalFormatting>
  <conditionalFormatting sqref="A100">
    <cfRule type="expression" dxfId="765" priority="286">
      <formula>IF($V100&lt;&gt;0,AND(MID($A100,5,1)=" "))</formula>
    </cfRule>
    <cfRule type="expression" dxfId="764" priority="287">
      <formula>IF($V100&lt;&gt;0,AND(MID($A100,5,1)="C"))</formula>
    </cfRule>
    <cfRule type="expression" dxfId="763" priority="288">
      <formula>IF($V100&lt;&gt;0,AND(MID($A100,5,1)="D"))</formula>
    </cfRule>
  </conditionalFormatting>
  <conditionalFormatting sqref="A101">
    <cfRule type="expression" dxfId="762" priority="283">
      <formula>IF($V101&lt;&gt;0,AND(MID($A101,5,1)=" "))</formula>
    </cfRule>
    <cfRule type="expression" dxfId="761" priority="284">
      <formula>IF($V101&lt;&gt;0,AND(MID($A101,5,1)="C"))</formula>
    </cfRule>
    <cfRule type="expression" dxfId="760" priority="285">
      <formula>IF($V101&lt;&gt;0,AND(MID($A101,5,1)="D"))</formula>
    </cfRule>
  </conditionalFormatting>
  <conditionalFormatting sqref="A102">
    <cfRule type="expression" dxfId="759" priority="280">
      <formula>IF($V102&lt;&gt;0,AND(MID($A102,5,1)=" "))</formula>
    </cfRule>
    <cfRule type="expression" dxfId="758" priority="281">
      <formula>IF($V102&lt;&gt;0,AND(MID($A102,5,1)="C"))</formula>
    </cfRule>
    <cfRule type="expression" dxfId="757" priority="282">
      <formula>IF($V102&lt;&gt;0,AND(MID($A102,5,1)="D"))</formula>
    </cfRule>
  </conditionalFormatting>
  <conditionalFormatting sqref="A103">
    <cfRule type="expression" dxfId="756" priority="277">
      <formula>IF($V103&lt;&gt;0,AND(MID($A103,5,1)=" "))</formula>
    </cfRule>
    <cfRule type="expression" dxfId="755" priority="278">
      <formula>IF($V103&lt;&gt;0,AND(MID($A103,5,1)="C"))</formula>
    </cfRule>
    <cfRule type="expression" dxfId="754" priority="279">
      <formula>IF($V103&lt;&gt;0,AND(MID($A103,5,1)="D"))</formula>
    </cfRule>
  </conditionalFormatting>
  <conditionalFormatting sqref="A104">
    <cfRule type="expression" dxfId="753" priority="274">
      <formula>IF($V104&lt;&gt;0,AND(MID($A104,5,1)=" "))</formula>
    </cfRule>
    <cfRule type="expression" dxfId="752" priority="275">
      <formula>IF($V104&lt;&gt;0,AND(MID($A104,5,1)="C"))</formula>
    </cfRule>
    <cfRule type="expression" dxfId="751" priority="276">
      <formula>IF($V104&lt;&gt;0,AND(MID($A104,5,1)="D"))</formula>
    </cfRule>
  </conditionalFormatting>
  <conditionalFormatting sqref="A105">
    <cfRule type="expression" dxfId="750" priority="271">
      <formula>IF($V105&lt;&gt;0,AND(MID($A105,5,1)=" "))</formula>
    </cfRule>
    <cfRule type="expression" dxfId="749" priority="272">
      <formula>IF($V105&lt;&gt;0,AND(MID($A105,5,1)="C"))</formula>
    </cfRule>
    <cfRule type="expression" dxfId="748" priority="273">
      <formula>IF($V105&lt;&gt;0,AND(MID($A105,5,1)="D"))</formula>
    </cfRule>
  </conditionalFormatting>
  <conditionalFormatting sqref="A106">
    <cfRule type="expression" dxfId="747" priority="268">
      <formula>IF($V106&lt;&gt;0,AND(MID($A106,5,1)=" "))</formula>
    </cfRule>
    <cfRule type="expression" dxfId="746" priority="269">
      <formula>IF($V106&lt;&gt;0,AND(MID($A106,5,1)="C"))</formula>
    </cfRule>
    <cfRule type="expression" dxfId="745" priority="270">
      <formula>IF($V106&lt;&gt;0,AND(MID($A106,5,1)="D"))</formula>
    </cfRule>
  </conditionalFormatting>
  <conditionalFormatting sqref="A107">
    <cfRule type="expression" dxfId="744" priority="265">
      <formula>IF($V107&lt;&gt;0,AND(MID($A107,5,1)=" "))</formula>
    </cfRule>
    <cfRule type="expression" dxfId="743" priority="266">
      <formula>IF($V107&lt;&gt;0,AND(MID($A107,5,1)="C"))</formula>
    </cfRule>
    <cfRule type="expression" dxfId="742" priority="267">
      <formula>IF($V107&lt;&gt;0,AND(MID($A107,5,1)="D"))</formula>
    </cfRule>
  </conditionalFormatting>
  <conditionalFormatting sqref="A108">
    <cfRule type="expression" dxfId="741" priority="262">
      <formula>IF($V108&lt;&gt;0,AND(MID($A108,5,1)=" "))</formula>
    </cfRule>
    <cfRule type="expression" dxfId="740" priority="263">
      <formula>IF($V108&lt;&gt;0,AND(MID($A108,5,1)="C"))</formula>
    </cfRule>
    <cfRule type="expression" dxfId="739" priority="264">
      <formula>IF($V108&lt;&gt;0,AND(MID($A108,5,1)="D"))</formula>
    </cfRule>
  </conditionalFormatting>
  <conditionalFormatting sqref="A109">
    <cfRule type="expression" dxfId="738" priority="259">
      <formula>IF($V109&lt;&gt;0,AND(MID($A109,5,1)=" "))</formula>
    </cfRule>
    <cfRule type="expression" dxfId="737" priority="260">
      <formula>IF($V109&lt;&gt;0,AND(MID($A109,5,1)="C"))</formula>
    </cfRule>
    <cfRule type="expression" dxfId="736" priority="261">
      <formula>IF($V109&lt;&gt;0,AND(MID($A109,5,1)="D"))</formula>
    </cfRule>
  </conditionalFormatting>
  <conditionalFormatting sqref="A110">
    <cfRule type="expression" dxfId="735" priority="256">
      <formula>IF($V110&lt;&gt;0,AND(MID($A110,5,1)=" "))</formula>
    </cfRule>
    <cfRule type="expression" dxfId="734" priority="257">
      <formula>IF($V110&lt;&gt;0,AND(MID($A110,5,1)="C"))</formula>
    </cfRule>
    <cfRule type="expression" dxfId="733" priority="258">
      <formula>IF($V110&lt;&gt;0,AND(MID($A110,5,1)="D"))</formula>
    </cfRule>
  </conditionalFormatting>
  <conditionalFormatting sqref="A111">
    <cfRule type="expression" dxfId="732" priority="253">
      <formula>IF($V111&lt;&gt;0,AND(MID($A111,5,1)=" "))</formula>
    </cfRule>
    <cfRule type="expression" dxfId="731" priority="254">
      <formula>IF($V111&lt;&gt;0,AND(MID($A111,5,1)="C"))</formula>
    </cfRule>
    <cfRule type="expression" dxfId="730" priority="255">
      <formula>IF($V111&lt;&gt;0,AND(MID($A111,5,1)="D"))</formula>
    </cfRule>
  </conditionalFormatting>
  <conditionalFormatting sqref="A112">
    <cfRule type="expression" dxfId="729" priority="250">
      <formula>IF($V112&lt;&gt;0,AND(MID($A112,5,1)=" "))</formula>
    </cfRule>
    <cfRule type="expression" dxfId="728" priority="251">
      <formula>IF($V112&lt;&gt;0,AND(MID($A112,5,1)="C"))</formula>
    </cfRule>
    <cfRule type="expression" dxfId="727" priority="252">
      <formula>IF($V112&lt;&gt;0,AND(MID($A112,5,1)="D"))</formula>
    </cfRule>
  </conditionalFormatting>
  <conditionalFormatting sqref="A113">
    <cfRule type="expression" dxfId="726" priority="247">
      <formula>IF($V113&lt;&gt;0,AND(MID($A113,5,1)=" "))</formula>
    </cfRule>
    <cfRule type="expression" dxfId="725" priority="248">
      <formula>IF($V113&lt;&gt;0,AND(MID($A113,5,1)="C"))</formula>
    </cfRule>
    <cfRule type="expression" dxfId="724" priority="249">
      <formula>IF($V113&lt;&gt;0,AND(MID($A113,5,1)="D"))</formula>
    </cfRule>
  </conditionalFormatting>
  <conditionalFormatting sqref="A114">
    <cfRule type="expression" dxfId="723" priority="244">
      <formula>IF($V114&lt;&gt;0,AND(MID($A114,5,1)=" "))</formula>
    </cfRule>
    <cfRule type="expression" dxfId="722" priority="245">
      <formula>IF($V114&lt;&gt;0,AND(MID($A114,5,1)="C"))</formula>
    </cfRule>
    <cfRule type="expression" dxfId="721" priority="246">
      <formula>IF($V114&lt;&gt;0,AND(MID($A114,5,1)="D"))</formula>
    </cfRule>
  </conditionalFormatting>
  <conditionalFormatting sqref="A115">
    <cfRule type="expression" dxfId="720" priority="241">
      <formula>IF($V115&lt;&gt;0,AND(MID($A115,5,1)=" "))</formula>
    </cfRule>
    <cfRule type="expression" dxfId="719" priority="242">
      <formula>IF($V115&lt;&gt;0,AND(MID($A115,5,1)="C"))</formula>
    </cfRule>
    <cfRule type="expression" dxfId="718" priority="243">
      <formula>IF($V115&lt;&gt;0,AND(MID($A115,5,1)="D"))</formula>
    </cfRule>
  </conditionalFormatting>
  <conditionalFormatting sqref="A116">
    <cfRule type="expression" dxfId="717" priority="238">
      <formula>IF($V116&lt;&gt;0,AND(MID($A116,5,1)=" "))</formula>
    </cfRule>
    <cfRule type="expression" dxfId="716" priority="239">
      <formula>IF($V116&lt;&gt;0,AND(MID($A116,5,1)="C"))</formula>
    </cfRule>
    <cfRule type="expression" dxfId="715" priority="240">
      <formula>IF($V116&lt;&gt;0,AND(MID($A116,5,1)="D"))</formula>
    </cfRule>
  </conditionalFormatting>
  <conditionalFormatting sqref="A117">
    <cfRule type="expression" dxfId="714" priority="235">
      <formula>IF($V117&lt;&gt;0,AND(MID($A117,5,1)=" "))</formula>
    </cfRule>
    <cfRule type="expression" dxfId="713" priority="236">
      <formula>IF($V117&lt;&gt;0,AND(MID($A117,5,1)="C"))</formula>
    </cfRule>
    <cfRule type="expression" dxfId="712" priority="237">
      <formula>IF($V117&lt;&gt;0,AND(MID($A117,5,1)="D"))</formula>
    </cfRule>
  </conditionalFormatting>
  <conditionalFormatting sqref="A118">
    <cfRule type="expression" dxfId="711" priority="232">
      <formula>IF($V118&lt;&gt;0,AND(MID($A118,5,1)=" "))</formula>
    </cfRule>
    <cfRule type="expression" dxfId="710" priority="233">
      <formula>IF($V118&lt;&gt;0,AND(MID($A118,5,1)="C"))</formula>
    </cfRule>
    <cfRule type="expression" dxfId="709" priority="234">
      <formula>IF($V118&lt;&gt;0,AND(MID($A118,5,1)="D"))</formula>
    </cfRule>
  </conditionalFormatting>
  <conditionalFormatting sqref="A119">
    <cfRule type="expression" dxfId="708" priority="229">
      <formula>IF($V119&lt;&gt;0,AND(MID($A119,5,1)=" "))</formula>
    </cfRule>
    <cfRule type="expression" dxfId="707" priority="230">
      <formula>IF($V119&lt;&gt;0,AND(MID($A119,5,1)="C"))</formula>
    </cfRule>
    <cfRule type="expression" dxfId="706" priority="231">
      <formula>IF($V119&lt;&gt;0,AND(MID($A119,5,1)="D"))</formula>
    </cfRule>
  </conditionalFormatting>
  <conditionalFormatting sqref="A120">
    <cfRule type="expression" dxfId="705" priority="226">
      <formula>IF($V120&lt;&gt;0,AND(MID($A120,5,1)=" "))</formula>
    </cfRule>
    <cfRule type="expression" dxfId="704" priority="227">
      <formula>IF($V120&lt;&gt;0,AND(MID($A120,5,1)="C"))</formula>
    </cfRule>
    <cfRule type="expression" dxfId="703" priority="228">
      <formula>IF($V120&lt;&gt;0,AND(MID($A120,5,1)="D"))</formula>
    </cfRule>
  </conditionalFormatting>
  <conditionalFormatting sqref="A121">
    <cfRule type="expression" dxfId="702" priority="223">
      <formula>IF($V121&lt;&gt;0,AND(MID($A121,5,1)=" "))</formula>
    </cfRule>
    <cfRule type="expression" dxfId="701" priority="224">
      <formula>IF($V121&lt;&gt;0,AND(MID($A121,5,1)="C"))</formula>
    </cfRule>
    <cfRule type="expression" dxfId="700" priority="225">
      <formula>IF($V121&lt;&gt;0,AND(MID($A121,5,1)="D"))</formula>
    </cfRule>
  </conditionalFormatting>
  <conditionalFormatting sqref="A122">
    <cfRule type="expression" dxfId="699" priority="220">
      <formula>IF($V122&lt;&gt;0,AND(MID($A122,5,1)=" "))</formula>
    </cfRule>
    <cfRule type="expression" dxfId="698" priority="221">
      <formula>IF($V122&lt;&gt;0,AND(MID($A122,5,1)="C"))</formula>
    </cfRule>
    <cfRule type="expression" dxfId="697" priority="222">
      <formula>IF($V122&lt;&gt;0,AND(MID($A122,5,1)="D"))</formula>
    </cfRule>
  </conditionalFormatting>
  <conditionalFormatting sqref="A123">
    <cfRule type="expression" dxfId="696" priority="217">
      <formula>IF($V123&lt;&gt;0,AND(MID($A123,5,1)=" "))</formula>
    </cfRule>
    <cfRule type="expression" dxfId="695" priority="218">
      <formula>IF($V123&lt;&gt;0,AND(MID($A123,5,1)="C"))</formula>
    </cfRule>
    <cfRule type="expression" dxfId="694" priority="219">
      <formula>IF($V123&lt;&gt;0,AND(MID($A123,5,1)="D"))</formula>
    </cfRule>
  </conditionalFormatting>
  <conditionalFormatting sqref="A124">
    <cfRule type="expression" dxfId="693" priority="214">
      <formula>IF($V124&lt;&gt;0,AND(MID($A124,5,1)=" "))</formula>
    </cfRule>
    <cfRule type="expression" dxfId="692" priority="215">
      <formula>IF($V124&lt;&gt;0,AND(MID($A124,5,1)="C"))</formula>
    </cfRule>
    <cfRule type="expression" dxfId="691" priority="216">
      <formula>IF($V124&lt;&gt;0,AND(MID($A124,5,1)="D"))</formula>
    </cfRule>
  </conditionalFormatting>
  <conditionalFormatting sqref="A125">
    <cfRule type="expression" dxfId="690" priority="211">
      <formula>IF($V125&lt;&gt;0,AND(MID($A125,5,1)=" "))</formula>
    </cfRule>
    <cfRule type="expression" dxfId="689" priority="212">
      <formula>IF($V125&lt;&gt;0,AND(MID($A125,5,1)="C"))</formula>
    </cfRule>
    <cfRule type="expression" dxfId="688" priority="213">
      <formula>IF($V125&lt;&gt;0,AND(MID($A125,5,1)="D"))</formula>
    </cfRule>
  </conditionalFormatting>
  <conditionalFormatting sqref="A126">
    <cfRule type="expression" dxfId="687" priority="208">
      <formula>IF($V126&lt;&gt;0,AND(MID($A126,5,1)=" "))</formula>
    </cfRule>
    <cfRule type="expression" dxfId="686" priority="209">
      <formula>IF($V126&lt;&gt;0,AND(MID($A126,5,1)="C"))</formula>
    </cfRule>
    <cfRule type="expression" dxfId="685" priority="210">
      <formula>IF($V126&lt;&gt;0,AND(MID($A126,5,1)="D"))</formula>
    </cfRule>
  </conditionalFormatting>
  <conditionalFormatting sqref="A127">
    <cfRule type="expression" dxfId="684" priority="205">
      <formula>IF($V127&lt;&gt;0,AND(MID($A127,5,1)=" "))</formula>
    </cfRule>
    <cfRule type="expression" dxfId="683" priority="206">
      <formula>IF($V127&lt;&gt;0,AND(MID($A127,5,1)="C"))</formula>
    </cfRule>
    <cfRule type="expression" dxfId="682" priority="207">
      <formula>IF($V127&lt;&gt;0,AND(MID($A127,5,1)="D"))</formula>
    </cfRule>
  </conditionalFormatting>
  <conditionalFormatting sqref="A128">
    <cfRule type="expression" dxfId="681" priority="202">
      <formula>IF($V128&lt;&gt;0,AND(MID($A128,5,1)=" "))</formula>
    </cfRule>
    <cfRule type="expression" dxfId="680" priority="203">
      <formula>IF($V128&lt;&gt;0,AND(MID($A128,5,1)="C"))</formula>
    </cfRule>
    <cfRule type="expression" dxfId="679" priority="204">
      <formula>IF($V128&lt;&gt;0,AND(MID($A128,5,1)="D"))</formula>
    </cfRule>
  </conditionalFormatting>
  <conditionalFormatting sqref="A129">
    <cfRule type="expression" dxfId="678" priority="199">
      <formula>IF($V129&lt;&gt;0,AND(MID($A129,5,1)=" "))</formula>
    </cfRule>
    <cfRule type="expression" dxfId="677" priority="200">
      <formula>IF($V129&lt;&gt;0,AND(MID($A129,5,1)="C"))</formula>
    </cfRule>
    <cfRule type="expression" dxfId="676" priority="201">
      <formula>IF($V129&lt;&gt;0,AND(MID($A129,5,1)="D"))</formula>
    </cfRule>
  </conditionalFormatting>
  <conditionalFormatting sqref="A130">
    <cfRule type="expression" dxfId="675" priority="196">
      <formula>IF($V130&lt;&gt;0,AND(MID($A130,5,1)=" "))</formula>
    </cfRule>
    <cfRule type="expression" dxfId="674" priority="197">
      <formula>IF($V130&lt;&gt;0,AND(MID($A130,5,1)="C"))</formula>
    </cfRule>
    <cfRule type="expression" dxfId="673" priority="198">
      <formula>IF($V130&lt;&gt;0,AND(MID($A130,5,1)="D"))</formula>
    </cfRule>
  </conditionalFormatting>
  <conditionalFormatting sqref="A131">
    <cfRule type="expression" dxfId="672" priority="193">
      <formula>IF($V131&lt;&gt;0,AND(MID($A131,5,1)=" "))</formula>
    </cfRule>
    <cfRule type="expression" dxfId="671" priority="194">
      <formula>IF($V131&lt;&gt;0,AND(MID($A131,5,1)="C"))</formula>
    </cfRule>
    <cfRule type="expression" dxfId="670" priority="195">
      <formula>IF($V131&lt;&gt;0,AND(MID($A131,5,1)="D"))</formula>
    </cfRule>
  </conditionalFormatting>
  <conditionalFormatting sqref="A132">
    <cfRule type="expression" dxfId="669" priority="190">
      <formula>IF($V132&lt;&gt;0,AND(MID($A132,5,1)=" "))</formula>
    </cfRule>
    <cfRule type="expression" dxfId="668" priority="191">
      <formula>IF($V132&lt;&gt;0,AND(MID($A132,5,1)="C"))</formula>
    </cfRule>
    <cfRule type="expression" dxfId="667" priority="192">
      <formula>IF($V132&lt;&gt;0,AND(MID($A132,5,1)="D"))</formula>
    </cfRule>
  </conditionalFormatting>
  <conditionalFormatting sqref="A133">
    <cfRule type="expression" dxfId="666" priority="187">
      <formula>IF($V133&lt;&gt;0,AND(MID($A133,5,1)=" "))</formula>
    </cfRule>
    <cfRule type="expression" dxfId="665" priority="188">
      <formula>IF($V133&lt;&gt;0,AND(MID($A133,5,1)="C"))</formula>
    </cfRule>
    <cfRule type="expression" dxfId="664" priority="189">
      <formula>IF($V133&lt;&gt;0,AND(MID($A133,5,1)="D"))</formula>
    </cfRule>
  </conditionalFormatting>
  <conditionalFormatting sqref="A134">
    <cfRule type="expression" dxfId="663" priority="184">
      <formula>IF($V134&lt;&gt;0,AND(MID($A134,5,1)=" "))</formula>
    </cfRule>
    <cfRule type="expression" dxfId="662" priority="185">
      <formula>IF($V134&lt;&gt;0,AND(MID($A134,5,1)="C"))</formula>
    </cfRule>
    <cfRule type="expression" dxfId="661" priority="186">
      <formula>IF($V134&lt;&gt;0,AND(MID($A134,5,1)="D"))</formula>
    </cfRule>
  </conditionalFormatting>
  <conditionalFormatting sqref="A135">
    <cfRule type="expression" dxfId="660" priority="181">
      <formula>IF($V135&lt;&gt;0,AND(MID($A135,5,1)=" "))</formula>
    </cfRule>
    <cfRule type="expression" dxfId="659" priority="182">
      <formula>IF($V135&lt;&gt;0,AND(MID($A135,5,1)="C"))</formula>
    </cfRule>
    <cfRule type="expression" dxfId="658" priority="183">
      <formula>IF($V135&lt;&gt;0,AND(MID($A135,5,1)="D"))</formula>
    </cfRule>
  </conditionalFormatting>
  <conditionalFormatting sqref="A136">
    <cfRule type="expression" dxfId="657" priority="178">
      <formula>IF($V136&lt;&gt;0,AND(MID($A136,5,1)=" "))</formula>
    </cfRule>
    <cfRule type="expression" dxfId="656" priority="179">
      <formula>IF($V136&lt;&gt;0,AND(MID($A136,5,1)="C"))</formula>
    </cfRule>
    <cfRule type="expression" dxfId="655" priority="180">
      <formula>IF($V136&lt;&gt;0,AND(MID($A136,5,1)="D"))</formula>
    </cfRule>
  </conditionalFormatting>
  <conditionalFormatting sqref="A137">
    <cfRule type="expression" dxfId="654" priority="175">
      <formula>IF($V137&lt;&gt;0,AND(MID($A137,5,1)=" "))</formula>
    </cfRule>
    <cfRule type="expression" dxfId="653" priority="176">
      <formula>IF($V137&lt;&gt;0,AND(MID($A137,5,1)="C"))</formula>
    </cfRule>
    <cfRule type="expression" dxfId="652" priority="177">
      <formula>IF($V137&lt;&gt;0,AND(MID($A137,5,1)="D"))</formula>
    </cfRule>
  </conditionalFormatting>
  <conditionalFormatting sqref="A138">
    <cfRule type="expression" dxfId="651" priority="172">
      <formula>IF($V138&lt;&gt;0,AND(MID($A138,5,1)=" "))</formula>
    </cfRule>
    <cfRule type="expression" dxfId="650" priority="173">
      <formula>IF($V138&lt;&gt;0,AND(MID($A138,5,1)="C"))</formula>
    </cfRule>
    <cfRule type="expression" dxfId="649" priority="174">
      <formula>IF($V138&lt;&gt;0,AND(MID($A138,5,1)="D"))</formula>
    </cfRule>
  </conditionalFormatting>
  <conditionalFormatting sqref="A139">
    <cfRule type="expression" dxfId="648" priority="169">
      <formula>IF($V139&lt;&gt;0,AND(MID($A139,5,1)=" "))</formula>
    </cfRule>
    <cfRule type="expression" dxfId="647" priority="170">
      <formula>IF($V139&lt;&gt;0,AND(MID($A139,5,1)="C"))</formula>
    </cfRule>
    <cfRule type="expression" dxfId="646" priority="171">
      <formula>IF($V139&lt;&gt;0,AND(MID($A139,5,1)="D"))</formula>
    </cfRule>
  </conditionalFormatting>
  <conditionalFormatting sqref="A140">
    <cfRule type="expression" dxfId="645" priority="166">
      <formula>IF($V140&lt;&gt;0,AND(MID($A140,5,1)=" "))</formula>
    </cfRule>
    <cfRule type="expression" dxfId="644" priority="167">
      <formula>IF($V140&lt;&gt;0,AND(MID($A140,5,1)="C"))</formula>
    </cfRule>
    <cfRule type="expression" dxfId="643" priority="168">
      <formula>IF($V140&lt;&gt;0,AND(MID($A140,5,1)="D"))</formula>
    </cfRule>
  </conditionalFormatting>
  <conditionalFormatting sqref="A141">
    <cfRule type="expression" dxfId="642" priority="163">
      <formula>IF($V141&lt;&gt;0,AND(MID($A141,5,1)=" "))</formula>
    </cfRule>
    <cfRule type="expression" dxfId="641" priority="164">
      <formula>IF($V141&lt;&gt;0,AND(MID($A141,5,1)="C"))</formula>
    </cfRule>
    <cfRule type="expression" dxfId="640" priority="165">
      <formula>IF($V141&lt;&gt;0,AND(MID($A141,5,1)="D"))</formula>
    </cfRule>
  </conditionalFormatting>
  <conditionalFormatting sqref="A142">
    <cfRule type="expression" dxfId="639" priority="160">
      <formula>IF($V142&lt;&gt;0,AND(MID($A142,5,1)=" "))</formula>
    </cfRule>
    <cfRule type="expression" dxfId="638" priority="161">
      <formula>IF($V142&lt;&gt;0,AND(MID($A142,5,1)="C"))</formula>
    </cfRule>
    <cfRule type="expression" dxfId="637" priority="162">
      <formula>IF($V142&lt;&gt;0,AND(MID($A142,5,1)="D"))</formula>
    </cfRule>
  </conditionalFormatting>
  <conditionalFormatting sqref="A143">
    <cfRule type="expression" dxfId="636" priority="157">
      <formula>IF($V143&lt;&gt;0,AND(MID($A143,5,1)=" "))</formula>
    </cfRule>
    <cfRule type="expression" dxfId="635" priority="158">
      <formula>IF($V143&lt;&gt;0,AND(MID($A143,5,1)="C"))</formula>
    </cfRule>
    <cfRule type="expression" dxfId="634" priority="159">
      <formula>IF($V143&lt;&gt;0,AND(MID($A143,5,1)="D"))</formula>
    </cfRule>
  </conditionalFormatting>
  <conditionalFormatting sqref="A144">
    <cfRule type="expression" dxfId="633" priority="154">
      <formula>IF($V144&lt;&gt;0,AND(MID($A144,5,1)=" "))</formula>
    </cfRule>
    <cfRule type="expression" dxfId="632" priority="155">
      <formula>IF($V144&lt;&gt;0,AND(MID($A144,5,1)="C"))</formula>
    </cfRule>
    <cfRule type="expression" dxfId="631" priority="156">
      <formula>IF($V144&lt;&gt;0,AND(MID($A144,5,1)="D"))</formula>
    </cfRule>
  </conditionalFormatting>
  <conditionalFormatting sqref="A145">
    <cfRule type="expression" dxfId="630" priority="151">
      <formula>IF($V145&lt;&gt;0,AND(MID($A145,5,1)=" "))</formula>
    </cfRule>
    <cfRule type="expression" dxfId="629" priority="152">
      <formula>IF($V145&lt;&gt;0,AND(MID($A145,5,1)="C"))</formula>
    </cfRule>
    <cfRule type="expression" dxfId="628" priority="153">
      <formula>IF($V145&lt;&gt;0,AND(MID($A145,5,1)="D"))</formula>
    </cfRule>
  </conditionalFormatting>
  <conditionalFormatting sqref="A146">
    <cfRule type="expression" dxfId="627" priority="148">
      <formula>IF($V146&lt;&gt;0,AND(MID($A146,5,1)=" "))</formula>
    </cfRule>
    <cfRule type="expression" dxfId="626" priority="149">
      <formula>IF($V146&lt;&gt;0,AND(MID($A146,5,1)="C"))</formula>
    </cfRule>
    <cfRule type="expression" dxfId="625" priority="150">
      <formula>IF($V146&lt;&gt;0,AND(MID($A146,5,1)="D"))</formula>
    </cfRule>
  </conditionalFormatting>
  <conditionalFormatting sqref="A147">
    <cfRule type="expression" dxfId="624" priority="145">
      <formula>IF($V147&lt;&gt;0,AND(MID($A147,5,1)=" "))</formula>
    </cfRule>
    <cfRule type="expression" dxfId="623" priority="146">
      <formula>IF($V147&lt;&gt;0,AND(MID($A147,5,1)="C"))</formula>
    </cfRule>
    <cfRule type="expression" dxfId="622" priority="147">
      <formula>IF($V147&lt;&gt;0,AND(MID($A147,5,1)="D"))</formula>
    </cfRule>
  </conditionalFormatting>
  <conditionalFormatting sqref="A148">
    <cfRule type="expression" dxfId="621" priority="142">
      <formula>IF($V148&lt;&gt;0,AND(MID($A148,5,1)=" "))</formula>
    </cfRule>
    <cfRule type="expression" dxfId="620" priority="143">
      <formula>IF($V148&lt;&gt;0,AND(MID($A148,5,1)="C"))</formula>
    </cfRule>
    <cfRule type="expression" dxfId="619" priority="144">
      <formula>IF($V148&lt;&gt;0,AND(MID($A148,5,1)="D"))</formula>
    </cfRule>
  </conditionalFormatting>
  <conditionalFormatting sqref="A149">
    <cfRule type="expression" dxfId="618" priority="139">
      <formula>IF($V149&lt;&gt;0,AND(MID($A149,5,1)=" "))</formula>
    </cfRule>
    <cfRule type="expression" dxfId="617" priority="140">
      <formula>IF($V149&lt;&gt;0,AND(MID($A149,5,1)="C"))</formula>
    </cfRule>
    <cfRule type="expression" dxfId="616" priority="141">
      <formula>IF($V149&lt;&gt;0,AND(MID($A149,5,1)="D"))</formula>
    </cfRule>
  </conditionalFormatting>
  <conditionalFormatting sqref="A150">
    <cfRule type="expression" dxfId="615" priority="136">
      <formula>IF($V150&lt;&gt;0,AND(MID($A150,5,1)=" "))</formula>
    </cfRule>
    <cfRule type="expression" dxfId="614" priority="137">
      <formula>IF($V150&lt;&gt;0,AND(MID($A150,5,1)="C"))</formula>
    </cfRule>
    <cfRule type="expression" dxfId="613" priority="138">
      <formula>IF($V150&lt;&gt;0,AND(MID($A150,5,1)="D"))</formula>
    </cfRule>
  </conditionalFormatting>
  <conditionalFormatting sqref="A151">
    <cfRule type="expression" dxfId="612" priority="133">
      <formula>IF($V151&lt;&gt;0,AND(MID($A151,5,1)=" "))</formula>
    </cfRule>
    <cfRule type="expression" dxfId="611" priority="134">
      <formula>IF($V151&lt;&gt;0,AND(MID($A151,5,1)="C"))</formula>
    </cfRule>
    <cfRule type="expression" dxfId="610" priority="135">
      <formula>IF($V151&lt;&gt;0,AND(MID($A151,5,1)="D"))</formula>
    </cfRule>
  </conditionalFormatting>
  <conditionalFormatting sqref="A152">
    <cfRule type="expression" dxfId="609" priority="130">
      <formula>IF($V152&lt;&gt;0,AND(MID($A152,5,1)=" "))</formula>
    </cfRule>
    <cfRule type="expression" dxfId="608" priority="131">
      <formula>IF($V152&lt;&gt;0,AND(MID($A152,5,1)="C"))</formula>
    </cfRule>
    <cfRule type="expression" dxfId="607" priority="132">
      <formula>IF($V152&lt;&gt;0,AND(MID($A152,5,1)="D"))</formula>
    </cfRule>
  </conditionalFormatting>
  <conditionalFormatting sqref="A153">
    <cfRule type="expression" dxfId="606" priority="127">
      <formula>IF($V153&lt;&gt;0,AND(MID($A153,5,1)=" "))</formula>
    </cfRule>
    <cfRule type="expression" dxfId="605" priority="128">
      <formula>IF($V153&lt;&gt;0,AND(MID($A153,5,1)="C"))</formula>
    </cfRule>
    <cfRule type="expression" dxfId="604" priority="129">
      <formula>IF($V153&lt;&gt;0,AND(MID($A153,5,1)="D"))</formula>
    </cfRule>
  </conditionalFormatting>
  <conditionalFormatting sqref="A154">
    <cfRule type="expression" dxfId="603" priority="124">
      <formula>IF($V154&lt;&gt;0,AND(MID($A154,5,1)=" "))</formula>
    </cfRule>
    <cfRule type="expression" dxfId="602" priority="125">
      <formula>IF($V154&lt;&gt;0,AND(MID($A154,5,1)="C"))</formula>
    </cfRule>
    <cfRule type="expression" dxfId="601" priority="126">
      <formula>IF($V154&lt;&gt;0,AND(MID($A154,5,1)="D"))</formula>
    </cfRule>
  </conditionalFormatting>
  <conditionalFormatting sqref="A155">
    <cfRule type="expression" dxfId="600" priority="121">
      <formula>IF($V155&lt;&gt;0,AND(MID($A155,5,1)=" "))</formula>
    </cfRule>
    <cfRule type="expression" dxfId="599" priority="122">
      <formula>IF($V155&lt;&gt;0,AND(MID($A155,5,1)="C"))</formula>
    </cfRule>
    <cfRule type="expression" dxfId="598" priority="123">
      <formula>IF($V155&lt;&gt;0,AND(MID($A155,5,1)="D"))</formula>
    </cfRule>
  </conditionalFormatting>
  <conditionalFormatting sqref="A156">
    <cfRule type="expression" dxfId="597" priority="118">
      <formula>IF($V156&lt;&gt;0,AND(MID($A156,5,1)=" "))</formula>
    </cfRule>
    <cfRule type="expression" dxfId="596" priority="119">
      <formula>IF($V156&lt;&gt;0,AND(MID($A156,5,1)="C"))</formula>
    </cfRule>
    <cfRule type="expression" dxfId="595" priority="120">
      <formula>IF($V156&lt;&gt;0,AND(MID($A156,5,1)="D"))</formula>
    </cfRule>
  </conditionalFormatting>
  <conditionalFormatting sqref="A157">
    <cfRule type="expression" dxfId="594" priority="115">
      <formula>IF($V157&lt;&gt;0,AND(MID($A157,5,1)=" "))</formula>
    </cfRule>
    <cfRule type="expression" dxfId="593" priority="116">
      <formula>IF($V157&lt;&gt;0,AND(MID($A157,5,1)="C"))</formula>
    </cfRule>
    <cfRule type="expression" dxfId="592" priority="117">
      <formula>IF($V157&lt;&gt;0,AND(MID($A157,5,1)="D"))</formula>
    </cfRule>
  </conditionalFormatting>
  <conditionalFormatting sqref="A158">
    <cfRule type="expression" dxfId="591" priority="112">
      <formula>IF($V158&lt;&gt;0,AND(MID($A158,5,1)=" "))</formula>
    </cfRule>
    <cfRule type="expression" dxfId="590" priority="113">
      <formula>IF($V158&lt;&gt;0,AND(MID($A158,5,1)="C"))</formula>
    </cfRule>
    <cfRule type="expression" dxfId="589" priority="114">
      <formula>IF($V158&lt;&gt;0,AND(MID($A158,5,1)="D"))</formula>
    </cfRule>
  </conditionalFormatting>
  <conditionalFormatting sqref="A159">
    <cfRule type="expression" dxfId="588" priority="109">
      <formula>IF($V159&lt;&gt;0,AND(MID($A159,5,1)=" "))</formula>
    </cfRule>
    <cfRule type="expression" dxfId="587" priority="110">
      <formula>IF($V159&lt;&gt;0,AND(MID($A159,5,1)="C"))</formula>
    </cfRule>
    <cfRule type="expression" dxfId="586" priority="111">
      <formula>IF($V159&lt;&gt;0,AND(MID($A159,5,1)="D"))</formula>
    </cfRule>
  </conditionalFormatting>
  <conditionalFormatting sqref="A160">
    <cfRule type="expression" dxfId="585" priority="106">
      <formula>IF($V160&lt;&gt;0,AND(MID($A160,5,1)=" "))</formula>
    </cfRule>
    <cfRule type="expression" dxfId="584" priority="107">
      <formula>IF($V160&lt;&gt;0,AND(MID($A160,5,1)="C"))</formula>
    </cfRule>
    <cfRule type="expression" dxfId="583" priority="108">
      <formula>IF($V160&lt;&gt;0,AND(MID($A160,5,1)="D"))</formula>
    </cfRule>
  </conditionalFormatting>
  <conditionalFormatting sqref="A161">
    <cfRule type="expression" dxfId="582" priority="103">
      <formula>IF($V161&lt;&gt;0,AND(MID($A161,5,1)=" "))</formula>
    </cfRule>
    <cfRule type="expression" dxfId="581" priority="104">
      <formula>IF($V161&lt;&gt;0,AND(MID($A161,5,1)="C"))</formula>
    </cfRule>
    <cfRule type="expression" dxfId="580" priority="105">
      <formula>IF($V161&lt;&gt;0,AND(MID($A161,5,1)="D"))</formula>
    </cfRule>
  </conditionalFormatting>
  <conditionalFormatting sqref="A162">
    <cfRule type="expression" dxfId="579" priority="100">
      <formula>IF($V162&lt;&gt;0,AND(MID($A162,5,1)=" "))</formula>
    </cfRule>
    <cfRule type="expression" dxfId="578" priority="101">
      <formula>IF($V162&lt;&gt;0,AND(MID($A162,5,1)="C"))</formula>
    </cfRule>
    <cfRule type="expression" dxfId="577" priority="102">
      <formula>IF($V162&lt;&gt;0,AND(MID($A162,5,1)="D"))</formula>
    </cfRule>
  </conditionalFormatting>
  <conditionalFormatting sqref="A163">
    <cfRule type="expression" dxfId="576" priority="97">
      <formula>IF($V163&lt;&gt;0,AND(MID($A163,5,1)=" "))</formula>
    </cfRule>
    <cfRule type="expression" dxfId="575" priority="98">
      <formula>IF($V163&lt;&gt;0,AND(MID($A163,5,1)="C"))</formula>
    </cfRule>
    <cfRule type="expression" dxfId="574" priority="99">
      <formula>IF($V163&lt;&gt;0,AND(MID($A163,5,1)="D"))</formula>
    </cfRule>
  </conditionalFormatting>
  <conditionalFormatting sqref="A164">
    <cfRule type="expression" dxfId="573" priority="94">
      <formula>IF($V164&lt;&gt;0,AND(MID($A164,5,1)=" "))</formula>
    </cfRule>
    <cfRule type="expression" dxfId="572" priority="95">
      <formula>IF($V164&lt;&gt;0,AND(MID($A164,5,1)="C"))</formula>
    </cfRule>
    <cfRule type="expression" dxfId="571" priority="96">
      <formula>IF($V164&lt;&gt;0,AND(MID($A164,5,1)="D"))</formula>
    </cfRule>
  </conditionalFormatting>
  <conditionalFormatting sqref="A165">
    <cfRule type="expression" dxfId="570" priority="91">
      <formula>IF($V165&lt;&gt;0,AND(MID($A165,5,1)=" "))</formula>
    </cfRule>
    <cfRule type="expression" dxfId="569" priority="92">
      <formula>IF($V165&lt;&gt;0,AND(MID($A165,5,1)="C"))</formula>
    </cfRule>
    <cfRule type="expression" dxfId="568" priority="93">
      <formula>IF($V165&lt;&gt;0,AND(MID($A165,5,1)="D"))</formula>
    </cfRule>
  </conditionalFormatting>
  <conditionalFormatting sqref="A166 A172 A178 A184 A190 A196">
    <cfRule type="expression" dxfId="567" priority="88">
      <formula>IF($V166&lt;&gt;0,AND(MID($A166,5,1)=" "))</formula>
    </cfRule>
    <cfRule type="expression" dxfId="566" priority="89">
      <formula>IF($V166&lt;&gt;0,AND(MID($A166,5,1)="C"))</formula>
    </cfRule>
    <cfRule type="expression" dxfId="565" priority="90">
      <formula>IF($V166&lt;&gt;0,AND(MID($A166,5,1)="D"))</formula>
    </cfRule>
  </conditionalFormatting>
  <conditionalFormatting sqref="A167 A173 A179 A185 A191 A197">
    <cfRule type="expression" dxfId="564" priority="85">
      <formula>IF($V167&lt;&gt;0,AND(MID($A167,5,1)=" "))</formula>
    </cfRule>
    <cfRule type="expression" dxfId="563" priority="86">
      <formula>IF($V167&lt;&gt;0,AND(MID($A167,5,1)="C"))</formula>
    </cfRule>
    <cfRule type="expression" dxfId="562" priority="87">
      <formula>IF($V167&lt;&gt;0,AND(MID($A167,5,1)="D"))</formula>
    </cfRule>
  </conditionalFormatting>
  <conditionalFormatting sqref="A168 A174 A180 A186 A192 A198">
    <cfRule type="expression" dxfId="561" priority="82">
      <formula>IF($V168&lt;&gt;0,AND(MID($A168,5,1)=" "))</formula>
    </cfRule>
    <cfRule type="expression" dxfId="560" priority="83">
      <formula>IF($V168&lt;&gt;0,AND(MID($A168,5,1)="C"))</formula>
    </cfRule>
    <cfRule type="expression" dxfId="559" priority="84">
      <formula>IF($V168&lt;&gt;0,AND(MID($A168,5,1)="D"))</formula>
    </cfRule>
  </conditionalFormatting>
  <conditionalFormatting sqref="A169 A175 A181 A187 A193 A199">
    <cfRule type="expression" dxfId="558" priority="79">
      <formula>IF($V169&lt;&gt;0,AND(MID($A169,5,1)=" "))</formula>
    </cfRule>
    <cfRule type="expression" dxfId="557" priority="80">
      <formula>IF($V169&lt;&gt;0,AND(MID($A169,5,1)="C"))</formula>
    </cfRule>
    <cfRule type="expression" dxfId="556" priority="81">
      <formula>IF($V169&lt;&gt;0,AND(MID($A169,5,1)="D"))</formula>
    </cfRule>
  </conditionalFormatting>
  <conditionalFormatting sqref="A170 A176 A182 A188 A194 A200">
    <cfRule type="expression" dxfId="555" priority="76">
      <formula>IF($V170&lt;&gt;0,AND(MID($A170,5,1)=" "))</formula>
    </cfRule>
    <cfRule type="expression" dxfId="554" priority="77">
      <formula>IF($V170&lt;&gt;0,AND(MID($A170,5,1)="C"))</formula>
    </cfRule>
    <cfRule type="expression" dxfId="553" priority="78">
      <formula>IF($V170&lt;&gt;0,AND(MID($A170,5,1)="D"))</formula>
    </cfRule>
  </conditionalFormatting>
  <conditionalFormatting sqref="A171 A177 A183 A189 A195 A201">
    <cfRule type="expression" dxfId="552" priority="73">
      <formula>IF($V171&lt;&gt;0,AND(MID($A171,5,1)=" "))</formula>
    </cfRule>
    <cfRule type="expression" dxfId="551" priority="74">
      <formula>IF($V171&lt;&gt;0,AND(MID($A171,5,1)="C"))</formula>
    </cfRule>
    <cfRule type="expression" dxfId="550" priority="75">
      <formula>IF($V171&lt;&gt;0,AND(MID($A171,5,1)="D"))</formula>
    </cfRule>
  </conditionalFormatting>
  <conditionalFormatting sqref="B18">
    <cfRule type="expression" dxfId="549" priority="49">
      <formula>IF($Y21&gt;$Y18,AND(MID($A18,5,1)=" "))</formula>
    </cfRule>
    <cfRule type="expression" dxfId="548" priority="50">
      <formula>IF($Y21&gt;$Y18,AND(MID($A18,5,1)="C"))</formula>
    </cfRule>
    <cfRule type="expression" dxfId="547" priority="51">
      <formula>IF($Y21&gt;$Y18,AND(MID($A18,5,1)="D"))</formula>
    </cfRule>
  </conditionalFormatting>
  <conditionalFormatting sqref="E19">
    <cfRule type="expression" dxfId="546" priority="52">
      <formula>IF($Y21&gt;$Y18,AND(MID($A19,5,1)=" "))</formula>
    </cfRule>
    <cfRule type="expression" dxfId="545" priority="53">
      <formula>IF($Y21&gt;$Y18,AND(MID($A19,5,1)="C"))</formula>
    </cfRule>
    <cfRule type="expression" dxfId="544" priority="54">
      <formula>IF($Y21&gt;$Y18,AND(MID($A19,5,1)="D"))</formula>
    </cfRule>
  </conditionalFormatting>
  <conditionalFormatting sqref="B20">
    <cfRule type="expression" dxfId="543" priority="55">
      <formula>IF($Y21&gt;$Y18,AND(MID($A20,5,1)=" "))</formula>
    </cfRule>
    <cfRule type="expression" dxfId="542" priority="56">
      <formula>IF($Y21&gt;$Y18,AND(MID($A20,5,1)="C"))</formula>
    </cfRule>
    <cfRule type="expression" dxfId="541" priority="57">
      <formula>IF($Y21&gt;$Y18,AND(MID($A20,5,1)="D"))</formula>
    </cfRule>
  </conditionalFormatting>
  <conditionalFormatting sqref="E21">
    <cfRule type="expression" dxfId="540" priority="58">
      <formula>IF($Y21&gt;$Y18,AND(MID($A21,5,1)=" "))</formula>
    </cfRule>
    <cfRule type="expression" dxfId="539" priority="59">
      <formula>IF($Y21&gt;$Y18,AND(MID($A21,5,1)="C"))</formula>
    </cfRule>
    <cfRule type="expression" dxfId="538" priority="60">
      <formula>IF($Y21&gt;$Y18,AND(MID($A21,5,1)="D"))</formula>
    </cfRule>
  </conditionalFormatting>
  <conditionalFormatting sqref="C18">
    <cfRule type="expression" dxfId="537" priority="61">
      <formula>IF($Y21&gt;$Y18,AND(MID($A18,5,1)=" "))</formula>
    </cfRule>
    <cfRule type="expression" dxfId="536" priority="62">
      <formula>IF($Y21&gt;$Y18,AND(MID($A18,5,1)="C"))</formula>
    </cfRule>
    <cfRule type="expression" dxfId="535" priority="63">
      <formula>IF($Y21&gt;$Y18,AND(MID($A18,5,1)="D"))</formula>
    </cfRule>
  </conditionalFormatting>
  <conditionalFormatting sqref="D19">
    <cfRule type="expression" dxfId="534" priority="64">
      <formula>IF($Y21&gt;$Y18,AND(MID($A19,5,1)=" "))</formula>
    </cfRule>
    <cfRule type="expression" dxfId="533" priority="65">
      <formula>IF($Y21&gt;$Y18,AND(MID($A19,5,1)="C"))</formula>
    </cfRule>
    <cfRule type="expression" dxfId="532" priority="66">
      <formula>IF($Y21&gt;$Y18,AND(MID($A19,5,1)="D"))</formula>
    </cfRule>
  </conditionalFormatting>
  <conditionalFormatting sqref="D21">
    <cfRule type="expression" dxfId="531" priority="67">
      <formula>IF($Y21&gt;$Y18,AND(MID($A21,5,1)=" "))</formula>
    </cfRule>
    <cfRule type="expression" dxfId="530" priority="68">
      <formula>IF($Y21&gt;$Y18,AND(MID($A21,5,1)="C"))</formula>
    </cfRule>
    <cfRule type="expression" dxfId="529" priority="69">
      <formula>IF($Y21&gt;$Y18,AND(MID($A21,5,1)="D"))</formula>
    </cfRule>
  </conditionalFormatting>
  <conditionalFormatting sqref="C20">
    <cfRule type="expression" dxfId="528" priority="70">
      <formula>IF($Y21&gt;$Y18,AND(MID($A20,5,1)=" "))</formula>
    </cfRule>
    <cfRule type="expression" dxfId="527" priority="71">
      <formula>IF($Y21&gt;$Y18,AND(MID($A20,5,1)="C"))</formula>
    </cfRule>
    <cfRule type="expression" dxfId="526" priority="72">
      <formula>IF($Y21&gt;$Y18,AND(MID($A20,5,1)="D"))</formula>
    </cfRule>
  </conditionalFormatting>
  <conditionalFormatting sqref="A19">
    <cfRule type="expression" dxfId="525" priority="43">
      <formula>IF($Y21&gt;$Y18,AND(MID($A19,5,1)=" "))</formula>
    </cfRule>
    <cfRule type="expression" dxfId="524" priority="44">
      <formula>IF($Y21&gt;$Y18,AND(MID($A19,5,1)="C"))</formula>
    </cfRule>
    <cfRule type="expression" dxfId="523" priority="45">
      <formula>IF($Y21&gt;$Y18,AND(MID($A19,5,1)="D"))</formula>
    </cfRule>
  </conditionalFormatting>
  <conditionalFormatting sqref="A20">
    <cfRule type="expression" dxfId="522" priority="46">
      <formula>IF($Y21&gt;$Y18,AND(MID($A20,5,1)=" "))</formula>
    </cfRule>
    <cfRule type="expression" dxfId="521" priority="47">
      <formula>IF($Y21&gt;$Y18,AND(MID($A20,5,1)="C"))</formula>
    </cfRule>
    <cfRule type="expression" dxfId="520" priority="48">
      <formula>IF($Y21&gt;$Y18,AND(MID($A20,5,1)="D"))</formula>
    </cfRule>
  </conditionalFormatting>
  <conditionalFormatting sqref="A21">
    <cfRule type="expression" dxfId="519" priority="40">
      <formula>IF($Y21&gt;$Y18,AND(MID($A21,5,1)=" "))</formula>
    </cfRule>
    <cfRule type="expression" dxfId="518" priority="41">
      <formula>IF($Y21&gt;$Y18,AND(MID($A21,5,1)="C"))</formula>
    </cfRule>
    <cfRule type="expression" dxfId="517" priority="42">
      <formula>IF($Y21&gt;$Y18,AND(MID($A21,5,1)="D"))</formula>
    </cfRule>
  </conditionalFormatting>
  <conditionalFormatting sqref="A18">
    <cfRule type="expression" dxfId="516" priority="37">
      <formula>IF($Y21&gt;$Y18,AND(MID($A18,5,1)=" "))</formula>
    </cfRule>
    <cfRule type="expression" dxfId="515" priority="38">
      <formula>IF($Y21&gt;$Y18,AND(MID($A18,5,1)="C"))</formula>
    </cfRule>
    <cfRule type="expression" dxfId="514" priority="39">
      <formula>IF($Y21&gt;$Y18,AND(MID($A18,5,1)="D"))</formula>
    </cfRule>
  </conditionalFormatting>
  <conditionalFormatting sqref="A11">
    <cfRule type="expression" dxfId="513" priority="31">
      <formula>IF($Y13&gt;$Y10,AND(MID($A11,5,1)=" "))</formula>
    </cfRule>
    <cfRule type="expression" dxfId="512" priority="32">
      <formula>IF($Y13&gt;$Y10,AND(MID($A11,5,1)="C"))</formula>
    </cfRule>
    <cfRule type="expression" dxfId="511" priority="33">
      <formula>IF($Y13&gt;$Y10,AND(MID($A11,5,1)="D"))</formula>
    </cfRule>
  </conditionalFormatting>
  <conditionalFormatting sqref="A12">
    <cfRule type="expression" dxfId="510" priority="34">
      <formula>IF($Y13&gt;$Y10,AND(MID($A12,5,1)=" "))</formula>
    </cfRule>
    <cfRule type="expression" dxfId="509" priority="35">
      <formula>IF($Y13&gt;$Y10,AND(MID($A12,5,1)="C"))</formula>
    </cfRule>
    <cfRule type="expression" dxfId="508" priority="36">
      <formula>IF($Y13&gt;$Y10,AND(MID($A12,5,1)="D"))</formula>
    </cfRule>
  </conditionalFormatting>
  <conditionalFormatting sqref="A13">
    <cfRule type="expression" dxfId="507" priority="28">
      <formula>IF($Y13&gt;$Y10,AND(MID($A13,5,1)=" "))</formula>
    </cfRule>
    <cfRule type="expression" dxfId="506" priority="29">
      <formula>IF($Y13&gt;$Y10,AND(MID($A13,5,1)="C"))</formula>
    </cfRule>
    <cfRule type="expression" dxfId="505" priority="30">
      <formula>IF($Y13&gt;$Y10,AND(MID($A13,5,1)="D"))</formula>
    </cfRule>
  </conditionalFormatting>
  <conditionalFormatting sqref="A10">
    <cfRule type="expression" dxfId="504" priority="25">
      <formula>IF($Y13&gt;$Y10,AND(MID($A10,5,1)=" "))</formula>
    </cfRule>
    <cfRule type="expression" dxfId="503" priority="26">
      <formula>IF($Y13&gt;$Y10,AND(MID($A10,5,1)="C"))</formula>
    </cfRule>
    <cfRule type="expression" dxfId="502" priority="27">
      <formula>IF($Y13&gt;$Y10,AND(MID($A10,5,1)="D"))</formula>
    </cfRule>
  </conditionalFormatting>
  <conditionalFormatting sqref="A7">
    <cfRule type="expression" dxfId="501" priority="19">
      <formula>IF($Y9&gt;$Y6,AND(MID($A7,5,1)=" "))</formula>
    </cfRule>
    <cfRule type="expression" dxfId="500" priority="20">
      <formula>IF($Y9&gt;$Y6,AND(MID($A7,5,1)="C"))</formula>
    </cfRule>
    <cfRule type="expression" dxfId="499" priority="21">
      <formula>IF($Y9&gt;$Y6,AND(MID($A7,5,1)="D"))</formula>
    </cfRule>
  </conditionalFormatting>
  <conditionalFormatting sqref="A8">
    <cfRule type="expression" dxfId="498" priority="22">
      <formula>IF($Y9&gt;$Y6,AND(MID($A8,5,1)=" "))</formula>
    </cfRule>
    <cfRule type="expression" dxfId="497" priority="23">
      <formula>IF($Y9&gt;$Y6,AND(MID($A8,5,1)="C"))</formula>
    </cfRule>
    <cfRule type="expression" dxfId="496" priority="24">
      <formula>IF($Y9&gt;$Y6,AND(MID($A8,5,1)="D"))</formula>
    </cfRule>
  </conditionalFormatting>
  <conditionalFormatting sqref="A9">
    <cfRule type="expression" dxfId="495" priority="16">
      <formula>IF($Y9&gt;$Y6,AND(MID($A9,5,1)=" "))</formula>
    </cfRule>
    <cfRule type="expression" dxfId="494" priority="17">
      <formula>IF($Y9&gt;$Y6,AND(MID($A9,5,1)="C"))</formula>
    </cfRule>
    <cfRule type="expression" dxfId="493" priority="18">
      <formula>IF($Y9&gt;$Y6,AND(MID($A9,5,1)="D"))</formula>
    </cfRule>
  </conditionalFormatting>
  <conditionalFormatting sqref="A6">
    <cfRule type="expression" dxfId="492" priority="13">
      <formula>IF($Y9&gt;$Y6,AND(MID($A6,5,1)=" "))</formula>
    </cfRule>
    <cfRule type="expression" dxfId="491" priority="14">
      <formula>IF($Y9&gt;$Y6,AND(MID($A6,5,1)="C"))</formula>
    </cfRule>
    <cfRule type="expression" dxfId="490" priority="15">
      <formula>IF($Y9&gt;$Y6,AND(MID($A6,5,1)="D"))</formula>
    </cfRule>
  </conditionalFormatting>
  <conditionalFormatting sqref="A3">
    <cfRule type="expression" dxfId="489" priority="7">
      <formula>IF($Y5&gt;$Y2,AND(MID($A3,5,1)=" "))</formula>
    </cfRule>
    <cfRule type="expression" dxfId="488" priority="8">
      <formula>IF($Y5&gt;$Y2,AND(MID($A3,5,1)="C"))</formula>
    </cfRule>
    <cfRule type="expression" dxfId="487" priority="9">
      <formula>IF($Y5&gt;$Y2,AND(MID($A3,5,1)="D"))</formula>
    </cfRule>
  </conditionalFormatting>
  <conditionalFormatting sqref="A4">
    <cfRule type="expression" dxfId="486" priority="10">
      <formula>IF($Y5&gt;$Y2,AND(MID($A4,5,1)=" "))</formula>
    </cfRule>
    <cfRule type="expression" dxfId="485" priority="11">
      <formula>IF($Y5&gt;$Y2,AND(MID($A4,5,1)="C"))</formula>
    </cfRule>
    <cfRule type="expression" dxfId="484" priority="12">
      <formula>IF($Y5&gt;$Y2,AND(MID($A4,5,1)="D"))</formula>
    </cfRule>
  </conditionalFormatting>
  <conditionalFormatting sqref="A5">
    <cfRule type="expression" dxfId="483" priority="4">
      <formula>IF($Y5&gt;$Y2,AND(MID($A5,5,1)=" "))</formula>
    </cfRule>
    <cfRule type="expression" dxfId="482" priority="5">
      <formula>IF($Y5&gt;$Y2,AND(MID($A5,5,1)="C"))</formula>
    </cfRule>
    <cfRule type="expression" dxfId="481" priority="6">
      <formula>IF($Y5&gt;$Y2,AND(MID($A5,5,1)="D"))</formula>
    </cfRule>
  </conditionalFormatting>
  <conditionalFormatting sqref="A2">
    <cfRule type="expression" dxfId="480" priority="1">
      <formula>IF($Y5&gt;$Y2,AND(MID($A2,5,1)=" "))</formula>
    </cfRule>
    <cfRule type="expression" dxfId="479" priority="2">
      <formula>IF($Y5&gt;$Y2,AND(MID($A2,5,1)="C"))</formula>
    </cfRule>
    <cfRule type="expression" dxfId="478" priority="3">
      <formula>IF($Y5&gt;$Y2,AND(MID($A2,5,1)="D"))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734D2-C052-47BA-ADE3-62A0F18F54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M45:M59</xm:sqref>
        </x14:conditionalFormatting>
        <x14:conditionalFormatting xmlns:xm="http://schemas.microsoft.com/office/excel/2006/main">
          <x14:cfRule type="dataBar" id="{6FAA0C48-414B-4221-8C51-021E8C9FE9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M30:M43</xm:sqref>
        </x14:conditionalFormatting>
        <x14:conditionalFormatting xmlns:xm="http://schemas.microsoft.com/office/excel/2006/main">
          <x14:cfRule type="dataBar" id="{7D6618ED-0B3F-45CA-8120-128FA7F490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I8" sqref="I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" bestFit="1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9.8554687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bestFit="1" customWidth="1"/>
    <col min="29" max="29" width="4.85546875" bestFit="1" customWidth="1"/>
    <col min="30" max="30" width="5.85546875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8" bestFit="1" customWidth="1"/>
    <col min="36" max="36" width="7.7109375" bestFit="1" customWidth="1"/>
    <col min="37" max="37" width="6" bestFit="1" customWidth="1"/>
    <col min="38" max="38" width="3.85546875" bestFit="1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3" t="s">
        <v>340</v>
      </c>
      <c r="R2" s="223" t="s">
        <v>341</v>
      </c>
      <c r="S2" s="223" t="s">
        <v>353</v>
      </c>
      <c r="T2" s="223"/>
      <c r="U2" s="223" t="s">
        <v>354</v>
      </c>
      <c r="V2" s="250" t="s">
        <v>610</v>
      </c>
      <c r="W2" s="479" t="s">
        <v>355</v>
      </c>
      <c r="X2" s="480" t="s">
        <v>356</v>
      </c>
      <c r="Y2" s="479" t="s">
        <v>357</v>
      </c>
      <c r="Z2" s="250" t="s">
        <v>610</v>
      </c>
      <c r="AA2" s="491" t="s">
        <v>358</v>
      </c>
      <c r="AB2" s="490" t="s">
        <v>359</v>
      </c>
      <c r="AC2" s="224" t="s">
        <v>340</v>
      </c>
      <c r="AD2" s="225" t="s">
        <v>341</v>
      </c>
      <c r="AE2" s="224" t="s">
        <v>360</v>
      </c>
      <c r="AF2" s="224"/>
      <c r="AG2" s="224" t="s">
        <v>354</v>
      </c>
      <c r="AH2" s="250" t="s">
        <v>610</v>
      </c>
      <c r="AI2" s="479" t="s">
        <v>355</v>
      </c>
      <c r="AJ2" s="480" t="s">
        <v>356</v>
      </c>
      <c r="AK2" s="479" t="s">
        <v>357</v>
      </c>
      <c r="AL2" s="250" t="s">
        <v>610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40" t="s">
        <v>401</v>
      </c>
      <c r="B3" s="203">
        <v>17</v>
      </c>
      <c r="C3" s="200">
        <v>3150</v>
      </c>
      <c r="D3" s="452">
        <v>68</v>
      </c>
      <c r="E3" s="453">
        <f t="shared" ref="E3:E72" si="0">+B3*D3*-100</f>
        <v>-115600</v>
      </c>
      <c r="F3" s="454">
        <f t="shared" ref="F3:F34" si="1">IF(B3&gt;0,+B3*D3*(1+($N$53+0.002)*1.21)*-100,B3*D3*(1-($N$53+0.002)*1.21)*-100)</f>
        <v>-116607.1072</v>
      </c>
      <c r="G3" s="202">
        <f t="shared" ref="G3:G37" si="2">IFERROR(VLOOKUP(C3,$R$3:$AA$50,7,0),"")</f>
        <v>40.01</v>
      </c>
      <c r="H3" s="458">
        <f>IFERROR(+G3*B3*-100,0)</f>
        <v>-68017</v>
      </c>
      <c r="I3" s="459">
        <f t="shared" ref="I3:I72" si="3">+IF(G3="",0,(F3-H3))</f>
        <v>-48590.107199999999</v>
      </c>
      <c r="J3" s="62"/>
      <c r="K3" s="106"/>
      <c r="L3" s="628">
        <f t="shared" ref="L3:L17" si="4">+L4*(1-$N$42)</f>
        <v>1791.9425524598291</v>
      </c>
      <c r="M3" s="481">
        <f t="shared" ref="M3:M34" si="5">ET3</f>
        <v>-25366.69</v>
      </c>
      <c r="N3" s="481">
        <f t="shared" ref="N3:N34" ca="1" si="6">GK3</f>
        <v>-25366.69</v>
      </c>
      <c r="O3" s="62"/>
      <c r="P3" s="198">
        <f>IF(R3="","-",ABS(R3-$L$18))</f>
        <v>70.25</v>
      </c>
      <c r="Q3" s="450">
        <f t="shared" ref="Q3:Q17" si="7">SUMIFS(B$3:B$37,C$3:C$37,R3)</f>
        <v>5</v>
      </c>
      <c r="R3" s="449">
        <v>2900</v>
      </c>
      <c r="S3" s="443">
        <f ca="1">IFERROR((NORMSDIST(((LN($L$18/$R3)+($N$48+($N$46^2)/2)*$N$51)/($N$46*SQRT($N$51))))*$L$18-NORMSDIST((((LN($L$18/$R3)+($N$48+($N$46^2)/2)*$N$51)/($N$46*SQRT($N$51)))-$N$46*SQRT(($N$51))))*$R3*EXP(-$N$48*$N$51)),0)</f>
        <v>171.06199711756108</v>
      </c>
      <c r="T3" s="345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GFGC2900AB - 24hs</v>
      </c>
      <c r="U3" s="345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GFGC2900AB</v>
      </c>
      <c r="V3" s="343">
        <f>IFERROR(VLOOKUP($U3,HomeBroker!$A$30:$F$60,2,0),0)</f>
        <v>0</v>
      </c>
      <c r="W3" s="446">
        <f>IFERROR(VLOOKUP($U3,HomeBroker!$A$30:$F$60,3,0),0)</f>
        <v>129.77000000000001</v>
      </c>
      <c r="X3" s="626">
        <f>IFERROR(VLOOKUP($U3,HomeBroker!$A$30:$F$60,6,0),0)</f>
        <v>129.77000000000001</v>
      </c>
      <c r="Y3" s="445">
        <f>IFERROR(VLOOKUP($U3,HomeBroker!$A$30:$F$60,4,0),0)</f>
        <v>0</v>
      </c>
      <c r="Z3" s="343">
        <f>IFERROR(VLOOKUP($U3,HomeBroker!$A$30:$F$60,5,0),0)</f>
        <v>0</v>
      </c>
      <c r="AA3" s="346">
        <f>IFERROR(VLOOKUP($U3,HomeBroker!$A$30:$N$60,13,0),0)</f>
        <v>0</v>
      </c>
      <c r="AB3" s="199">
        <f>IF(AD3="","-",AD3-$L$18)</f>
        <v>-809.75</v>
      </c>
      <c r="AC3" s="451">
        <f t="shared" ref="AC3:AC17" si="9">SUMIFS(B$38:B$72,C$38:C$72,AD3)</f>
        <v>0</v>
      </c>
      <c r="AD3" s="449">
        <v>2020</v>
      </c>
      <c r="AE3" s="444">
        <f ca="1">IFERROR((NORMSDIST(-(((LN($L$18/$AD3)+($N$48+($N$47^2)/2)*$N$51)/($N$47*SQRT($N$51)))-$N$47*SQRT($N$51)))*$AD3*EXP(-$N$48*$N$51)-NORMSDIST(-((LN($L$18/$AD3)+($N$48+($N$47^2)/2)*$N$51)/($N$47*SQRT($N$51))))*$L$18),0)</f>
        <v>1.4151384137981644</v>
      </c>
      <c r="AF3" s="345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GFGV2020AB - 24hs</v>
      </c>
      <c r="AG3" s="345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GFGV2020AB</v>
      </c>
      <c r="AH3" s="408">
        <f>IFERROR(VLOOKUP($AG3,HomeBroker!$A$30:$F$60,2,0),0)</f>
        <v>6</v>
      </c>
      <c r="AI3" s="446">
        <f>IFERROR(VLOOKUP($AG3,HomeBroker!$A$30:$F$60,3,0),0)</f>
        <v>1.5009999999999999</v>
      </c>
      <c r="AJ3" s="626">
        <f>IFERROR(VLOOKUP($AG3,HomeBroker!$A$30:$F$60,6,0),0)</f>
        <v>1.5009999999999999</v>
      </c>
      <c r="AK3" s="446">
        <f>IFERROR(VLOOKUP($AG3,HomeBroker!$A$30:$F$60,4,0),0)</f>
        <v>1.589</v>
      </c>
      <c r="AL3" s="408">
        <f>IFERROR(VLOOKUP($AG3,HomeBroker!$A$30:$F$60,5,0),0)</f>
        <v>9</v>
      </c>
      <c r="AM3" s="447">
        <f>IFERROR(VLOOKUP($AG3,HomeBroker!$A$30:$N$60,13,0),0)</f>
        <v>809</v>
      </c>
      <c r="AN3" s="62"/>
      <c r="AO3" s="198">
        <f>IF(OR(R3="",X3=0,AJ3=0),"-",R3+X3-AJ3-$L$18)</f>
        <v>198.51899999999978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4">
        <f t="shared" ref="AX3:AX76" si="11">+AU3*AW3*-100</f>
        <v>0</v>
      </c>
      <c r="AY3" s="215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8">
        <f t="shared" ref="BD3:BD76" si="13">+BA3*BC3*-100</f>
        <v>0</v>
      </c>
      <c r="BE3" s="219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21">
        <f t="shared" ref="BI3:BI76" si="15">-BH3*BG3</f>
        <v>0</v>
      </c>
      <c r="BJ3" s="222">
        <f t="shared" ref="BJ3:BJ76" si="16">IF(BG3&gt;0,-BH3*(1+($N$52+0.0008)*1.21)*BG3,-BH3*(1-($N$52+0.0008)*1.21)*BG3)</f>
        <v>0</v>
      </c>
      <c r="DE3" s="117">
        <f t="shared" ref="DE3:DE34" si="17">L3</f>
        <v>1791.9425524598291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-25366.692800000019</v>
      </c>
      <c r="ES3" s="122"/>
      <c r="ET3" s="123">
        <f t="shared" ref="ET3:ET34" si="54">ROUND($ER$3+EP3+ET36+ET70+ET103,2)</f>
        <v>-25366.69</v>
      </c>
      <c r="EU3" s="72"/>
      <c r="EV3" s="117">
        <f t="shared" ref="EV3:EV34" si="55">$L3</f>
        <v>1791.9425524598291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-25366.692800000019</v>
      </c>
      <c r="GJ3" s="122"/>
      <c r="GK3" s="123">
        <f t="shared" ref="GK3:GK34" ca="1" si="57">ROUND($GI$3+GG3+GK36+GK70+GK103,2)</f>
        <v>-25366.69</v>
      </c>
    </row>
    <row r="4" spans="1:193" ht="15">
      <c r="A4" s="440" t="s">
        <v>401</v>
      </c>
      <c r="B4" s="203">
        <v>-17</v>
      </c>
      <c r="C4" s="200">
        <v>3300</v>
      </c>
      <c r="D4" s="452">
        <v>34</v>
      </c>
      <c r="E4" s="453">
        <f t="shared" si="0"/>
        <v>57800</v>
      </c>
      <c r="F4" s="454">
        <f t="shared" si="1"/>
        <v>57296.446400000001</v>
      </c>
      <c r="G4" s="202">
        <f t="shared" si="2"/>
        <v>22.03</v>
      </c>
      <c r="H4" s="458">
        <f t="shared" ref="H4:H67" si="58">IFERROR(+G4*B4*-100,0)</f>
        <v>37451</v>
      </c>
      <c r="I4" s="459">
        <f t="shared" si="3"/>
        <v>19845.446400000001</v>
      </c>
      <c r="J4" s="62"/>
      <c r="K4" s="106"/>
      <c r="L4" s="629">
        <f t="shared" si="4"/>
        <v>1847.3634561441538</v>
      </c>
      <c r="M4" s="482">
        <f t="shared" si="5"/>
        <v>-25366.69</v>
      </c>
      <c r="N4" s="482">
        <f t="shared" ca="1" si="6"/>
        <v>-25366.69</v>
      </c>
      <c r="O4" s="62"/>
      <c r="P4" s="198">
        <f t="shared" ref="P4:P42" si="59">IF(R4="","-",ABS(R4-$L$18))</f>
        <v>170.25</v>
      </c>
      <c r="Q4" s="450">
        <f t="shared" si="7"/>
        <v>-8</v>
      </c>
      <c r="R4" s="449">
        <v>3000</v>
      </c>
      <c r="S4" s="443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126.19072042034577</v>
      </c>
      <c r="T4" s="345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GFGC3000AB - 24hs</v>
      </c>
      <c r="U4" s="345" t="str">
        <f t="shared" ref="U4:U26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GFGC3000AB</v>
      </c>
      <c r="V4" s="343">
        <f>IFERROR(VLOOKUP($U4,HomeBroker!$A$30:$F$60,2,0),0)</f>
        <v>0</v>
      </c>
      <c r="W4" s="446">
        <f>IFERROR(VLOOKUP($U4,HomeBroker!$A$30:$F$60,3,0),0)</f>
        <v>86.34</v>
      </c>
      <c r="X4" s="626">
        <f>IFERROR(VLOOKUP($U4,HomeBroker!$A$30:$F$60,6,0),0)</f>
        <v>86.34</v>
      </c>
      <c r="Y4" s="445">
        <f>IFERROR(VLOOKUP($U4,HomeBroker!$A$30:$F$60,4,0),0)</f>
        <v>0</v>
      </c>
      <c r="Z4" s="343">
        <f>IFERROR(VLOOKUP($U4,HomeBroker!$A$30:$F$60,5,0),0)</f>
        <v>0</v>
      </c>
      <c r="AA4" s="346">
        <f>IFERROR(VLOOKUP($U4,HomeBroker!$A$30:$N$60,13,0),0)</f>
        <v>0</v>
      </c>
      <c r="AB4" s="199">
        <f t="shared" ref="AB4:AB42" si="63">IF(AD4="","-",AD4-$L$18)</f>
        <v>-729.75</v>
      </c>
      <c r="AC4" s="451">
        <f t="shared" si="9"/>
        <v>0</v>
      </c>
      <c r="AD4" s="449">
        <v>2100</v>
      </c>
      <c r="AE4" s="444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2.8203520680245759</v>
      </c>
      <c r="AF4" s="345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GFGV2100AB - 24hs</v>
      </c>
      <c r="AG4" s="345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GFGV2100AB</v>
      </c>
      <c r="AH4" s="408">
        <f>IFERROR(VLOOKUP($AG4,HomeBroker!$A$30:$F$60,2,0),0)</f>
        <v>56</v>
      </c>
      <c r="AI4" s="446">
        <f>IFERROR(VLOOKUP($AG4,HomeBroker!$A$30:$F$60,3,0),0)</f>
        <v>2.2509999999999999</v>
      </c>
      <c r="AJ4" s="626">
        <f>IFERROR(VLOOKUP($AG4,HomeBroker!$A$30:$F$60,6,0),0)</f>
        <v>2.9</v>
      </c>
      <c r="AK4" s="446">
        <f>IFERROR(VLOOKUP($AG4,HomeBroker!$A$30:$F$60,4,0),0)</f>
        <v>3.1989999999999998</v>
      </c>
      <c r="AL4" s="408">
        <f>IFERROR(VLOOKUP($AG4,HomeBroker!$A$30:$F$60,5,0),0)</f>
        <v>11</v>
      </c>
      <c r="AM4" s="448">
        <f>IFERROR(VLOOKUP($AG4,HomeBroker!$A$30:$N$60,13,0),0)</f>
        <v>1197</v>
      </c>
      <c r="AN4" s="62"/>
      <c r="AO4" s="198">
        <f t="shared" ref="AO4:AO42" si="67">IF(OR(R4="",X4=0,AJ4=0),"-",R4+X4-AJ4-$L$18)</f>
        <v>253.69000000000005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6">
        <f t="shared" si="11"/>
        <v>0</v>
      </c>
      <c r="AY4" s="217">
        <f t="shared" si="12"/>
        <v>0</v>
      </c>
      <c r="AZ4" s="114" t="s">
        <v>402</v>
      </c>
      <c r="BA4" s="112"/>
      <c r="BB4" s="105"/>
      <c r="BC4" s="115"/>
      <c r="BD4" s="218">
        <f t="shared" si="13"/>
        <v>0</v>
      </c>
      <c r="BE4" s="220">
        <f t="shared" si="14"/>
        <v>0</v>
      </c>
      <c r="BF4" s="116" t="s">
        <v>403</v>
      </c>
      <c r="BG4" s="112"/>
      <c r="BH4" s="115"/>
      <c r="BI4" s="221">
        <f t="shared" si="15"/>
        <v>0</v>
      </c>
      <c r="BJ4" s="222">
        <f t="shared" si="16"/>
        <v>0</v>
      </c>
      <c r="DE4" s="117">
        <f t="shared" si="17"/>
        <v>1847.3634561441538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-25366.69</v>
      </c>
      <c r="EU4" s="72"/>
      <c r="EV4" s="117">
        <f t="shared" si="55"/>
        <v>1847.3634561441538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-25366.69</v>
      </c>
    </row>
    <row r="5" spans="1:193" ht="15">
      <c r="A5" s="440" t="s">
        <v>401</v>
      </c>
      <c r="B5" s="203">
        <v>5</v>
      </c>
      <c r="C5" s="200">
        <v>2900</v>
      </c>
      <c r="D5" s="452">
        <v>200</v>
      </c>
      <c r="E5" s="453">
        <f t="shared" si="0"/>
        <v>-100000</v>
      </c>
      <c r="F5" s="454">
        <f t="shared" si="1"/>
        <v>-100871.20000000001</v>
      </c>
      <c r="G5" s="202">
        <f t="shared" si="2"/>
        <v>129.77000000000001</v>
      </c>
      <c r="H5" s="458">
        <f t="shared" si="58"/>
        <v>-64885</v>
      </c>
      <c r="I5" s="459">
        <f t="shared" si="3"/>
        <v>-35986.200000000012</v>
      </c>
      <c r="J5" s="62"/>
      <c r="K5" s="106"/>
      <c r="L5" s="629">
        <f t="shared" si="4"/>
        <v>1904.4984083960348</v>
      </c>
      <c r="M5" s="482">
        <f t="shared" si="5"/>
        <v>-25366.69</v>
      </c>
      <c r="N5" s="482">
        <f t="shared" ca="1" si="6"/>
        <v>-25366.69</v>
      </c>
      <c r="O5" s="62"/>
      <c r="P5" s="198">
        <f t="shared" si="59"/>
        <v>320.25</v>
      </c>
      <c r="Q5" s="450">
        <f t="shared" si="7"/>
        <v>17</v>
      </c>
      <c r="R5" s="449">
        <v>3150</v>
      </c>
      <c r="S5" s="443">
        <f t="shared" ca="1" si="60"/>
        <v>76.084224128764163</v>
      </c>
      <c r="T5" s="345" t="str">
        <f t="shared" si="61"/>
        <v>MERV - XMEV - GFGC3150AB - 24hs</v>
      </c>
      <c r="U5" s="345" t="str">
        <f t="shared" si="62"/>
        <v>GFGC3150AB</v>
      </c>
      <c r="V5" s="343">
        <f>IFERROR(VLOOKUP($U5,HomeBroker!$A$30:$F$60,2,0),0)</f>
        <v>0</v>
      </c>
      <c r="W5" s="446">
        <f>IFERROR(VLOOKUP($U5,HomeBroker!$A$30:$F$60,3,0),0)</f>
        <v>40.01</v>
      </c>
      <c r="X5" s="626">
        <f>IFERROR(VLOOKUP($U5,HomeBroker!$A$30:$F$60,6,0),0)</f>
        <v>40.01</v>
      </c>
      <c r="Y5" s="445">
        <f>IFERROR(VLOOKUP($U5,HomeBroker!$A$30:$F$60,4,0),0)</f>
        <v>0</v>
      </c>
      <c r="Z5" s="343">
        <f>IFERROR(VLOOKUP($U5,HomeBroker!$A$30:$F$60,5,0),0)</f>
        <v>0</v>
      </c>
      <c r="AA5" s="346">
        <f>IFERROR(VLOOKUP($U5,HomeBroker!$A$30:$N$60,13,0),0)</f>
        <v>0</v>
      </c>
      <c r="AB5" s="199">
        <f t="shared" si="63"/>
        <v>-629.75</v>
      </c>
      <c r="AC5" s="451">
        <f t="shared" si="9"/>
        <v>0</v>
      </c>
      <c r="AD5" s="449">
        <v>2200</v>
      </c>
      <c r="AE5" s="444">
        <f t="shared" ca="1" si="64"/>
        <v>6.0616301304234383</v>
      </c>
      <c r="AF5" s="345" t="str">
        <f t="shared" si="65"/>
        <v>MERV - XMEV - GFGV2200AB - 24hs</v>
      </c>
      <c r="AG5" s="345" t="str">
        <f t="shared" si="66"/>
        <v>GFGV2200AB</v>
      </c>
      <c r="AH5" s="408">
        <f>IFERROR(VLOOKUP($AG5,HomeBroker!$A$30:$F$60,2,0),0)</f>
        <v>15</v>
      </c>
      <c r="AI5" s="446">
        <f>IFERROR(VLOOKUP($AG5,HomeBroker!$A$30:$F$60,3,0),0)</f>
        <v>5.65</v>
      </c>
      <c r="AJ5" s="626">
        <f>IFERROR(VLOOKUP($AG5,HomeBroker!$A$30:$F$60,6,0),0)</f>
        <v>5.84</v>
      </c>
      <c r="AK5" s="446">
        <f>IFERROR(VLOOKUP($AG5,HomeBroker!$A$30:$F$60,4,0),0)</f>
        <v>5.84</v>
      </c>
      <c r="AL5" s="408">
        <f>IFERROR(VLOOKUP($AG5,HomeBroker!$A$30:$F$60,5,0),0)</f>
        <v>7</v>
      </c>
      <c r="AM5" s="448">
        <f>IFERROR(VLOOKUP($AG5,HomeBroker!$A$30:$N$60,13,0),0)</f>
        <v>2877</v>
      </c>
      <c r="AN5" s="62"/>
      <c r="AO5" s="198">
        <f t="shared" si="67"/>
        <v>354.42000000000007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6">
        <f t="shared" si="11"/>
        <v>0</v>
      </c>
      <c r="AY5" s="217">
        <f t="shared" si="12"/>
        <v>0</v>
      </c>
      <c r="AZ5" s="114" t="s">
        <v>402</v>
      </c>
      <c r="BA5" s="112"/>
      <c r="BB5" s="105"/>
      <c r="BC5" s="115"/>
      <c r="BD5" s="218">
        <f t="shared" si="13"/>
        <v>0</v>
      </c>
      <c r="BE5" s="220">
        <f t="shared" si="14"/>
        <v>0</v>
      </c>
      <c r="BF5" s="116" t="s">
        <v>403</v>
      </c>
      <c r="BG5" s="112"/>
      <c r="BH5" s="115"/>
      <c r="BI5" s="221">
        <f t="shared" si="15"/>
        <v>0</v>
      </c>
      <c r="BJ5" s="222">
        <f t="shared" si="16"/>
        <v>0</v>
      </c>
      <c r="DE5" s="117">
        <f t="shared" si="17"/>
        <v>1904.4984083960348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-25366.69</v>
      </c>
      <c r="EU5" s="72"/>
      <c r="EV5" s="117">
        <f t="shared" si="55"/>
        <v>1904.4984083960348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-25366.69</v>
      </c>
    </row>
    <row r="6" spans="1:193" ht="15">
      <c r="A6" s="440" t="s">
        <v>401</v>
      </c>
      <c r="B6" s="203">
        <v>-8</v>
      </c>
      <c r="C6" s="200">
        <v>3000</v>
      </c>
      <c r="D6" s="452">
        <v>170</v>
      </c>
      <c r="E6" s="453">
        <f t="shared" si="0"/>
        <v>136000</v>
      </c>
      <c r="F6" s="454">
        <f t="shared" si="1"/>
        <v>134815.16800000001</v>
      </c>
      <c r="G6" s="202">
        <f t="shared" si="2"/>
        <v>86.34</v>
      </c>
      <c r="H6" s="458">
        <f t="shared" si="58"/>
        <v>69072</v>
      </c>
      <c r="I6" s="459">
        <f t="shared" si="3"/>
        <v>65743.168000000005</v>
      </c>
      <c r="J6" s="62"/>
      <c r="K6" s="106"/>
      <c r="L6" s="629">
        <f t="shared" si="4"/>
        <v>1963.4004210268401</v>
      </c>
      <c r="M6" s="483">
        <f t="shared" si="5"/>
        <v>-25366.69</v>
      </c>
      <c r="N6" s="483">
        <f t="shared" ca="1" si="6"/>
        <v>-25366.69</v>
      </c>
      <c r="O6" s="62"/>
      <c r="P6" s="198">
        <f t="shared" si="59"/>
        <v>470.25</v>
      </c>
      <c r="Q6" s="450">
        <f t="shared" si="7"/>
        <v>-17</v>
      </c>
      <c r="R6" s="449">
        <v>3300</v>
      </c>
      <c r="S6" s="443">
        <f t="shared" ca="1" si="60"/>
        <v>43.299725340550822</v>
      </c>
      <c r="T6" s="345" t="str">
        <f t="shared" si="61"/>
        <v>MERV - XMEV - GFGC3300AB - 24hs</v>
      </c>
      <c r="U6" s="345" t="str">
        <f t="shared" si="62"/>
        <v>GFGC3300AB</v>
      </c>
      <c r="V6" s="343">
        <f>IFERROR(VLOOKUP($U6,HomeBroker!$A$30:$F$60,2,0),0)</f>
        <v>0</v>
      </c>
      <c r="W6" s="446">
        <f>IFERROR(VLOOKUP($U6,HomeBroker!$A$30:$F$60,3,0),0)</f>
        <v>22.03</v>
      </c>
      <c r="X6" s="626">
        <f>IFERROR(VLOOKUP($U6,HomeBroker!$A$30:$F$60,6,0),0)</f>
        <v>22.03</v>
      </c>
      <c r="Y6" s="445">
        <f>IFERROR(VLOOKUP($U6,HomeBroker!$A$30:$F$60,4,0),0)</f>
        <v>0</v>
      </c>
      <c r="Z6" s="343">
        <f>IFERROR(VLOOKUP($U6,HomeBroker!$A$30:$F$60,5,0),0)</f>
        <v>0</v>
      </c>
      <c r="AA6" s="346">
        <f>IFERROR(VLOOKUP($U6,HomeBroker!$A$30:$N$60,13,0),0)</f>
        <v>0</v>
      </c>
      <c r="AB6" s="199">
        <f t="shared" si="63"/>
        <v>-529.75</v>
      </c>
      <c r="AC6" s="451">
        <f t="shared" si="9"/>
        <v>0</v>
      </c>
      <c r="AD6" s="449">
        <v>2300</v>
      </c>
      <c r="AE6" s="444">
        <f t="shared" ca="1" si="64"/>
        <v>11.854060676024943</v>
      </c>
      <c r="AF6" s="345" t="str">
        <f t="shared" si="65"/>
        <v>MERV - XMEV - GFGV2300AB - 24hs</v>
      </c>
      <c r="AG6" s="345" t="str">
        <f t="shared" si="66"/>
        <v>GFGV2300AB</v>
      </c>
      <c r="AH6" s="408">
        <f>IFERROR(VLOOKUP($AG6,HomeBroker!$A$30:$F$60,2,0),0)</f>
        <v>10</v>
      </c>
      <c r="AI6" s="446">
        <f>IFERROR(VLOOKUP($AG6,HomeBroker!$A$30:$F$60,3,0),0)</f>
        <v>9.4009999999999998</v>
      </c>
      <c r="AJ6" s="626">
        <f>IFERROR(VLOOKUP($AG6,HomeBroker!$A$30:$F$60,6,0),0)</f>
        <v>9.6</v>
      </c>
      <c r="AK6" s="446">
        <f>IFERROR(VLOOKUP($AG6,HomeBroker!$A$30:$F$60,4,0),0)</f>
        <v>10.15</v>
      </c>
      <c r="AL6" s="408">
        <f>IFERROR(VLOOKUP($AG6,HomeBroker!$A$30:$F$60,5,0),0)</f>
        <v>1</v>
      </c>
      <c r="AM6" s="448">
        <f>IFERROR(VLOOKUP($AG6,HomeBroker!$A$30:$N$60,13,0),0)</f>
        <v>2534</v>
      </c>
      <c r="AN6" s="62"/>
      <c r="AO6" s="198">
        <f t="shared" si="67"/>
        <v>482.68000000000029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6">
        <f t="shared" si="11"/>
        <v>0</v>
      </c>
      <c r="AY6" s="217">
        <f t="shared" si="12"/>
        <v>0</v>
      </c>
      <c r="AZ6" s="114" t="s">
        <v>402</v>
      </c>
      <c r="BA6" s="112"/>
      <c r="BB6" s="129"/>
      <c r="BC6" s="115"/>
      <c r="BD6" s="218">
        <f t="shared" si="13"/>
        <v>0</v>
      </c>
      <c r="BE6" s="220">
        <f t="shared" si="14"/>
        <v>0</v>
      </c>
      <c r="BF6" s="116" t="s">
        <v>403</v>
      </c>
      <c r="BG6" s="112"/>
      <c r="BH6" s="115"/>
      <c r="BI6" s="221">
        <f t="shared" si="15"/>
        <v>0</v>
      </c>
      <c r="BJ6" s="222">
        <f t="shared" si="16"/>
        <v>0</v>
      </c>
      <c r="DE6" s="117">
        <f t="shared" si="17"/>
        <v>1963.4004210268401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-25366.69</v>
      </c>
      <c r="EU6" s="72"/>
      <c r="EV6" s="117">
        <f t="shared" si="55"/>
        <v>1963.4004210268401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-25366.69</v>
      </c>
    </row>
    <row r="7" spans="1:193" ht="15">
      <c r="A7" s="440" t="s">
        <v>401</v>
      </c>
      <c r="B7" s="203"/>
      <c r="C7" s="200"/>
      <c r="D7" s="452"/>
      <c r="E7" s="453">
        <f t="shared" si="0"/>
        <v>0</v>
      </c>
      <c r="F7" s="454">
        <f t="shared" si="1"/>
        <v>0</v>
      </c>
      <c r="G7" s="202" t="str">
        <f t="shared" si="2"/>
        <v/>
      </c>
      <c r="H7" s="458">
        <f t="shared" si="58"/>
        <v>0</v>
      </c>
      <c r="I7" s="459">
        <f t="shared" si="3"/>
        <v>0</v>
      </c>
      <c r="J7" s="62"/>
      <c r="K7" s="106">
        <f>IFERROR(-1+(L7/$L$18),"")</f>
        <v>-0.28469859691191979</v>
      </c>
      <c r="L7" s="629">
        <f t="shared" si="4"/>
        <v>2024.124145388495</v>
      </c>
      <c r="M7" s="482">
        <f t="shared" si="5"/>
        <v>-25366.69</v>
      </c>
      <c r="N7" s="482">
        <f t="shared" ca="1" si="6"/>
        <v>-25366.69</v>
      </c>
      <c r="O7" s="62"/>
      <c r="P7" s="198">
        <f t="shared" si="59"/>
        <v>620.25</v>
      </c>
      <c r="Q7" s="450">
        <f t="shared" si="7"/>
        <v>0</v>
      </c>
      <c r="R7" s="449">
        <v>3450</v>
      </c>
      <c r="S7" s="443">
        <f t="shared" ca="1" si="60"/>
        <v>23.330288519802423</v>
      </c>
      <c r="T7" s="345" t="str">
        <f t="shared" si="61"/>
        <v>MERV - XMEV - GFGC3450AB - 24hs</v>
      </c>
      <c r="U7" s="345" t="str">
        <f t="shared" si="62"/>
        <v>GFGC3450AB</v>
      </c>
      <c r="V7" s="343">
        <f>IFERROR(VLOOKUP($U7,HomeBroker!$A$30:$F$60,2,0),0)</f>
        <v>0</v>
      </c>
      <c r="W7" s="446">
        <f>IFERROR(VLOOKUP($U7,HomeBroker!$A$30:$F$60,3,0),0)</f>
        <v>12.5</v>
      </c>
      <c r="X7" s="626">
        <f>IFERROR(VLOOKUP($U7,HomeBroker!$A$30:$F$60,6,0),0)</f>
        <v>12.5</v>
      </c>
      <c r="Y7" s="445">
        <f>IFERROR(VLOOKUP($U7,HomeBroker!$A$30:$F$60,4,0),0)</f>
        <v>0</v>
      </c>
      <c r="Z7" s="343">
        <f>IFERROR(VLOOKUP($U7,HomeBroker!$A$30:$F$60,5,0),0)</f>
        <v>0</v>
      </c>
      <c r="AA7" s="346">
        <f>IFERROR(VLOOKUP($U7,HomeBroker!$A$30:$N$60,13,0),0)</f>
        <v>0</v>
      </c>
      <c r="AB7" s="199">
        <f t="shared" si="63"/>
        <v>-429.75</v>
      </c>
      <c r="AC7" s="451">
        <f t="shared" si="9"/>
        <v>0</v>
      </c>
      <c r="AD7" s="449">
        <v>2400</v>
      </c>
      <c r="AE7" s="444">
        <f t="shared" ca="1" si="64"/>
        <v>21.35329150756661</v>
      </c>
      <c r="AF7" s="345" t="str">
        <f t="shared" si="65"/>
        <v>MERV - XMEV - GFGV2400AB - 24hs</v>
      </c>
      <c r="AG7" s="345" t="str">
        <f t="shared" si="66"/>
        <v>GFGV2400AB</v>
      </c>
      <c r="AH7" s="408">
        <f>IFERROR(VLOOKUP($AG7,HomeBroker!$A$30:$F$60,2,0),0)</f>
        <v>15</v>
      </c>
      <c r="AI7" s="446">
        <f>IFERROR(VLOOKUP($AG7,HomeBroker!$A$30:$F$60,3,0),0)</f>
        <v>15.5</v>
      </c>
      <c r="AJ7" s="626">
        <f>IFERROR(VLOOKUP($AG7,HomeBroker!$A$30:$F$60,6,0),0)</f>
        <v>16</v>
      </c>
      <c r="AK7" s="446">
        <f>IFERROR(VLOOKUP($AG7,HomeBroker!$A$30:$F$60,4,0),0)</f>
        <v>16.2</v>
      </c>
      <c r="AL7" s="408">
        <f>IFERROR(VLOOKUP($AG7,HomeBroker!$A$30:$F$60,5,0),0)</f>
        <v>20</v>
      </c>
      <c r="AM7" s="448">
        <f>IFERROR(VLOOKUP($AG7,HomeBroker!$A$30:$N$60,13,0),0)</f>
        <v>3525</v>
      </c>
      <c r="AN7" s="62"/>
      <c r="AO7" s="198">
        <f t="shared" si="67"/>
        <v>616.75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6">
        <f t="shared" si="11"/>
        <v>0</v>
      </c>
      <c r="AY7" s="217">
        <f t="shared" si="12"/>
        <v>0</v>
      </c>
      <c r="AZ7" s="114" t="s">
        <v>402</v>
      </c>
      <c r="BA7" s="112"/>
      <c r="BB7" s="129"/>
      <c r="BC7" s="115"/>
      <c r="BD7" s="218">
        <f t="shared" si="13"/>
        <v>0</v>
      </c>
      <c r="BE7" s="220">
        <f t="shared" si="14"/>
        <v>0</v>
      </c>
      <c r="BF7" s="116" t="s">
        <v>403</v>
      </c>
      <c r="BG7" s="112"/>
      <c r="BH7" s="115"/>
      <c r="BI7" s="221">
        <f t="shared" si="15"/>
        <v>0</v>
      </c>
      <c r="BJ7" s="222">
        <f t="shared" si="16"/>
        <v>0</v>
      </c>
      <c r="DE7" s="117">
        <f t="shared" si="17"/>
        <v>2024.124145388495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-25366.69</v>
      </c>
      <c r="EU7" s="72"/>
      <c r="EV7" s="117">
        <f t="shared" si="55"/>
        <v>2024.124145388495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-25366.69</v>
      </c>
    </row>
    <row r="8" spans="1:193" ht="15">
      <c r="A8" s="440" t="s">
        <v>401</v>
      </c>
      <c r="B8" s="203"/>
      <c r="C8" s="200"/>
      <c r="D8" s="452"/>
      <c r="E8" s="453">
        <f t="shared" si="0"/>
        <v>0</v>
      </c>
      <c r="F8" s="454">
        <f t="shared" si="1"/>
        <v>0</v>
      </c>
      <c r="G8" s="202" t="str">
        <f t="shared" si="2"/>
        <v/>
      </c>
      <c r="H8" s="458">
        <f t="shared" si="58"/>
        <v>0</v>
      </c>
      <c r="I8" s="459">
        <f t="shared" si="3"/>
        <v>0</v>
      </c>
      <c r="J8" s="62"/>
      <c r="K8" s="422"/>
      <c r="L8" s="630">
        <f t="shared" si="4"/>
        <v>2086.7259230809227</v>
      </c>
      <c r="M8" s="482">
        <f t="shared" si="5"/>
        <v>-25366.69</v>
      </c>
      <c r="N8" s="482">
        <f t="shared" ca="1" si="6"/>
        <v>-25366.69</v>
      </c>
      <c r="O8" s="62"/>
      <c r="P8" s="198">
        <f t="shared" si="59"/>
        <v>770.25</v>
      </c>
      <c r="Q8" s="450">
        <f t="shared" si="7"/>
        <v>0</v>
      </c>
      <c r="R8" s="449">
        <v>3600</v>
      </c>
      <c r="S8" s="443">
        <f t="shared" ca="1" si="60"/>
        <v>11.945761869321814</v>
      </c>
      <c r="T8" s="345" t="str">
        <f t="shared" si="61"/>
        <v>MERV - XMEV - GFGC3600AB - 24hs</v>
      </c>
      <c r="U8" s="345" t="str">
        <f t="shared" si="62"/>
        <v>GFGC3600AB</v>
      </c>
      <c r="V8" s="343">
        <f>IFERROR(VLOOKUP($U8,HomeBroker!$A$30:$F$60,2,0),0)</f>
        <v>0</v>
      </c>
      <c r="W8" s="446">
        <f>IFERROR(VLOOKUP($U8,HomeBroker!$A$30:$F$60,3,0),0)</f>
        <v>8.15</v>
      </c>
      <c r="X8" s="626">
        <f>IFERROR(VLOOKUP($U8,HomeBroker!$A$30:$F$60,6,0),0)</f>
        <v>8.15</v>
      </c>
      <c r="Y8" s="445">
        <f>IFERROR(VLOOKUP($U8,HomeBroker!$A$30:$F$60,4,0),0)</f>
        <v>0</v>
      </c>
      <c r="Z8" s="343">
        <f>IFERROR(VLOOKUP($U8,HomeBroker!$A$30:$F$60,5,0),0)</f>
        <v>0</v>
      </c>
      <c r="AA8" s="346">
        <f>IFERROR(VLOOKUP($U8,HomeBroker!$A$30:$N$60,13,0),0)</f>
        <v>0</v>
      </c>
      <c r="AB8" s="199">
        <f t="shared" si="63"/>
        <v>-329.75</v>
      </c>
      <c r="AC8" s="451">
        <f t="shared" si="9"/>
        <v>0</v>
      </c>
      <c r="AD8" s="449">
        <v>2500</v>
      </c>
      <c r="AE8" s="444">
        <f t="shared" ca="1" si="64"/>
        <v>35.807319918333405</v>
      </c>
      <c r="AF8" s="345" t="str">
        <f t="shared" si="65"/>
        <v>MERV - XMEV - GFGV2500AB - 24hs</v>
      </c>
      <c r="AG8" s="345" t="str">
        <f t="shared" si="66"/>
        <v>GFGV2500AB</v>
      </c>
      <c r="AH8" s="408">
        <f>IFERROR(VLOOKUP($AG8,HomeBroker!$A$30:$F$60,2,0),0)</f>
        <v>20</v>
      </c>
      <c r="AI8" s="446">
        <f>IFERROR(VLOOKUP($AG8,HomeBroker!$A$30:$F$60,3,0),0)</f>
        <v>25.5</v>
      </c>
      <c r="AJ8" s="626">
        <f>IFERROR(VLOOKUP($AG8,HomeBroker!$A$30:$F$60,6,0),0)</f>
        <v>25.001000000000001</v>
      </c>
      <c r="AK8" s="446">
        <f>IFERROR(VLOOKUP($AG8,HomeBroker!$A$30:$F$60,4,0),0)</f>
        <v>25.898</v>
      </c>
      <c r="AL8" s="408">
        <f>IFERROR(VLOOKUP($AG8,HomeBroker!$A$30:$F$60,5,0),0)</f>
        <v>1</v>
      </c>
      <c r="AM8" s="448">
        <f>IFERROR(VLOOKUP($AG8,HomeBroker!$A$30:$N$60,13,0),0)</f>
        <v>4786</v>
      </c>
      <c r="AN8" s="62"/>
      <c r="AO8" s="198">
        <f t="shared" si="67"/>
        <v>753.39899999999989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6">
        <f t="shared" si="11"/>
        <v>0</v>
      </c>
      <c r="AY8" s="217">
        <f t="shared" si="12"/>
        <v>0</v>
      </c>
      <c r="AZ8" s="114" t="s">
        <v>402</v>
      </c>
      <c r="BA8" s="112"/>
      <c r="BB8" s="129"/>
      <c r="BC8" s="115"/>
      <c r="BD8" s="218">
        <f t="shared" si="13"/>
        <v>0</v>
      </c>
      <c r="BE8" s="220">
        <f t="shared" si="14"/>
        <v>0</v>
      </c>
      <c r="BF8" s="116" t="s">
        <v>403</v>
      </c>
      <c r="BG8" s="112"/>
      <c r="BH8" s="115"/>
      <c r="BI8" s="221">
        <f t="shared" si="15"/>
        <v>0</v>
      </c>
      <c r="BJ8" s="222">
        <f t="shared" si="16"/>
        <v>0</v>
      </c>
      <c r="DE8" s="117">
        <f t="shared" si="17"/>
        <v>2086.7259230809227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-25366.69</v>
      </c>
      <c r="EU8" s="72"/>
      <c r="EV8" s="117">
        <f t="shared" si="55"/>
        <v>2086.7259230809227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-25366.69</v>
      </c>
    </row>
    <row r="9" spans="1:193" ht="15">
      <c r="A9" s="440" t="s">
        <v>401</v>
      </c>
      <c r="B9" s="203"/>
      <c r="C9" s="200"/>
      <c r="D9" s="452"/>
      <c r="E9" s="453">
        <f t="shared" si="0"/>
        <v>0</v>
      </c>
      <c r="F9" s="454">
        <f t="shared" si="1"/>
        <v>0</v>
      </c>
      <c r="G9" s="202" t="str">
        <f t="shared" si="2"/>
        <v/>
      </c>
      <c r="H9" s="458">
        <f t="shared" si="58"/>
        <v>0</v>
      </c>
      <c r="I9" s="459">
        <f t="shared" si="3"/>
        <v>0</v>
      </c>
      <c r="J9" s="62"/>
      <c r="K9" s="423"/>
      <c r="L9" s="630">
        <f t="shared" si="4"/>
        <v>2151.2638382277555</v>
      </c>
      <c r="M9" s="483">
        <f t="shared" si="5"/>
        <v>-25366.69</v>
      </c>
      <c r="N9" s="483">
        <f t="shared" ca="1" si="6"/>
        <v>-25366.69</v>
      </c>
      <c r="O9" s="62"/>
      <c r="P9" s="198">
        <f t="shared" si="59"/>
        <v>920.25</v>
      </c>
      <c r="Q9" s="450">
        <f t="shared" si="7"/>
        <v>0</v>
      </c>
      <c r="R9" s="449">
        <v>3750</v>
      </c>
      <c r="S9" s="443">
        <f t="shared" ca="1" si="60"/>
        <v>5.8359999363951403</v>
      </c>
      <c r="T9" s="345" t="str">
        <f t="shared" si="61"/>
        <v>MERV - XMEV - GFGC3750AB - 24hs</v>
      </c>
      <c r="U9" s="345" t="str">
        <f t="shared" si="62"/>
        <v>GFGC3750AB</v>
      </c>
      <c r="V9" s="343">
        <f>IFERROR(VLOOKUP($U9,HomeBroker!$A$30:$F$60,2,0),0)</f>
        <v>0</v>
      </c>
      <c r="W9" s="446">
        <f>IFERROR(VLOOKUP($U9,HomeBroker!$A$30:$F$60,3,0),0)</f>
        <v>5.59</v>
      </c>
      <c r="X9" s="626">
        <f>IFERROR(VLOOKUP($U9,HomeBroker!$A$30:$F$60,6,0),0)</f>
        <v>5.59</v>
      </c>
      <c r="Y9" s="445">
        <f>IFERROR(VLOOKUP($U9,HomeBroker!$A$30:$F$60,4,0),0)</f>
        <v>0</v>
      </c>
      <c r="Z9" s="343">
        <f>IFERROR(VLOOKUP($U9,HomeBroker!$A$30:$F$60,5,0),0)</f>
        <v>0</v>
      </c>
      <c r="AA9" s="346">
        <f>IFERROR(VLOOKUP($U9,HomeBroker!$A$30:$N$60,13,0),0)</f>
        <v>0</v>
      </c>
      <c r="AB9" s="199">
        <f t="shared" si="63"/>
        <v>-229.75</v>
      </c>
      <c r="AC9" s="451">
        <f t="shared" si="9"/>
        <v>0</v>
      </c>
      <c r="AD9" s="449">
        <v>2600</v>
      </c>
      <c r="AE9" s="444">
        <f t="shared" ca="1" si="64"/>
        <v>56.410943263335753</v>
      </c>
      <c r="AF9" s="345" t="str">
        <f t="shared" si="65"/>
        <v>MERV - XMEV - GFGV2600AB - 24hs</v>
      </c>
      <c r="AG9" s="345" t="str">
        <f t="shared" si="66"/>
        <v>GFGV2600AB</v>
      </c>
      <c r="AH9" s="408">
        <f>IFERROR(VLOOKUP($AG9,HomeBroker!$A$30:$F$60,2,0),0)</f>
        <v>10</v>
      </c>
      <c r="AI9" s="446">
        <f>IFERROR(VLOOKUP($AG9,HomeBroker!$A$30:$F$60,3,0),0)</f>
        <v>38.200000000000003</v>
      </c>
      <c r="AJ9" s="626">
        <f>IFERROR(VLOOKUP($AG9,HomeBroker!$A$30:$F$60,6,0),0)</f>
        <v>38.805999999999997</v>
      </c>
      <c r="AK9" s="446">
        <f>IFERROR(VLOOKUP($AG9,HomeBroker!$A$30:$F$60,4,0),0)</f>
        <v>41.634</v>
      </c>
      <c r="AL9" s="408">
        <f>IFERROR(VLOOKUP($AG9,HomeBroker!$A$30:$F$60,5,0),0)</f>
        <v>6</v>
      </c>
      <c r="AM9" s="448">
        <f>IFERROR(VLOOKUP($AG9,HomeBroker!$A$30:$N$60,13,0),0)</f>
        <v>2581</v>
      </c>
      <c r="AN9" s="62"/>
      <c r="AO9" s="198">
        <f t="shared" si="67"/>
        <v>887.03400000000011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6">
        <f t="shared" si="11"/>
        <v>0</v>
      </c>
      <c r="AY9" s="217">
        <f t="shared" si="12"/>
        <v>0</v>
      </c>
      <c r="AZ9" s="114" t="s">
        <v>402</v>
      </c>
      <c r="BA9" s="112"/>
      <c r="BB9" s="129"/>
      <c r="BC9" s="115"/>
      <c r="BD9" s="218">
        <f t="shared" si="13"/>
        <v>0</v>
      </c>
      <c r="BE9" s="220">
        <f t="shared" si="14"/>
        <v>0</v>
      </c>
      <c r="BF9" s="116" t="s">
        <v>403</v>
      </c>
      <c r="BG9" s="112"/>
      <c r="BH9" s="115"/>
      <c r="BI9" s="221">
        <f t="shared" si="15"/>
        <v>0</v>
      </c>
      <c r="BJ9" s="222">
        <f t="shared" si="16"/>
        <v>0</v>
      </c>
      <c r="DE9" s="117">
        <f t="shared" si="17"/>
        <v>2151.2638382277555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-25366.69</v>
      </c>
      <c r="EU9" s="72"/>
      <c r="EV9" s="117">
        <f t="shared" si="55"/>
        <v>2151.2638382277555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-25366.69</v>
      </c>
    </row>
    <row r="10" spans="1:193" ht="15">
      <c r="A10" s="440" t="s">
        <v>401</v>
      </c>
      <c r="B10" s="203"/>
      <c r="C10" s="200"/>
      <c r="D10" s="452"/>
      <c r="E10" s="453">
        <f t="shared" si="0"/>
        <v>0</v>
      </c>
      <c r="F10" s="454">
        <f t="shared" si="1"/>
        <v>0</v>
      </c>
      <c r="G10" s="202" t="str">
        <f t="shared" si="2"/>
        <v/>
      </c>
      <c r="H10" s="458">
        <f t="shared" si="58"/>
        <v>0</v>
      </c>
      <c r="I10" s="459">
        <f t="shared" si="3"/>
        <v>0</v>
      </c>
      <c r="J10" s="62"/>
      <c r="K10" s="423"/>
      <c r="L10" s="630">
        <f t="shared" si="4"/>
        <v>2217.7977713688201</v>
      </c>
      <c r="M10" s="482">
        <f t="shared" si="5"/>
        <v>-25366.69</v>
      </c>
      <c r="N10" s="482">
        <f t="shared" ca="1" si="6"/>
        <v>-25366.69</v>
      </c>
      <c r="O10" s="62"/>
      <c r="P10" s="198">
        <f t="shared" si="59"/>
        <v>1070.25</v>
      </c>
      <c r="Q10" s="450">
        <f t="shared" si="7"/>
        <v>0</v>
      </c>
      <c r="R10" s="449">
        <v>3900</v>
      </c>
      <c r="S10" s="443">
        <f t="shared" ca="1" si="60"/>
        <v>2.7314868520509279</v>
      </c>
      <c r="T10" s="345" t="str">
        <f t="shared" si="61"/>
        <v>MERV - XMEV - GFGC3900AB - 24hs</v>
      </c>
      <c r="U10" s="345" t="str">
        <f t="shared" si="62"/>
        <v>GFGC3900AB</v>
      </c>
      <c r="V10" s="343">
        <f>IFERROR(VLOOKUP($U10,HomeBroker!$A$30:$F$60,2,0),0)</f>
        <v>0</v>
      </c>
      <c r="W10" s="446">
        <f>IFERROR(VLOOKUP($U10,HomeBroker!$A$30:$F$60,3,0),0)</f>
        <v>4.3899999999999997</v>
      </c>
      <c r="X10" s="626">
        <f>IFERROR(VLOOKUP($U10,HomeBroker!$A$30:$F$60,6,0),0)</f>
        <v>4.3899999999999997</v>
      </c>
      <c r="Y10" s="445">
        <f>IFERROR(VLOOKUP($U10,HomeBroker!$A$30:$F$60,4,0),0)</f>
        <v>0</v>
      </c>
      <c r="Z10" s="343">
        <f>IFERROR(VLOOKUP($U10,HomeBroker!$A$30:$F$60,5,0),0)</f>
        <v>0</v>
      </c>
      <c r="AA10" s="346">
        <f>IFERROR(VLOOKUP($U10,HomeBroker!$A$30:$N$60,13,0),0)</f>
        <v>0</v>
      </c>
      <c r="AB10" s="199">
        <f t="shared" si="63"/>
        <v>-129.75</v>
      </c>
      <c r="AC10" s="451">
        <f t="shared" si="9"/>
        <v>0</v>
      </c>
      <c r="AD10" s="449">
        <v>2700</v>
      </c>
      <c r="AE10" s="444">
        <f t="shared" ca="1" si="64"/>
        <v>84.15871090304347</v>
      </c>
      <c r="AF10" s="345" t="str">
        <f t="shared" si="65"/>
        <v>MERV - XMEV - GFGV2700AB - 24hs</v>
      </c>
      <c r="AG10" s="345" t="str">
        <f t="shared" si="66"/>
        <v>GFGV2700AB</v>
      </c>
      <c r="AH10" s="408">
        <f>IFERROR(VLOOKUP($AG10,HomeBroker!$A$30:$F$60,2,0),0)</f>
        <v>8</v>
      </c>
      <c r="AI10" s="446">
        <f>IFERROR(VLOOKUP($AG10,HomeBroker!$A$30:$F$60,3,0),0)</f>
        <v>58.000999999999998</v>
      </c>
      <c r="AJ10" s="626">
        <f>IFERROR(VLOOKUP($AG10,HomeBroker!$A$30:$F$60,6,0),0)</f>
        <v>59</v>
      </c>
      <c r="AK10" s="446">
        <f>IFERROR(VLOOKUP($AG10,HomeBroker!$A$30:$F$60,4,0),0)</f>
        <v>61</v>
      </c>
      <c r="AL10" s="408">
        <f>IFERROR(VLOOKUP($AG10,HomeBroker!$A$30:$F$60,5,0),0)</f>
        <v>10</v>
      </c>
      <c r="AM10" s="448">
        <f>IFERROR(VLOOKUP($AG10,HomeBroker!$A$30:$N$60,13,0),0)</f>
        <v>2283</v>
      </c>
      <c r="AN10" s="62"/>
      <c r="AO10" s="198">
        <f t="shared" si="67"/>
        <v>1015.6399999999999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6">
        <f t="shared" si="11"/>
        <v>0</v>
      </c>
      <c r="AY10" s="217">
        <f t="shared" si="12"/>
        <v>0</v>
      </c>
      <c r="AZ10" s="114" t="s">
        <v>402</v>
      </c>
      <c r="BA10" s="112"/>
      <c r="BB10" s="129"/>
      <c r="BC10" s="115"/>
      <c r="BD10" s="218">
        <f t="shared" si="13"/>
        <v>0</v>
      </c>
      <c r="BE10" s="220">
        <f t="shared" si="14"/>
        <v>0</v>
      </c>
      <c r="BF10" s="116" t="s">
        <v>403</v>
      </c>
      <c r="BG10" s="112"/>
      <c r="BH10" s="115"/>
      <c r="BI10" s="221">
        <f t="shared" si="15"/>
        <v>0</v>
      </c>
      <c r="BJ10" s="222">
        <f t="shared" si="16"/>
        <v>0</v>
      </c>
      <c r="DE10" s="117">
        <f t="shared" si="17"/>
        <v>2217.7977713688201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-25366.69</v>
      </c>
      <c r="EU10" s="72"/>
      <c r="EV10" s="117">
        <f t="shared" si="55"/>
        <v>2217.7977713688201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-25366.69</v>
      </c>
    </row>
    <row r="11" spans="1:193" ht="15">
      <c r="A11" s="440" t="s">
        <v>401</v>
      </c>
      <c r="B11" s="203"/>
      <c r="C11" s="200"/>
      <c r="D11" s="452"/>
      <c r="E11" s="453">
        <f t="shared" si="0"/>
        <v>0</v>
      </c>
      <c r="F11" s="454">
        <f t="shared" si="1"/>
        <v>0</v>
      </c>
      <c r="G11" s="202" t="str">
        <f t="shared" si="2"/>
        <v/>
      </c>
      <c r="H11" s="458">
        <f t="shared" si="58"/>
        <v>0</v>
      </c>
      <c r="I11" s="459">
        <f t="shared" si="3"/>
        <v>0</v>
      </c>
      <c r="J11" s="62"/>
      <c r="K11" s="423"/>
      <c r="L11" s="630">
        <f t="shared" si="4"/>
        <v>2286.3894550194022</v>
      </c>
      <c r="M11" s="482">
        <f t="shared" si="5"/>
        <v>-25366.69</v>
      </c>
      <c r="N11" s="482">
        <f t="shared" ca="1" si="6"/>
        <v>-25366.69</v>
      </c>
      <c r="O11" s="62"/>
      <c r="P11" s="198">
        <f t="shared" si="59"/>
        <v>1220.25</v>
      </c>
      <c r="Q11" s="450">
        <f t="shared" si="7"/>
        <v>0</v>
      </c>
      <c r="R11" s="449">
        <v>4050</v>
      </c>
      <c r="S11" s="443">
        <f t="shared" ca="1" si="60"/>
        <v>1.2296921731690276</v>
      </c>
      <c r="T11" s="345" t="str">
        <f t="shared" si="61"/>
        <v>MERV - XMEV - GFGC4050AB - 24hs</v>
      </c>
      <c r="U11" s="345" t="str">
        <f t="shared" si="62"/>
        <v>GFGC4050AB</v>
      </c>
      <c r="V11" s="343">
        <f>IFERROR(VLOOKUP($U11,HomeBroker!$A$30:$F$60,2,0),0)</f>
        <v>0</v>
      </c>
      <c r="W11" s="446">
        <f>IFERROR(VLOOKUP($U11,HomeBroker!$A$30:$F$60,3,0),0)</f>
        <v>3.36</v>
      </c>
      <c r="X11" s="626">
        <f>IFERROR(VLOOKUP($U11,HomeBroker!$A$30:$F$60,6,0),0)</f>
        <v>3.36</v>
      </c>
      <c r="Y11" s="445">
        <f>IFERROR(VLOOKUP($U11,HomeBroker!$A$30:$F$60,4,0),0)</f>
        <v>0</v>
      </c>
      <c r="Z11" s="343">
        <f>IFERROR(VLOOKUP($U11,HomeBroker!$A$30:$F$60,5,0),0)</f>
        <v>0</v>
      </c>
      <c r="AA11" s="346">
        <f>IFERROR(VLOOKUP($U11,HomeBroker!$A$30:$N$60,13,0),0)</f>
        <v>0</v>
      </c>
      <c r="AB11" s="199">
        <f t="shared" si="63"/>
        <v>70.25</v>
      </c>
      <c r="AC11" s="451">
        <f t="shared" si="9"/>
        <v>0</v>
      </c>
      <c r="AD11" s="449">
        <v>2900</v>
      </c>
      <c r="AE11" s="444">
        <f t="shared" ca="1" si="64"/>
        <v>163.42406454386446</v>
      </c>
      <c r="AF11" s="345" t="str">
        <f t="shared" si="65"/>
        <v>MERV - XMEV - GFGV2900AB - 24hs</v>
      </c>
      <c r="AG11" s="345" t="str">
        <f t="shared" si="66"/>
        <v>GFGV2900AB</v>
      </c>
      <c r="AH11" s="408">
        <f>IFERROR(VLOOKUP($AG11,HomeBroker!$A$30:$F$60,2,0),0)</f>
        <v>6</v>
      </c>
      <c r="AI11" s="446">
        <f>IFERROR(VLOOKUP($AG11,HomeBroker!$A$30:$F$60,3,0),0)</f>
        <v>136.001</v>
      </c>
      <c r="AJ11" s="626">
        <f>IFERROR(VLOOKUP($AG11,HomeBroker!$A$30:$F$60,6,0),0)</f>
        <v>140</v>
      </c>
      <c r="AK11" s="446">
        <f>IFERROR(VLOOKUP($AG11,HomeBroker!$A$30:$F$60,4,0),0)</f>
        <v>145</v>
      </c>
      <c r="AL11" s="408">
        <f>IFERROR(VLOOKUP($AG11,HomeBroker!$A$30:$F$60,5,0),0)</f>
        <v>25</v>
      </c>
      <c r="AM11" s="448">
        <f>IFERROR(VLOOKUP($AG11,HomeBroker!$A$30:$N$60,13,0),0)</f>
        <v>225</v>
      </c>
      <c r="AN11" s="62"/>
      <c r="AO11" s="198">
        <f t="shared" si="67"/>
        <v>1083.6100000000001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6">
        <f t="shared" si="11"/>
        <v>0</v>
      </c>
      <c r="AY11" s="217">
        <f t="shared" si="12"/>
        <v>0</v>
      </c>
      <c r="AZ11" s="114" t="s">
        <v>402</v>
      </c>
      <c r="BA11" s="112"/>
      <c r="BB11" s="129"/>
      <c r="BC11" s="115"/>
      <c r="BD11" s="218">
        <f t="shared" si="13"/>
        <v>0</v>
      </c>
      <c r="BE11" s="220">
        <f t="shared" si="14"/>
        <v>0</v>
      </c>
      <c r="BF11" s="116" t="s">
        <v>403</v>
      </c>
      <c r="BG11" s="112"/>
      <c r="BH11" s="115"/>
      <c r="BI11" s="221">
        <f t="shared" si="15"/>
        <v>0</v>
      </c>
      <c r="BJ11" s="222">
        <f t="shared" si="16"/>
        <v>0</v>
      </c>
      <c r="DE11" s="117">
        <f t="shared" si="17"/>
        <v>2286.3894550194022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-25366.69</v>
      </c>
      <c r="EU11" s="72"/>
      <c r="EV11" s="117">
        <f t="shared" si="55"/>
        <v>2286.3894550194022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-25366.69</v>
      </c>
    </row>
    <row r="12" spans="1:193" ht="15">
      <c r="A12" s="440" t="s">
        <v>401</v>
      </c>
      <c r="B12" s="203"/>
      <c r="C12" s="200"/>
      <c r="D12" s="452"/>
      <c r="E12" s="453">
        <f t="shared" si="0"/>
        <v>0</v>
      </c>
      <c r="F12" s="454">
        <f t="shared" si="1"/>
        <v>0</v>
      </c>
      <c r="G12" s="202" t="str">
        <f t="shared" si="2"/>
        <v/>
      </c>
      <c r="H12" s="458">
        <f t="shared" si="58"/>
        <v>0</v>
      </c>
      <c r="I12" s="459">
        <f t="shared" si="3"/>
        <v>0</v>
      </c>
      <c r="J12" s="62"/>
      <c r="K12" s="423">
        <f>IFERROR(-1+(L12/$L$18),"")</f>
        <v>-0.16702799507100019</v>
      </c>
      <c r="L12" s="630">
        <f t="shared" si="4"/>
        <v>2357.1025309478373</v>
      </c>
      <c r="M12" s="483">
        <f t="shared" si="5"/>
        <v>-25366.69</v>
      </c>
      <c r="N12" s="483">
        <f t="shared" ca="1" si="6"/>
        <v>-25366.69</v>
      </c>
      <c r="O12" s="62"/>
      <c r="P12" s="198">
        <f t="shared" si="59"/>
        <v>1370.25</v>
      </c>
      <c r="Q12" s="450">
        <f t="shared" si="7"/>
        <v>0</v>
      </c>
      <c r="R12" s="449">
        <v>4200</v>
      </c>
      <c r="S12" s="443">
        <f t="shared" ca="1" si="60"/>
        <v>0.53450689875480606</v>
      </c>
      <c r="T12" s="345" t="str">
        <f t="shared" si="61"/>
        <v>MERV - XMEV - GFGC4200AB - 24hs</v>
      </c>
      <c r="U12" s="345" t="str">
        <f t="shared" si="62"/>
        <v>GFGC4200AB</v>
      </c>
      <c r="V12" s="343">
        <f>IFERROR(VLOOKUP($U12,HomeBroker!$A$30:$F$60,2,0),0)</f>
        <v>0</v>
      </c>
      <c r="W12" s="446">
        <f>IFERROR(VLOOKUP($U12,HomeBroker!$A$30:$F$60,3,0),0)</f>
        <v>3.18</v>
      </c>
      <c r="X12" s="626">
        <f>IFERROR(VLOOKUP($U12,HomeBroker!$A$30:$F$60,6,0),0)</f>
        <v>3.18</v>
      </c>
      <c r="Y12" s="445">
        <f>IFERROR(VLOOKUP($U12,HomeBroker!$A$30:$F$60,4,0),0)</f>
        <v>0</v>
      </c>
      <c r="Z12" s="343">
        <f>IFERROR(VLOOKUP($U12,HomeBroker!$A$30:$F$60,5,0),0)</f>
        <v>0</v>
      </c>
      <c r="AA12" s="346">
        <f>IFERROR(VLOOKUP($U12,HomeBroker!$A$30:$N$60,13,0),0)</f>
        <v>0</v>
      </c>
      <c r="AB12" s="199">
        <f t="shared" si="63"/>
        <v>170.25</v>
      </c>
      <c r="AC12" s="451">
        <f t="shared" si="9"/>
        <v>0</v>
      </c>
      <c r="AD12" s="449">
        <v>3000</v>
      </c>
      <c r="AE12" s="444">
        <f t="shared" ca="1" si="64"/>
        <v>215.16222563094288</v>
      </c>
      <c r="AF12" s="345" t="str">
        <f t="shared" si="65"/>
        <v>MERV - XMEV - GFGV3000AB - 24hs</v>
      </c>
      <c r="AG12" s="345" t="str">
        <f t="shared" si="66"/>
        <v>GFGV3000AB</v>
      </c>
      <c r="AH12" s="408">
        <f>IFERROR(VLOOKUP($AG12,HomeBroker!$A$30:$F$60,2,0),0)</f>
        <v>10</v>
      </c>
      <c r="AI12" s="446">
        <f>IFERROR(VLOOKUP($AG12,HomeBroker!$A$30:$F$60,3,0),0)</f>
        <v>190</v>
      </c>
      <c r="AJ12" s="626">
        <f>IFERROR(VLOOKUP($AG12,HomeBroker!$A$30:$F$60,6,0),0)</f>
        <v>205</v>
      </c>
      <c r="AK12" s="446">
        <f>IFERROR(VLOOKUP($AG12,HomeBroker!$A$30:$F$60,4,0),0)</f>
        <v>205</v>
      </c>
      <c r="AL12" s="408">
        <f>IFERROR(VLOOKUP($AG12,HomeBroker!$A$30:$F$60,5,0),0)</f>
        <v>7</v>
      </c>
      <c r="AM12" s="448">
        <f>IFERROR(VLOOKUP($AG12,HomeBroker!$A$30:$N$60,13,0),0)</f>
        <v>47</v>
      </c>
      <c r="AN12" s="62"/>
      <c r="AO12" s="198">
        <f t="shared" si="67"/>
        <v>1168.4300000000003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6">
        <f t="shared" si="11"/>
        <v>0</v>
      </c>
      <c r="AY12" s="217">
        <f t="shared" si="12"/>
        <v>0</v>
      </c>
      <c r="AZ12" s="114" t="s">
        <v>402</v>
      </c>
      <c r="BA12" s="112"/>
      <c r="BB12" s="129"/>
      <c r="BC12" s="115"/>
      <c r="BD12" s="218">
        <f t="shared" si="13"/>
        <v>0</v>
      </c>
      <c r="BE12" s="220">
        <f t="shared" si="14"/>
        <v>0</v>
      </c>
      <c r="BF12" s="116" t="s">
        <v>403</v>
      </c>
      <c r="BG12" s="112"/>
      <c r="BH12" s="115"/>
      <c r="BI12" s="221">
        <f t="shared" si="15"/>
        <v>0</v>
      </c>
      <c r="BJ12" s="222">
        <f t="shared" si="16"/>
        <v>0</v>
      </c>
      <c r="DE12" s="117">
        <f t="shared" si="17"/>
        <v>2357.1025309478373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-25366.69</v>
      </c>
      <c r="EU12" s="72"/>
      <c r="EV12" s="117">
        <f t="shared" si="55"/>
        <v>2357.1025309478373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-25366.69</v>
      </c>
    </row>
    <row r="13" spans="1:193" ht="15">
      <c r="A13" s="440" t="s">
        <v>401</v>
      </c>
      <c r="B13" s="203"/>
      <c r="C13" s="200"/>
      <c r="D13" s="452"/>
      <c r="E13" s="453">
        <f t="shared" si="0"/>
        <v>0</v>
      </c>
      <c r="F13" s="454">
        <f t="shared" si="1"/>
        <v>0</v>
      </c>
      <c r="G13" s="202" t="str">
        <f t="shared" si="2"/>
        <v/>
      </c>
      <c r="H13" s="458">
        <f t="shared" si="58"/>
        <v>0</v>
      </c>
      <c r="I13" s="459">
        <f t="shared" si="3"/>
        <v>0</v>
      </c>
      <c r="J13" s="62"/>
      <c r="K13" s="424">
        <f>IFERROR(-1+(L13/$L$18),"")</f>
        <v>-0.1412659743000001</v>
      </c>
      <c r="L13" s="631">
        <f t="shared" si="4"/>
        <v>2430.0026092245748</v>
      </c>
      <c r="M13" s="482">
        <f t="shared" si="5"/>
        <v>-25366.69</v>
      </c>
      <c r="N13" s="482">
        <f t="shared" ca="1" si="6"/>
        <v>-25366.69</v>
      </c>
      <c r="O13" s="62"/>
      <c r="P13" s="198" t="str">
        <f t="shared" si="59"/>
        <v>-</v>
      </c>
      <c r="Q13" s="450">
        <f t="shared" si="7"/>
        <v>0</v>
      </c>
      <c r="R13" s="449"/>
      <c r="S13" s="443">
        <f t="shared" ca="1" si="60"/>
        <v>0</v>
      </c>
      <c r="T13" s="345" t="str">
        <f t="shared" si="61"/>
        <v/>
      </c>
      <c r="U13" s="345" t="s">
        <v>629</v>
      </c>
      <c r="V13" s="343">
        <f>IFERROR(VLOOKUP($U13,HomeBroker!$A$30:$F$60,2,0),0)</f>
        <v>0</v>
      </c>
      <c r="W13" s="446">
        <f>IFERROR(VLOOKUP($U13,HomeBroker!$A$30:$F$60,3,0),0)</f>
        <v>0</v>
      </c>
      <c r="X13" s="626">
        <f>IFERROR(VLOOKUP($U13,HomeBroker!$A$30:$F$60,6,0),0)</f>
        <v>0</v>
      </c>
      <c r="Y13" s="445">
        <f>IFERROR(VLOOKUP($U13,HomeBroker!$A$30:$F$60,4,0),0)</f>
        <v>0</v>
      </c>
      <c r="Z13" s="343">
        <f>IFERROR(VLOOKUP($U13,HomeBroker!$A$30:$F$60,5,0),0)</f>
        <v>0</v>
      </c>
      <c r="AA13" s="346">
        <f>IFERROR(VLOOKUP($U13,HomeBroker!$A$30:$N$60,13,0),0)</f>
        <v>0</v>
      </c>
      <c r="AB13" s="199" t="str">
        <f t="shared" si="63"/>
        <v>-</v>
      </c>
      <c r="AC13" s="451">
        <f t="shared" si="9"/>
        <v>0</v>
      </c>
      <c r="AD13" s="449"/>
      <c r="AE13" s="444">
        <f t="shared" ca="1" si="64"/>
        <v>0</v>
      </c>
      <c r="AF13" s="345" t="str">
        <f t="shared" si="65"/>
        <v/>
      </c>
      <c r="AG13" s="345" t="str">
        <f t="shared" si="66"/>
        <v/>
      </c>
      <c r="AH13" s="408">
        <f>IFERROR(VLOOKUP($AG13,HomeBroker!$A$30:$F$60,2,0),0)</f>
        <v>0</v>
      </c>
      <c r="AI13" s="446">
        <f>IFERROR(VLOOKUP($AG13,HomeBroker!$A$30:$F$60,3,0),0)</f>
        <v>0</v>
      </c>
      <c r="AJ13" s="626">
        <f>IFERROR(VLOOKUP($AG13,HomeBroker!$A$30:$F$60,6,0),0)</f>
        <v>0</v>
      </c>
      <c r="AK13" s="446">
        <f>IFERROR(VLOOKUP($AG13,HomeBroker!$A$30:$F$60,4,0),0)</f>
        <v>0</v>
      </c>
      <c r="AL13" s="408">
        <f>IFERROR(VLOOKUP($AG13,HomeBroker!$A$30:$F$60,5,0),0)</f>
        <v>0</v>
      </c>
      <c r="AM13" s="448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6">
        <f t="shared" si="11"/>
        <v>0</v>
      </c>
      <c r="AY13" s="217">
        <f t="shared" si="12"/>
        <v>0</v>
      </c>
      <c r="AZ13" s="114" t="s">
        <v>402</v>
      </c>
      <c r="BA13" s="112"/>
      <c r="BB13" s="129"/>
      <c r="BC13" s="115"/>
      <c r="BD13" s="218">
        <f t="shared" si="13"/>
        <v>0</v>
      </c>
      <c r="BE13" s="220">
        <f t="shared" si="14"/>
        <v>0</v>
      </c>
      <c r="BF13" s="116" t="s">
        <v>403</v>
      </c>
      <c r="BG13" s="112"/>
      <c r="BH13" s="115"/>
      <c r="BI13" s="221">
        <f t="shared" si="15"/>
        <v>0</v>
      </c>
      <c r="BJ13" s="222">
        <f t="shared" si="16"/>
        <v>0</v>
      </c>
      <c r="DE13" s="117">
        <f t="shared" si="17"/>
        <v>2430.0026092245748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-25366.69</v>
      </c>
      <c r="EU13" s="72"/>
      <c r="EV13" s="117">
        <f t="shared" si="55"/>
        <v>2430.0026092245748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-25366.69</v>
      </c>
    </row>
    <row r="14" spans="1:193" ht="15">
      <c r="A14" s="440" t="s">
        <v>401</v>
      </c>
      <c r="B14" s="203"/>
      <c r="C14" s="200"/>
      <c r="D14" s="452"/>
      <c r="E14" s="453">
        <f t="shared" si="0"/>
        <v>0</v>
      </c>
      <c r="F14" s="454">
        <f t="shared" si="1"/>
        <v>0</v>
      </c>
      <c r="G14" s="202" t="str">
        <f t="shared" si="2"/>
        <v/>
      </c>
      <c r="H14" s="458">
        <f t="shared" si="58"/>
        <v>0</v>
      </c>
      <c r="I14" s="459">
        <f t="shared" si="3"/>
        <v>0</v>
      </c>
      <c r="J14" s="62"/>
      <c r="K14" s="425">
        <f>IFERROR(-1+(L14/$L$18),"")</f>
        <v>-0.11470719000000007</v>
      </c>
      <c r="L14" s="631">
        <f t="shared" si="4"/>
        <v>2505.1573290974998</v>
      </c>
      <c r="M14" s="482">
        <f t="shared" si="5"/>
        <v>-25366.69</v>
      </c>
      <c r="N14" s="482">
        <f t="shared" ca="1" si="6"/>
        <v>-25366.69</v>
      </c>
      <c r="O14" s="62"/>
      <c r="P14" s="198" t="str">
        <f t="shared" si="59"/>
        <v>-</v>
      </c>
      <c r="Q14" s="450">
        <f t="shared" si="7"/>
        <v>0</v>
      </c>
      <c r="R14" s="449"/>
      <c r="S14" s="443">
        <f t="shared" ca="1" si="60"/>
        <v>0</v>
      </c>
      <c r="T14" s="345" t="str">
        <f t="shared" si="61"/>
        <v/>
      </c>
      <c r="U14" s="345" t="s">
        <v>630</v>
      </c>
      <c r="V14" s="343">
        <f>IFERROR(VLOOKUP($U14,HomeBroker!$A$30:$F$60,2,0),0)</f>
        <v>0</v>
      </c>
      <c r="W14" s="446">
        <f>IFERROR(VLOOKUP($U14,HomeBroker!$A$30:$F$60,3,0),0)</f>
        <v>383.5</v>
      </c>
      <c r="X14" s="626">
        <f>IFERROR(VLOOKUP($U14,HomeBroker!$A$30:$F$60,6,0),0)</f>
        <v>383.5</v>
      </c>
      <c r="Y14" s="445">
        <f>IFERROR(VLOOKUP($U14,HomeBroker!$A$30:$F$60,4,0),0)</f>
        <v>0</v>
      </c>
      <c r="Z14" s="343">
        <f>IFERROR(VLOOKUP($U14,HomeBroker!$A$30:$F$60,5,0),0)</f>
        <v>0</v>
      </c>
      <c r="AA14" s="346">
        <f>IFERROR(VLOOKUP($U14,HomeBroker!$A$30:$N$60,13,0),0)</f>
        <v>0</v>
      </c>
      <c r="AB14" s="199" t="str">
        <f t="shared" si="63"/>
        <v>-</v>
      </c>
      <c r="AC14" s="451">
        <f t="shared" si="9"/>
        <v>0</v>
      </c>
      <c r="AD14" s="449"/>
      <c r="AE14" s="444">
        <f t="shared" ca="1" si="64"/>
        <v>0</v>
      </c>
      <c r="AF14" s="345" t="str">
        <f t="shared" si="65"/>
        <v/>
      </c>
      <c r="AG14" s="345" t="str">
        <f t="shared" si="66"/>
        <v/>
      </c>
      <c r="AH14" s="408">
        <f>IFERROR(VLOOKUP($AG14,HomeBroker!$A$30:$F$60,2,0),0)</f>
        <v>0</v>
      </c>
      <c r="AI14" s="446">
        <f>IFERROR(VLOOKUP($AG14,HomeBroker!$A$30:$F$60,3,0),0)</f>
        <v>0</v>
      </c>
      <c r="AJ14" s="626">
        <f>IFERROR(VLOOKUP($AG14,HomeBroker!$A$30:$F$60,6,0),0)</f>
        <v>0</v>
      </c>
      <c r="AK14" s="446">
        <f>IFERROR(VLOOKUP($AG14,HomeBroker!$A$30:$F$60,4,0),0)</f>
        <v>0</v>
      </c>
      <c r="AL14" s="408">
        <f>IFERROR(VLOOKUP($AG14,HomeBroker!$A$30:$F$60,5,0),0)</f>
        <v>0</v>
      </c>
      <c r="AM14" s="448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6">
        <f t="shared" si="11"/>
        <v>0</v>
      </c>
      <c r="AY14" s="217">
        <f t="shared" si="12"/>
        <v>0</v>
      </c>
      <c r="AZ14" s="114" t="s">
        <v>402</v>
      </c>
      <c r="BA14" s="112"/>
      <c r="BB14" s="129"/>
      <c r="BC14" s="115"/>
      <c r="BD14" s="218">
        <f t="shared" si="13"/>
        <v>0</v>
      </c>
      <c r="BE14" s="220">
        <f t="shared" si="14"/>
        <v>0</v>
      </c>
      <c r="BF14" s="116" t="s">
        <v>403</v>
      </c>
      <c r="BG14" s="112"/>
      <c r="BH14" s="115"/>
      <c r="BI14" s="221">
        <f t="shared" si="15"/>
        <v>0</v>
      </c>
      <c r="BJ14" s="222">
        <f t="shared" si="16"/>
        <v>0</v>
      </c>
      <c r="DE14" s="117">
        <f t="shared" si="17"/>
        <v>2505.1573290974998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-25366.69</v>
      </c>
      <c r="EU14" s="72"/>
      <c r="EV14" s="117">
        <f t="shared" si="55"/>
        <v>2505.1573290974998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-25366.69</v>
      </c>
    </row>
    <row r="15" spans="1:193" ht="15">
      <c r="A15" s="440" t="s">
        <v>401</v>
      </c>
      <c r="B15" s="203"/>
      <c r="C15" s="200"/>
      <c r="D15" s="452"/>
      <c r="E15" s="453">
        <f t="shared" si="0"/>
        <v>0</v>
      </c>
      <c r="F15" s="454">
        <f t="shared" si="1"/>
        <v>0</v>
      </c>
      <c r="G15" s="202" t="str">
        <f t="shared" si="2"/>
        <v/>
      </c>
      <c r="H15" s="458">
        <f t="shared" si="58"/>
        <v>0</v>
      </c>
      <c r="I15" s="459">
        <f t="shared" si="3"/>
        <v>0</v>
      </c>
      <c r="J15" s="62"/>
      <c r="K15" s="425">
        <f t="shared" ref="K15:K17" si="68">IFERROR(-1+(L15/$L$18),"")</f>
        <v>-8.7327000000000043E-2</v>
      </c>
      <c r="L15" s="631">
        <f t="shared" si="4"/>
        <v>2582.63642175</v>
      </c>
      <c r="M15" s="483">
        <f t="shared" si="5"/>
        <v>-25366.69</v>
      </c>
      <c r="N15" s="483">
        <f t="shared" ca="1" si="6"/>
        <v>-25366.69</v>
      </c>
      <c r="O15" s="62"/>
      <c r="P15" s="198" t="str">
        <f t="shared" si="59"/>
        <v>-</v>
      </c>
      <c r="Q15" s="450">
        <f t="shared" si="7"/>
        <v>0</v>
      </c>
      <c r="R15" s="449"/>
      <c r="S15" s="443">
        <f t="shared" ca="1" si="60"/>
        <v>0</v>
      </c>
      <c r="T15" s="345" t="str">
        <f t="shared" si="61"/>
        <v/>
      </c>
      <c r="U15" s="345" t="s">
        <v>631</v>
      </c>
      <c r="V15" s="343">
        <f>IFERROR(VLOOKUP($U15,HomeBroker!$A$30:$F$60,2,0),0)</f>
        <v>0</v>
      </c>
      <c r="W15" s="446">
        <f>IFERROR(VLOOKUP($U15,HomeBroker!$A$30:$F$60,3,0),0)</f>
        <v>270</v>
      </c>
      <c r="X15" s="626">
        <f>IFERROR(VLOOKUP($U15,HomeBroker!$A$30:$F$60,6,0),0)</f>
        <v>270</v>
      </c>
      <c r="Y15" s="445">
        <f>IFERROR(VLOOKUP($U15,HomeBroker!$A$30:$F$60,4,0),0)</f>
        <v>0</v>
      </c>
      <c r="Z15" s="343">
        <f>IFERROR(VLOOKUP($U15,HomeBroker!$A$30:$F$60,5,0),0)</f>
        <v>0</v>
      </c>
      <c r="AA15" s="346">
        <f>IFERROR(VLOOKUP($U15,HomeBroker!$A$30:$N$60,13,0),0)</f>
        <v>0</v>
      </c>
      <c r="AB15" s="199" t="str">
        <f t="shared" si="63"/>
        <v>-</v>
      </c>
      <c r="AC15" s="451">
        <f t="shared" si="9"/>
        <v>0</v>
      </c>
      <c r="AD15" s="449"/>
      <c r="AE15" s="444">
        <f t="shared" ca="1" si="64"/>
        <v>0</v>
      </c>
      <c r="AF15" s="345" t="str">
        <f t="shared" si="65"/>
        <v/>
      </c>
      <c r="AG15" s="345" t="str">
        <f t="shared" si="66"/>
        <v/>
      </c>
      <c r="AH15" s="408">
        <f>IFERROR(VLOOKUP($AG15,HomeBroker!$A$30:$F$60,2,0),0)</f>
        <v>0</v>
      </c>
      <c r="AI15" s="446">
        <f>IFERROR(VLOOKUP($AG15,HomeBroker!$A$30:$F$60,3,0),0)</f>
        <v>0</v>
      </c>
      <c r="AJ15" s="626">
        <f>IFERROR(VLOOKUP($AG15,HomeBroker!$A$30:$F$60,6,0),0)</f>
        <v>0</v>
      </c>
      <c r="AK15" s="446">
        <f>IFERROR(VLOOKUP($AG15,HomeBroker!$A$30:$F$60,4,0),0)</f>
        <v>0</v>
      </c>
      <c r="AL15" s="408">
        <f>IFERROR(VLOOKUP($AG15,HomeBroker!$A$30:$F$60,5,0),0)</f>
        <v>0</v>
      </c>
      <c r="AM15" s="448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6">
        <f t="shared" si="11"/>
        <v>0</v>
      </c>
      <c r="AY15" s="217">
        <f t="shared" si="12"/>
        <v>0</v>
      </c>
      <c r="AZ15" s="114" t="s">
        <v>402</v>
      </c>
      <c r="BA15" s="112"/>
      <c r="BB15" s="129"/>
      <c r="BC15" s="115"/>
      <c r="BD15" s="218">
        <f t="shared" si="13"/>
        <v>0</v>
      </c>
      <c r="BE15" s="220">
        <f t="shared" si="14"/>
        <v>0</v>
      </c>
      <c r="BF15" s="116" t="s">
        <v>403</v>
      </c>
      <c r="BG15" s="112"/>
      <c r="BH15" s="115"/>
      <c r="BI15" s="221">
        <f t="shared" si="15"/>
        <v>0</v>
      </c>
      <c r="BJ15" s="222">
        <f t="shared" si="16"/>
        <v>0</v>
      </c>
      <c r="DE15" s="117">
        <f t="shared" si="17"/>
        <v>2582.63642175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-25366.69</v>
      </c>
      <c r="EU15" s="72"/>
      <c r="EV15" s="117">
        <f t="shared" si="55"/>
        <v>2582.63642175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-25366.69</v>
      </c>
    </row>
    <row r="16" spans="1:193" ht="15">
      <c r="A16" s="440" t="s">
        <v>401</v>
      </c>
      <c r="B16" s="203"/>
      <c r="C16" s="200"/>
      <c r="D16" s="452"/>
      <c r="E16" s="453">
        <f>+B16*D16*-100</f>
        <v>0</v>
      </c>
      <c r="F16" s="454">
        <f t="shared" si="1"/>
        <v>0</v>
      </c>
      <c r="G16" s="202" t="str">
        <f t="shared" si="2"/>
        <v/>
      </c>
      <c r="H16" s="458">
        <f>IFERROR(+G16*B16*-100,0)</f>
        <v>0</v>
      </c>
      <c r="I16" s="459">
        <f t="shared" si="3"/>
        <v>0</v>
      </c>
      <c r="J16" s="62"/>
      <c r="K16" s="425">
        <f t="shared" si="68"/>
        <v>-5.9100000000000041E-2</v>
      </c>
      <c r="L16" s="631">
        <f t="shared" si="4"/>
        <v>2662.5117749999999</v>
      </c>
      <c r="M16" s="482">
        <f t="shared" si="5"/>
        <v>-25366.69</v>
      </c>
      <c r="N16" s="482">
        <f t="shared" ca="1" si="6"/>
        <v>-25366.69</v>
      </c>
      <c r="O16" s="62"/>
      <c r="P16" s="198" t="str">
        <f t="shared" si="59"/>
        <v>-</v>
      </c>
      <c r="Q16" s="450">
        <f t="shared" si="7"/>
        <v>0</v>
      </c>
      <c r="R16" s="449"/>
      <c r="S16" s="443">
        <f t="shared" ca="1" si="60"/>
        <v>0</v>
      </c>
      <c r="T16" s="345" t="str">
        <f t="shared" si="61"/>
        <v/>
      </c>
      <c r="U16" s="345" t="s">
        <v>632</v>
      </c>
      <c r="V16" s="343">
        <f>IFERROR(VLOOKUP($U16,HomeBroker!$A$30:$F$60,2,0),0)</f>
        <v>0</v>
      </c>
      <c r="W16" s="446">
        <f>IFERROR(VLOOKUP($U16,HomeBroker!$A$30:$F$60,3,0),0)</f>
        <v>274</v>
      </c>
      <c r="X16" s="626">
        <f>IFERROR(VLOOKUP($U16,HomeBroker!$A$30:$F$60,6,0),0)</f>
        <v>274</v>
      </c>
      <c r="Y16" s="445">
        <f>IFERROR(VLOOKUP($U16,HomeBroker!$A$30:$F$60,4,0),0)</f>
        <v>0</v>
      </c>
      <c r="Z16" s="343">
        <f>IFERROR(VLOOKUP($U16,HomeBroker!$A$30:$F$60,5,0),0)</f>
        <v>0</v>
      </c>
      <c r="AA16" s="346">
        <f>IFERROR(VLOOKUP($U16,HomeBroker!$A$30:$N$60,13,0),0)</f>
        <v>0</v>
      </c>
      <c r="AB16" s="199" t="str">
        <f t="shared" si="63"/>
        <v>-</v>
      </c>
      <c r="AC16" s="451">
        <f t="shared" si="9"/>
        <v>0</v>
      </c>
      <c r="AD16" s="449"/>
      <c r="AE16" s="444">
        <f t="shared" ca="1" si="64"/>
        <v>0</v>
      </c>
      <c r="AF16" s="345" t="str">
        <f t="shared" si="65"/>
        <v/>
      </c>
      <c r="AG16" s="345" t="str">
        <f t="shared" si="66"/>
        <v/>
      </c>
      <c r="AH16" s="408">
        <f>IFERROR(VLOOKUP($AG16,HomeBroker!$A$30:$F$60,2,0),0)</f>
        <v>0</v>
      </c>
      <c r="AI16" s="446">
        <f>IFERROR(VLOOKUP($AG16,HomeBroker!$A$30:$F$60,3,0),0)</f>
        <v>0</v>
      </c>
      <c r="AJ16" s="626">
        <f>IFERROR(VLOOKUP($AG16,HomeBroker!$A$30:$F$60,6,0),0)</f>
        <v>0</v>
      </c>
      <c r="AK16" s="446">
        <f>IFERROR(VLOOKUP($AG16,HomeBroker!$A$30:$F$60,4,0),0)</f>
        <v>0</v>
      </c>
      <c r="AL16" s="408">
        <f>IFERROR(VLOOKUP($AG16,HomeBroker!$A$30:$F$60,5,0),0)</f>
        <v>0</v>
      </c>
      <c r="AM16" s="448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6">
        <f t="shared" si="11"/>
        <v>0</v>
      </c>
      <c r="AY16" s="217">
        <f t="shared" si="12"/>
        <v>0</v>
      </c>
      <c r="AZ16" s="114" t="s">
        <v>402</v>
      </c>
      <c r="BA16" s="112"/>
      <c r="BB16" s="129"/>
      <c r="BC16" s="115"/>
      <c r="BD16" s="218">
        <f t="shared" si="13"/>
        <v>0</v>
      </c>
      <c r="BE16" s="220">
        <f t="shared" si="14"/>
        <v>0</v>
      </c>
      <c r="BF16" s="116" t="s">
        <v>403</v>
      </c>
      <c r="BG16" s="112"/>
      <c r="BH16" s="115"/>
      <c r="BI16" s="221">
        <f t="shared" si="15"/>
        <v>0</v>
      </c>
      <c r="BJ16" s="222">
        <f t="shared" si="16"/>
        <v>0</v>
      </c>
      <c r="DE16" s="117">
        <f t="shared" si="17"/>
        <v>2662.5117749999999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-25366.69</v>
      </c>
      <c r="EU16" s="72"/>
      <c r="EV16" s="117">
        <f t="shared" si="55"/>
        <v>2662.5117749999999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-25366.69</v>
      </c>
    </row>
    <row r="17" spans="1:193" ht="15.75">
      <c r="A17" s="440" t="s">
        <v>401</v>
      </c>
      <c r="B17" s="204"/>
      <c r="C17" s="200"/>
      <c r="D17" s="452"/>
      <c r="E17" s="453">
        <f>+B17*D17*-100</f>
        <v>0</v>
      </c>
      <c r="F17" s="454">
        <f t="shared" si="1"/>
        <v>0</v>
      </c>
      <c r="G17" s="202" t="str">
        <f t="shared" si="2"/>
        <v/>
      </c>
      <c r="H17" s="458">
        <f>IFERROR(+G17*B17*-100,0)</f>
        <v>0</v>
      </c>
      <c r="I17" s="459">
        <f t="shared" si="3"/>
        <v>0</v>
      </c>
      <c r="J17" s="62"/>
      <c r="K17" s="425">
        <f t="shared" si="68"/>
        <v>-3.0000000000000027E-2</v>
      </c>
      <c r="L17" s="631">
        <f t="shared" si="4"/>
        <v>2744.8575000000001</v>
      </c>
      <c r="M17" s="482">
        <f t="shared" si="5"/>
        <v>-25366.69</v>
      </c>
      <c r="N17" s="482">
        <f t="shared" ca="1" si="6"/>
        <v>-25366.69</v>
      </c>
      <c r="O17" s="62"/>
      <c r="P17" s="198" t="str">
        <f t="shared" si="59"/>
        <v>-</v>
      </c>
      <c r="Q17" s="450">
        <f t="shared" si="7"/>
        <v>0</v>
      </c>
      <c r="R17" s="449"/>
      <c r="S17" s="443">
        <f t="shared" ca="1" si="60"/>
        <v>0</v>
      </c>
      <c r="T17" s="345" t="str">
        <f t="shared" si="61"/>
        <v/>
      </c>
      <c r="U17" s="345" t="s">
        <v>633</v>
      </c>
      <c r="V17" s="343">
        <f>IFERROR(VLOOKUP($U17,HomeBroker!$A$30:$F$60,2,0),0)</f>
        <v>0</v>
      </c>
      <c r="W17" s="446">
        <f>IFERROR(VLOOKUP($U17,HomeBroker!$A$30:$F$60,3,0),0)</f>
        <v>0</v>
      </c>
      <c r="X17" s="626">
        <f>IFERROR(VLOOKUP($U17,HomeBroker!$A$30:$F$60,6,0),0)</f>
        <v>0</v>
      </c>
      <c r="Y17" s="445">
        <f>IFERROR(VLOOKUP($U17,HomeBroker!$A$30:$F$60,4,0),0)</f>
        <v>0</v>
      </c>
      <c r="Z17" s="343">
        <f>IFERROR(VLOOKUP($U17,HomeBroker!$A$30:$F$60,5,0),0)</f>
        <v>0</v>
      </c>
      <c r="AA17" s="346">
        <f>IFERROR(VLOOKUP($U17,HomeBroker!$A$30:$N$60,13,0),0)</f>
        <v>0</v>
      </c>
      <c r="AB17" s="199" t="str">
        <f t="shared" si="63"/>
        <v>-</v>
      </c>
      <c r="AC17" s="451">
        <f t="shared" si="9"/>
        <v>0</v>
      </c>
      <c r="AD17" s="449"/>
      <c r="AE17" s="444">
        <f t="shared" ca="1" si="64"/>
        <v>0</v>
      </c>
      <c r="AF17" s="345" t="str">
        <f t="shared" si="65"/>
        <v/>
      </c>
      <c r="AG17" s="345" t="str">
        <f t="shared" si="66"/>
        <v/>
      </c>
      <c r="AH17" s="408">
        <f>IFERROR(VLOOKUP($AG17,HomeBroker!$A$30:$F$60,2,0),0)</f>
        <v>0</v>
      </c>
      <c r="AI17" s="446">
        <f>IFERROR(VLOOKUP($AG17,HomeBroker!$A$30:$F$60,3,0),0)</f>
        <v>0</v>
      </c>
      <c r="AJ17" s="626">
        <f>IFERROR(VLOOKUP($AG17,HomeBroker!$A$30:$F$60,6,0),0)</f>
        <v>0</v>
      </c>
      <c r="AK17" s="446">
        <f>IFERROR(VLOOKUP($AG17,HomeBroker!$A$30:$F$60,4,0),0)</f>
        <v>0</v>
      </c>
      <c r="AL17" s="408">
        <f>IFERROR(VLOOKUP($AG17,HomeBroker!$A$30:$F$60,5,0),0)</f>
        <v>0</v>
      </c>
      <c r="AM17" s="448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6">
        <f t="shared" si="11"/>
        <v>0</v>
      </c>
      <c r="AY17" s="217">
        <f t="shared" si="12"/>
        <v>0</v>
      </c>
      <c r="AZ17" s="114" t="s">
        <v>402</v>
      </c>
      <c r="BA17" s="112"/>
      <c r="BB17" s="129"/>
      <c r="BC17" s="115"/>
      <c r="BD17" s="218">
        <f t="shared" si="13"/>
        <v>0</v>
      </c>
      <c r="BE17" s="220">
        <f t="shared" si="14"/>
        <v>0</v>
      </c>
      <c r="BF17" s="116" t="s">
        <v>403</v>
      </c>
      <c r="BG17" s="112"/>
      <c r="BH17" s="115"/>
      <c r="BI17" s="221">
        <f t="shared" si="15"/>
        <v>0</v>
      </c>
      <c r="BJ17" s="222">
        <f t="shared" si="16"/>
        <v>0</v>
      </c>
      <c r="DE17" s="117">
        <f t="shared" si="17"/>
        <v>2744.8575000000001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-25366.69</v>
      </c>
      <c r="EU17" s="72"/>
      <c r="EV17" s="117">
        <f t="shared" si="55"/>
        <v>2744.8575000000001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-25366.69</v>
      </c>
    </row>
    <row r="18" spans="1:193" ht="15">
      <c r="A18" s="440" t="s">
        <v>401</v>
      </c>
      <c r="B18" s="203"/>
      <c r="C18" s="200"/>
      <c r="D18" s="452"/>
      <c r="E18" s="453">
        <f>+B18*D18*-100</f>
        <v>0</v>
      </c>
      <c r="F18" s="454">
        <f t="shared" si="1"/>
        <v>0</v>
      </c>
      <c r="G18" s="202" t="str">
        <f t="shared" si="2"/>
        <v/>
      </c>
      <c r="H18" s="458">
        <f>IFERROR(+G18*B18*-100,0)</f>
        <v>0</v>
      </c>
      <c r="I18" s="459">
        <f t="shared" si="3"/>
        <v>0</v>
      </c>
      <c r="J18" s="62"/>
      <c r="K18" s="131">
        <v>0</v>
      </c>
      <c r="L18" s="627">
        <f>IF($N$45&lt;&gt;"",$N$45,$B$76)</f>
        <v>2829.75</v>
      </c>
      <c r="M18" s="483">
        <f t="shared" si="5"/>
        <v>-25366.69</v>
      </c>
      <c r="N18" s="483">
        <f t="shared" ca="1" si="6"/>
        <v>-25366.69</v>
      </c>
      <c r="O18" s="62"/>
      <c r="P18" s="198" t="str">
        <f t="shared" si="59"/>
        <v>-</v>
      </c>
      <c r="Q18" s="407">
        <f t="shared" ref="Q18:Q42" si="69">SUMIFS(AU:AU,AV:AV,R18)</f>
        <v>0</v>
      </c>
      <c r="R18" s="449"/>
      <c r="S18" s="443">
        <f t="shared" ca="1" si="60"/>
        <v>0</v>
      </c>
      <c r="T18" s="345" t="str">
        <f t="shared" si="61"/>
        <v/>
      </c>
      <c r="U18" s="345" t="s">
        <v>634</v>
      </c>
      <c r="V18" s="343">
        <f>IFERROR(VLOOKUP($U18,HomeBroker!$A$30:$F$60,2,0),0)</f>
        <v>0</v>
      </c>
      <c r="W18" s="446">
        <f>IFERROR(VLOOKUP($U18,HomeBroker!$A$30:$F$60,3,0),0)</f>
        <v>142.36000000000001</v>
      </c>
      <c r="X18" s="626">
        <f>IFERROR(VLOOKUP($U18,HomeBroker!$A$30:$F$60,6,0),0)</f>
        <v>142.36000000000001</v>
      </c>
      <c r="Y18" s="445">
        <f>IFERROR(VLOOKUP($U18,HomeBroker!$A$30:$F$60,4,0),0)</f>
        <v>0</v>
      </c>
      <c r="Z18" s="343">
        <f>IFERROR(VLOOKUP($U18,HomeBroker!$A$30:$F$60,5,0),0)</f>
        <v>0</v>
      </c>
      <c r="AA18" s="346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194"/>
      <c r="AE18" s="344">
        <f t="shared" ca="1" si="64"/>
        <v>0</v>
      </c>
      <c r="AF18" s="345" t="str">
        <f t="shared" si="65"/>
        <v/>
      </c>
      <c r="AG18" s="345" t="str">
        <f t="shared" si="66"/>
        <v/>
      </c>
      <c r="AH18" s="408">
        <f>IFERROR(VLOOKUP($AG18,HomeBroker!$A$30:$F$60,2,0),0)</f>
        <v>0</v>
      </c>
      <c r="AI18" s="446">
        <f>IFERROR(VLOOKUP($AG18,HomeBroker!$A$30:$F$60,3,0),0)</f>
        <v>0</v>
      </c>
      <c r="AJ18" s="626">
        <f>IFERROR(VLOOKUP($AG18,HomeBroker!$A$30:$F$60,6,0),0)</f>
        <v>0</v>
      </c>
      <c r="AK18" s="446">
        <f>IFERROR(VLOOKUP($AG18,HomeBroker!$A$30:$F$60,4,0),0)</f>
        <v>0</v>
      </c>
      <c r="AL18" s="408">
        <f>IFERROR(VLOOKUP($AG18,HomeBroker!$A$30:$F$60,5,0),0)</f>
        <v>0</v>
      </c>
      <c r="AM18" s="448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6">
        <f t="shared" si="11"/>
        <v>0</v>
      </c>
      <c r="AY18" s="217">
        <f t="shared" si="12"/>
        <v>0</v>
      </c>
      <c r="AZ18" s="114" t="s">
        <v>402</v>
      </c>
      <c r="BA18" s="112"/>
      <c r="BB18" s="129"/>
      <c r="BC18" s="115"/>
      <c r="BD18" s="218">
        <f t="shared" si="13"/>
        <v>0</v>
      </c>
      <c r="BE18" s="220">
        <f t="shared" si="14"/>
        <v>0</v>
      </c>
      <c r="BF18" s="116" t="s">
        <v>403</v>
      </c>
      <c r="BG18" s="112"/>
      <c r="BH18" s="115"/>
      <c r="BI18" s="221">
        <f t="shared" si="15"/>
        <v>0</v>
      </c>
      <c r="BJ18" s="222">
        <f t="shared" si="16"/>
        <v>0</v>
      </c>
      <c r="DE18" s="117">
        <f t="shared" si="17"/>
        <v>2829.75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-25366.69</v>
      </c>
      <c r="EU18" s="72"/>
      <c r="EV18" s="117">
        <f t="shared" si="55"/>
        <v>2829.75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-25366.69</v>
      </c>
    </row>
    <row r="19" spans="1:193" ht="15">
      <c r="A19" s="440" t="s">
        <v>401</v>
      </c>
      <c r="B19" s="203"/>
      <c r="C19" s="200"/>
      <c r="D19" s="452"/>
      <c r="E19" s="453">
        <f t="shared" si="0"/>
        <v>0</v>
      </c>
      <c r="F19" s="454">
        <f t="shared" si="1"/>
        <v>0</v>
      </c>
      <c r="G19" s="202" t="str">
        <f t="shared" si="2"/>
        <v/>
      </c>
      <c r="H19" s="458">
        <f t="shared" si="58"/>
        <v>0</v>
      </c>
      <c r="I19" s="459">
        <f t="shared" si="3"/>
        <v>0</v>
      </c>
      <c r="J19" s="62"/>
      <c r="K19" s="424">
        <f>IFERROR(+L19/$L$18-1,"")</f>
        <v>3.0000000000000027E-2</v>
      </c>
      <c r="L19" s="631">
        <f t="shared" ref="L19:L34" si="71">+L18*(1+$N$42)</f>
        <v>2914.6424999999999</v>
      </c>
      <c r="M19" s="482">
        <f t="shared" si="5"/>
        <v>-10724.19</v>
      </c>
      <c r="N19" s="482">
        <f t="shared" ca="1" si="6"/>
        <v>-25366.69</v>
      </c>
      <c r="O19" s="62"/>
      <c r="P19" s="198" t="str">
        <f t="shared" si="59"/>
        <v>-</v>
      </c>
      <c r="Q19" s="407">
        <f t="shared" si="69"/>
        <v>0</v>
      </c>
      <c r="R19" s="449"/>
      <c r="S19" s="443">
        <f t="shared" ca="1" si="60"/>
        <v>0</v>
      </c>
      <c r="T19" s="345" t="str">
        <f t="shared" si="61"/>
        <v/>
      </c>
      <c r="U19" s="345" t="s">
        <v>635</v>
      </c>
      <c r="V19" s="343">
        <f>IFERROR(VLOOKUP($U19,HomeBroker!$A$30:$F$60,2,0),0)</f>
        <v>0</v>
      </c>
      <c r="W19" s="446">
        <f>IFERROR(VLOOKUP($U19,HomeBroker!$A$30:$F$60,3,0),0)</f>
        <v>0</v>
      </c>
      <c r="X19" s="626">
        <f>IFERROR(VLOOKUP($U19,HomeBroker!$A$30:$F$60,6,0),0)</f>
        <v>0</v>
      </c>
      <c r="Y19" s="445">
        <f>IFERROR(VLOOKUP($U19,HomeBroker!$A$30:$F$60,4,0),0)</f>
        <v>0</v>
      </c>
      <c r="Z19" s="343">
        <f>IFERROR(VLOOKUP($U19,HomeBroker!$A$30:$F$60,5,0),0)</f>
        <v>0</v>
      </c>
      <c r="AA19" s="346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194"/>
      <c r="AE19" s="344">
        <f t="shared" ca="1" si="64"/>
        <v>0</v>
      </c>
      <c r="AF19" s="345" t="str">
        <f t="shared" si="65"/>
        <v/>
      </c>
      <c r="AG19" s="345" t="str">
        <f t="shared" si="66"/>
        <v/>
      </c>
      <c r="AH19" s="408">
        <f>IFERROR(VLOOKUP($AG19,HomeBroker!$A$30:$F$60,2,0),0)</f>
        <v>0</v>
      </c>
      <c r="AI19" s="446">
        <f>IFERROR(VLOOKUP($AG19,HomeBroker!$A$30:$F$60,3,0),0)</f>
        <v>0</v>
      </c>
      <c r="AJ19" s="626">
        <f>IFERROR(VLOOKUP($AG19,HomeBroker!$A$30:$F$60,6,0),0)</f>
        <v>0</v>
      </c>
      <c r="AK19" s="446">
        <f>IFERROR(VLOOKUP($AG19,HomeBroker!$A$30:$F$60,4,0),0)</f>
        <v>0</v>
      </c>
      <c r="AL19" s="408">
        <f>IFERROR(VLOOKUP($AG19,HomeBroker!$A$30:$F$60,5,0),0)</f>
        <v>0</v>
      </c>
      <c r="AM19" s="448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6">
        <f t="shared" si="11"/>
        <v>0</v>
      </c>
      <c r="AY19" s="217">
        <f t="shared" si="12"/>
        <v>0</v>
      </c>
      <c r="AZ19" s="114" t="s">
        <v>402</v>
      </c>
      <c r="BA19" s="112"/>
      <c r="BB19" s="129"/>
      <c r="BC19" s="115"/>
      <c r="BD19" s="218">
        <f t="shared" si="13"/>
        <v>0</v>
      </c>
      <c r="BE19" s="220">
        <f t="shared" si="14"/>
        <v>0</v>
      </c>
      <c r="BF19" s="116" t="s">
        <v>403</v>
      </c>
      <c r="BG19" s="112"/>
      <c r="BH19" s="115"/>
      <c r="BI19" s="221">
        <f t="shared" si="15"/>
        <v>0</v>
      </c>
      <c r="BJ19" s="222">
        <f t="shared" si="16"/>
        <v>0</v>
      </c>
      <c r="DE19" s="117">
        <f t="shared" si="17"/>
        <v>2914.6424999999999</v>
      </c>
      <c r="DF19" s="118">
        <f t="shared" si="18"/>
        <v>0</v>
      </c>
      <c r="DG19" s="118">
        <f t="shared" si="19"/>
        <v>0</v>
      </c>
      <c r="DH19" s="118">
        <f t="shared" si="20"/>
        <v>7321.2499999999636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7321.2499999999636</v>
      </c>
      <c r="EQ19" s="119"/>
      <c r="ER19" s="126"/>
      <c r="ES19" s="122"/>
      <c r="ET19" s="123">
        <f t="shared" si="54"/>
        <v>-10724.19</v>
      </c>
      <c r="EU19" s="72"/>
      <c r="EV19" s="117">
        <f t="shared" si="55"/>
        <v>2914.6424999999999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-25366.69</v>
      </c>
    </row>
    <row r="20" spans="1:193" ht="15">
      <c r="A20" s="440" t="s">
        <v>401</v>
      </c>
      <c r="B20" s="203"/>
      <c r="C20" s="200"/>
      <c r="D20" s="452"/>
      <c r="E20" s="453">
        <f t="shared" si="0"/>
        <v>0</v>
      </c>
      <c r="F20" s="454">
        <f t="shared" si="1"/>
        <v>0</v>
      </c>
      <c r="G20" s="202" t="str">
        <f t="shared" si="2"/>
        <v/>
      </c>
      <c r="H20" s="458">
        <f t="shared" si="58"/>
        <v>0</v>
      </c>
      <c r="I20" s="459">
        <f t="shared" si="3"/>
        <v>0</v>
      </c>
      <c r="J20" s="62"/>
      <c r="K20" s="425">
        <f t="shared" ref="K20:K23" si="72">IFERROR(+L20/$L$18-1,"")</f>
        <v>6.0899999999999954E-2</v>
      </c>
      <c r="L20" s="631">
        <f t="shared" si="71"/>
        <v>3002.0817750000001</v>
      </c>
      <c r="M20" s="482">
        <f t="shared" si="5"/>
        <v>73384.240000000005</v>
      </c>
      <c r="N20" s="482">
        <f t="shared" ca="1" si="6"/>
        <v>-25366.69</v>
      </c>
      <c r="O20" s="62"/>
      <c r="P20" s="198" t="str">
        <f t="shared" si="59"/>
        <v>-</v>
      </c>
      <c r="Q20" s="407">
        <f t="shared" si="69"/>
        <v>0</v>
      </c>
      <c r="R20" s="449"/>
      <c r="S20" s="443">
        <f t="shared" ca="1" si="60"/>
        <v>0</v>
      </c>
      <c r="T20" s="345" t="str">
        <f t="shared" si="61"/>
        <v/>
      </c>
      <c r="U20" s="345" t="s">
        <v>636</v>
      </c>
      <c r="V20" s="343">
        <f>IFERROR(VLOOKUP($U20,HomeBroker!$A$30:$F$60,2,0),0)</f>
        <v>0</v>
      </c>
      <c r="W20" s="446">
        <f>IFERROR(VLOOKUP($U20,HomeBroker!$A$30:$F$60,3,0),0)</f>
        <v>93.07</v>
      </c>
      <c r="X20" s="626">
        <f>IFERROR(VLOOKUP($U20,HomeBroker!$A$30:$F$60,6,0),0)</f>
        <v>93.07</v>
      </c>
      <c r="Y20" s="445">
        <f>IFERROR(VLOOKUP($U20,HomeBroker!$A$30:$F$60,4,0),0)</f>
        <v>0</v>
      </c>
      <c r="Z20" s="343">
        <f>IFERROR(VLOOKUP($U20,HomeBroker!$A$30:$F$60,5,0),0)</f>
        <v>0</v>
      </c>
      <c r="AA20" s="346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194"/>
      <c r="AE20" s="344">
        <f t="shared" ca="1" si="64"/>
        <v>0</v>
      </c>
      <c r="AF20" s="345" t="str">
        <f t="shared" si="65"/>
        <v/>
      </c>
      <c r="AG20" s="345" t="str">
        <f t="shared" si="66"/>
        <v/>
      </c>
      <c r="AH20" s="408">
        <f>IFERROR(VLOOKUP($AG20,HomeBroker!$A$30:$F$60,2,0),0)</f>
        <v>0</v>
      </c>
      <c r="AI20" s="446">
        <f>IFERROR(VLOOKUP($AG20,HomeBroker!$A$30:$F$60,3,0),0)</f>
        <v>0</v>
      </c>
      <c r="AJ20" s="626">
        <f>IFERROR(VLOOKUP($AG20,HomeBroker!$A$30:$F$60,6,0),0)</f>
        <v>0</v>
      </c>
      <c r="AK20" s="446">
        <f>IFERROR(VLOOKUP($AG20,HomeBroker!$A$30:$F$60,4,0),0)</f>
        <v>0</v>
      </c>
      <c r="AL20" s="408">
        <f>IFERROR(VLOOKUP($AG20,HomeBroker!$A$30:$F$60,5,0),0)</f>
        <v>0</v>
      </c>
      <c r="AM20" s="448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6">
        <f t="shared" si="11"/>
        <v>0</v>
      </c>
      <c r="AY20" s="217">
        <f t="shared" si="12"/>
        <v>0</v>
      </c>
      <c r="AZ20" s="114" t="s">
        <v>402</v>
      </c>
      <c r="BA20" s="112"/>
      <c r="BB20" s="129"/>
      <c r="BC20" s="115"/>
      <c r="BD20" s="218">
        <f t="shared" si="13"/>
        <v>0</v>
      </c>
      <c r="BE20" s="220">
        <f t="shared" si="14"/>
        <v>0</v>
      </c>
      <c r="BF20" s="116" t="s">
        <v>403</v>
      </c>
      <c r="BG20" s="112"/>
      <c r="BH20" s="115"/>
      <c r="BI20" s="221">
        <f t="shared" si="15"/>
        <v>0</v>
      </c>
      <c r="BJ20" s="222">
        <f t="shared" si="16"/>
        <v>0</v>
      </c>
      <c r="DE20" s="117">
        <f t="shared" si="17"/>
        <v>3002.0817750000001</v>
      </c>
      <c r="DF20" s="118">
        <f t="shared" si="18"/>
        <v>0</v>
      </c>
      <c r="DG20" s="118">
        <f t="shared" si="19"/>
        <v>0</v>
      </c>
      <c r="DH20" s="118">
        <f t="shared" si="20"/>
        <v>51040.887500000055</v>
      </c>
      <c r="DI20" s="118">
        <f t="shared" si="21"/>
        <v>-1665.4200000000856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49375.46749999997</v>
      </c>
      <c r="EQ20" s="119"/>
      <c r="ER20" s="126"/>
      <c r="ES20" s="122"/>
      <c r="ET20" s="123">
        <f t="shared" si="54"/>
        <v>73384.240000000005</v>
      </c>
      <c r="EU20" s="72"/>
      <c r="EV20" s="117">
        <f t="shared" si="55"/>
        <v>3002.0817750000001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-25366.69</v>
      </c>
    </row>
    <row r="21" spans="1:193" ht="15">
      <c r="A21" s="440" t="s">
        <v>401</v>
      </c>
      <c r="B21" s="203"/>
      <c r="C21" s="200"/>
      <c r="D21" s="452"/>
      <c r="E21" s="453">
        <f t="shared" si="0"/>
        <v>0</v>
      </c>
      <c r="F21" s="454">
        <f t="shared" si="1"/>
        <v>0</v>
      </c>
      <c r="G21" s="202" t="str">
        <f t="shared" si="2"/>
        <v/>
      </c>
      <c r="H21" s="458">
        <f t="shared" si="58"/>
        <v>0</v>
      </c>
      <c r="I21" s="459">
        <f t="shared" si="3"/>
        <v>0</v>
      </c>
      <c r="J21" s="62"/>
      <c r="K21" s="425">
        <f t="shared" si="72"/>
        <v>9.2727000000000004E-2</v>
      </c>
      <c r="L21" s="631">
        <f t="shared" si="71"/>
        <v>3092.1442282500002</v>
      </c>
      <c r="M21" s="483">
        <f t="shared" si="5"/>
        <v>19346.77</v>
      </c>
      <c r="N21" s="483">
        <f t="shared" ca="1" si="6"/>
        <v>-25366.69</v>
      </c>
      <c r="O21" s="62"/>
      <c r="P21" s="198" t="str">
        <f t="shared" si="59"/>
        <v>-</v>
      </c>
      <c r="Q21" s="407">
        <f t="shared" si="69"/>
        <v>0</v>
      </c>
      <c r="R21" s="449"/>
      <c r="S21" s="443">
        <f t="shared" ca="1" si="60"/>
        <v>0</v>
      </c>
      <c r="T21" s="345" t="str">
        <f t="shared" si="61"/>
        <v/>
      </c>
      <c r="U21" s="345" t="s">
        <v>637</v>
      </c>
      <c r="V21" s="343">
        <f>IFERROR(VLOOKUP($U21,HomeBroker!$A$30:$F$60,2,0),0)</f>
        <v>0</v>
      </c>
      <c r="W21" s="446">
        <f>IFERROR(VLOOKUP($U21,HomeBroker!$A$30:$F$60,3,0),0)</f>
        <v>49.1</v>
      </c>
      <c r="X21" s="626">
        <f>IFERROR(VLOOKUP($U21,HomeBroker!$A$30:$F$60,6,0),0)</f>
        <v>49.1</v>
      </c>
      <c r="Y21" s="445">
        <f>IFERROR(VLOOKUP($U21,HomeBroker!$A$30:$F$60,4,0),0)</f>
        <v>0</v>
      </c>
      <c r="Z21" s="343">
        <f>IFERROR(VLOOKUP($U21,HomeBroker!$A$30:$F$60,5,0),0)</f>
        <v>0</v>
      </c>
      <c r="AA21" s="346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194"/>
      <c r="AE21" s="344">
        <f t="shared" ca="1" si="64"/>
        <v>0</v>
      </c>
      <c r="AF21" s="345" t="str">
        <f t="shared" si="65"/>
        <v/>
      </c>
      <c r="AG21" s="345" t="str">
        <f t="shared" si="66"/>
        <v/>
      </c>
      <c r="AH21" s="408">
        <f>IFERROR(VLOOKUP($AG21,HomeBroker!$A$30:$F$60,2,0),0)</f>
        <v>0</v>
      </c>
      <c r="AI21" s="446">
        <f>IFERROR(VLOOKUP($AG21,HomeBroker!$A$30:$F$60,3,0),0)</f>
        <v>0</v>
      </c>
      <c r="AJ21" s="626">
        <f>IFERROR(VLOOKUP($AG21,HomeBroker!$A$30:$F$60,6,0),0)</f>
        <v>0</v>
      </c>
      <c r="AK21" s="446">
        <f>IFERROR(VLOOKUP($AG21,HomeBroker!$A$30:$F$60,4,0),0)</f>
        <v>0</v>
      </c>
      <c r="AL21" s="408">
        <f>IFERROR(VLOOKUP($AG21,HomeBroker!$A$30:$F$60,5,0),0)</f>
        <v>0</v>
      </c>
      <c r="AM21" s="448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6">
        <f t="shared" si="11"/>
        <v>0</v>
      </c>
      <c r="AY21" s="217">
        <f t="shared" si="12"/>
        <v>0</v>
      </c>
      <c r="AZ21" s="114" t="s">
        <v>402</v>
      </c>
      <c r="BA21" s="112"/>
      <c r="BB21" s="129"/>
      <c r="BC21" s="115"/>
      <c r="BD21" s="218">
        <f t="shared" si="13"/>
        <v>0</v>
      </c>
      <c r="BE21" s="220">
        <f t="shared" si="14"/>
        <v>0</v>
      </c>
      <c r="BF21" s="116" t="s">
        <v>403</v>
      </c>
      <c r="BG21" s="112"/>
      <c r="BH21" s="115"/>
      <c r="BI21" s="221">
        <f t="shared" si="15"/>
        <v>0</v>
      </c>
      <c r="BJ21" s="222">
        <f t="shared" si="16"/>
        <v>0</v>
      </c>
      <c r="DE21" s="117">
        <f t="shared" si="17"/>
        <v>3092.1442282500002</v>
      </c>
      <c r="DF21" s="118">
        <f t="shared" si="18"/>
        <v>0</v>
      </c>
      <c r="DG21" s="118">
        <f t="shared" si="19"/>
        <v>0</v>
      </c>
      <c r="DH21" s="118">
        <f t="shared" si="20"/>
        <v>96072.114125000095</v>
      </c>
      <c r="DI21" s="118">
        <f t="shared" si="21"/>
        <v>-73715.382600000157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22356.731524999937</v>
      </c>
      <c r="EQ21" s="119"/>
      <c r="ER21" s="126"/>
      <c r="ES21" s="122"/>
      <c r="ET21" s="123">
        <f t="shared" si="54"/>
        <v>19346.77</v>
      </c>
      <c r="EU21" s="72"/>
      <c r="EV21" s="117">
        <f t="shared" si="55"/>
        <v>3092.1442282500002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-25366.69</v>
      </c>
    </row>
    <row r="22" spans="1:193" ht="15">
      <c r="A22" s="440" t="s">
        <v>401</v>
      </c>
      <c r="B22" s="203"/>
      <c r="C22" s="200"/>
      <c r="D22" s="452"/>
      <c r="E22" s="453">
        <f t="shared" si="0"/>
        <v>0</v>
      </c>
      <c r="F22" s="454">
        <f t="shared" si="1"/>
        <v>0</v>
      </c>
      <c r="G22" s="202" t="str">
        <f t="shared" si="2"/>
        <v/>
      </c>
      <c r="H22" s="458">
        <f t="shared" si="58"/>
        <v>0</v>
      </c>
      <c r="I22" s="459">
        <f t="shared" si="3"/>
        <v>0</v>
      </c>
      <c r="J22" s="62"/>
      <c r="K22" s="425">
        <f t="shared" si="72"/>
        <v>0.12550881000000014</v>
      </c>
      <c r="L22" s="631">
        <f t="shared" si="71"/>
        <v>3184.9085550975001</v>
      </c>
      <c r="M22" s="482">
        <f t="shared" si="5"/>
        <v>82377.259999999995</v>
      </c>
      <c r="N22" s="482">
        <f t="shared" ca="1" si="6"/>
        <v>-25366.69</v>
      </c>
      <c r="O22" s="62"/>
      <c r="P22" s="198" t="str">
        <f t="shared" si="59"/>
        <v>-</v>
      </c>
      <c r="Q22" s="407">
        <f t="shared" si="69"/>
        <v>0</v>
      </c>
      <c r="R22" s="449"/>
      <c r="S22" s="443">
        <f t="shared" ca="1" si="60"/>
        <v>0</v>
      </c>
      <c r="T22" s="345" t="str">
        <f t="shared" si="61"/>
        <v/>
      </c>
      <c r="U22" s="345" t="s">
        <v>638</v>
      </c>
      <c r="V22" s="343">
        <f>IFERROR(VLOOKUP($U22,HomeBroker!$A$30:$F$60,2,0),0)</f>
        <v>0</v>
      </c>
      <c r="W22" s="446">
        <f>IFERROR(VLOOKUP($U22,HomeBroker!$A$30:$F$60,3,0),0)</f>
        <v>54.06</v>
      </c>
      <c r="X22" s="626">
        <f>IFERROR(VLOOKUP($U22,HomeBroker!$A$30:$F$60,6,0),0)</f>
        <v>54.06</v>
      </c>
      <c r="Y22" s="445">
        <f>IFERROR(VLOOKUP($U22,HomeBroker!$A$30:$F$60,4,0),0)</f>
        <v>0</v>
      </c>
      <c r="Z22" s="343">
        <f>IFERROR(VLOOKUP($U22,HomeBroker!$A$30:$F$60,5,0),0)</f>
        <v>0</v>
      </c>
      <c r="AA22" s="346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194"/>
      <c r="AE22" s="344">
        <f t="shared" ca="1" si="64"/>
        <v>0</v>
      </c>
      <c r="AF22" s="345" t="str">
        <f t="shared" si="65"/>
        <v/>
      </c>
      <c r="AG22" s="345" t="str">
        <f t="shared" si="66"/>
        <v/>
      </c>
      <c r="AH22" s="408">
        <f>IFERROR(VLOOKUP($AG22,HomeBroker!$A$30:$F$60,2,0),0)</f>
        <v>0</v>
      </c>
      <c r="AI22" s="446">
        <f>IFERROR(VLOOKUP($AG22,HomeBroker!$A$30:$F$60,3,0),0)</f>
        <v>0</v>
      </c>
      <c r="AJ22" s="626">
        <f>IFERROR(VLOOKUP($AG22,HomeBroker!$A$30:$F$60,6,0),0)</f>
        <v>0</v>
      </c>
      <c r="AK22" s="446">
        <f>IFERROR(VLOOKUP($AG22,HomeBroker!$A$30:$F$60,4,0),0)</f>
        <v>0</v>
      </c>
      <c r="AL22" s="408">
        <f>IFERROR(VLOOKUP($AG22,HomeBroker!$A$30:$F$60,5,0),0)</f>
        <v>0</v>
      </c>
      <c r="AM22" s="448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6">
        <f t="shared" si="11"/>
        <v>0</v>
      </c>
      <c r="AY22" s="217">
        <f t="shared" si="12"/>
        <v>0</v>
      </c>
      <c r="AZ22" s="114" t="s">
        <v>402</v>
      </c>
      <c r="BA22" s="112"/>
      <c r="BB22" s="129"/>
      <c r="BC22" s="115"/>
      <c r="BD22" s="218">
        <f t="shared" si="13"/>
        <v>0</v>
      </c>
      <c r="BE22" s="220">
        <f t="shared" si="14"/>
        <v>0</v>
      </c>
      <c r="BF22" s="116" t="s">
        <v>403</v>
      </c>
      <c r="BG22" s="112"/>
      <c r="BH22" s="115"/>
      <c r="BI22" s="221">
        <f t="shared" si="15"/>
        <v>0</v>
      </c>
      <c r="BJ22" s="222">
        <f t="shared" si="16"/>
        <v>0</v>
      </c>
      <c r="DE22" s="117">
        <f t="shared" si="17"/>
        <v>3184.9085550975001</v>
      </c>
      <c r="DF22" s="118">
        <f t="shared" si="18"/>
        <v>59344.543665750141</v>
      </c>
      <c r="DG22" s="118">
        <f t="shared" si="19"/>
        <v>0</v>
      </c>
      <c r="DH22" s="118">
        <f t="shared" si="20"/>
        <v>142454.27754875005</v>
      </c>
      <c r="DI22" s="118">
        <f t="shared" si="21"/>
        <v>-147926.84407800005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53871.977136500122</v>
      </c>
      <c r="EQ22" s="119"/>
      <c r="ER22" s="126"/>
      <c r="ES22" s="122"/>
      <c r="ET22" s="123">
        <f t="shared" si="54"/>
        <v>82377.259999999995</v>
      </c>
      <c r="EU22" s="72"/>
      <c r="EV22" s="117">
        <f t="shared" si="55"/>
        <v>3184.9085550975001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-25366.69</v>
      </c>
    </row>
    <row r="23" spans="1:193" ht="15">
      <c r="A23" s="440" t="s">
        <v>401</v>
      </c>
      <c r="B23" s="203"/>
      <c r="C23" s="200"/>
      <c r="D23" s="452"/>
      <c r="E23" s="453">
        <f t="shared" si="0"/>
        <v>0</v>
      </c>
      <c r="F23" s="454">
        <f t="shared" si="1"/>
        <v>0</v>
      </c>
      <c r="G23" s="202" t="str">
        <f t="shared" si="2"/>
        <v/>
      </c>
      <c r="H23" s="458">
        <f t="shared" si="58"/>
        <v>0</v>
      </c>
      <c r="I23" s="459">
        <f t="shared" si="3"/>
        <v>0</v>
      </c>
      <c r="J23" s="62"/>
      <c r="K23" s="425">
        <f t="shared" si="72"/>
        <v>0.15927407430000007</v>
      </c>
      <c r="L23" s="631">
        <f t="shared" si="71"/>
        <v>3280.4558117504253</v>
      </c>
      <c r="M23" s="482">
        <f t="shared" si="5"/>
        <v>349909.58</v>
      </c>
      <c r="N23" s="482">
        <f t="shared" ca="1" si="6"/>
        <v>-25366.69</v>
      </c>
      <c r="O23" s="62"/>
      <c r="P23" s="198" t="str">
        <f t="shared" si="59"/>
        <v>-</v>
      </c>
      <c r="Q23" s="407">
        <f t="shared" si="69"/>
        <v>0</v>
      </c>
      <c r="R23" s="194"/>
      <c r="S23" s="443">
        <f t="shared" ca="1" si="60"/>
        <v>0</v>
      </c>
      <c r="T23" s="345" t="str">
        <f t="shared" si="61"/>
        <v/>
      </c>
      <c r="U23" s="345" t="str">
        <f t="shared" si="62"/>
        <v/>
      </c>
      <c r="V23" s="343">
        <f>IFERROR(VLOOKUP($U23,HomeBroker!$A$30:$F$60,2,0),0)</f>
        <v>0</v>
      </c>
      <c r="W23" s="446">
        <f>IFERROR(VLOOKUP($U23,HomeBroker!$A$30:$F$60,3,0),0)</f>
        <v>0</v>
      </c>
      <c r="X23" s="626">
        <f>IFERROR(VLOOKUP($U23,HomeBroker!$A$30:$F$60,6,0),0)</f>
        <v>0</v>
      </c>
      <c r="Y23" s="445">
        <f>IFERROR(VLOOKUP($U23,HomeBroker!$A$30:$F$60,4,0),0)</f>
        <v>0</v>
      </c>
      <c r="Z23" s="343">
        <f>IFERROR(VLOOKUP($U23,HomeBroker!$A$30:$F$60,5,0),0)</f>
        <v>0</v>
      </c>
      <c r="AA23" s="346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44">
        <f t="shared" ca="1" si="64"/>
        <v>0</v>
      </c>
      <c r="AF23" s="345" t="str">
        <f t="shared" si="65"/>
        <v/>
      </c>
      <c r="AG23" s="345" t="str">
        <f t="shared" si="66"/>
        <v/>
      </c>
      <c r="AH23" s="408">
        <f>IFERROR(VLOOKUP($AG23,HomeBroker!$A$30:$F$60,2,0),0)</f>
        <v>0</v>
      </c>
      <c r="AI23" s="446">
        <f>IFERROR(VLOOKUP($AG23,HomeBroker!$A$30:$F$60,3,0),0)</f>
        <v>0</v>
      </c>
      <c r="AJ23" s="626">
        <f>IFERROR(VLOOKUP($AG23,HomeBroker!$A$30:$F$60,6,0),0)</f>
        <v>0</v>
      </c>
      <c r="AK23" s="446">
        <f>IFERROR(VLOOKUP($AG23,HomeBroker!$A$30:$F$60,4,0),0)</f>
        <v>0</v>
      </c>
      <c r="AL23" s="408">
        <f>IFERROR(VLOOKUP($AG23,HomeBroker!$A$30:$F$60,5,0),0)</f>
        <v>0</v>
      </c>
      <c r="AM23" s="448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6">
        <f t="shared" si="11"/>
        <v>0</v>
      </c>
      <c r="AY23" s="217">
        <f t="shared" si="12"/>
        <v>0</v>
      </c>
      <c r="AZ23" s="114" t="s">
        <v>402</v>
      </c>
      <c r="BA23" s="112"/>
      <c r="BB23" s="129"/>
      <c r="BC23" s="115"/>
      <c r="BD23" s="218">
        <f t="shared" si="13"/>
        <v>0</v>
      </c>
      <c r="BE23" s="220">
        <f t="shared" si="14"/>
        <v>0</v>
      </c>
      <c r="BF23" s="116" t="s">
        <v>403</v>
      </c>
      <c r="BG23" s="112"/>
      <c r="BH23" s="115"/>
      <c r="BI23" s="221">
        <f t="shared" si="15"/>
        <v>0</v>
      </c>
      <c r="BJ23" s="222">
        <f t="shared" si="16"/>
        <v>0</v>
      </c>
      <c r="DE23" s="117">
        <f t="shared" si="17"/>
        <v>3280.4558117504253</v>
      </c>
      <c r="DF23" s="118">
        <f t="shared" si="18"/>
        <v>221774.87997572293</v>
      </c>
      <c r="DG23" s="118">
        <f t="shared" si="19"/>
        <v>0</v>
      </c>
      <c r="DH23" s="118">
        <f t="shared" si="20"/>
        <v>190227.90587521263</v>
      </c>
      <c r="DI23" s="118">
        <f t="shared" si="21"/>
        <v>-224364.64940034022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187638.13645059534</v>
      </c>
      <c r="EQ23" s="119"/>
      <c r="ER23" s="126"/>
      <c r="ES23" s="122"/>
      <c r="ET23" s="123">
        <f t="shared" si="54"/>
        <v>349909.58</v>
      </c>
      <c r="EU23" s="72"/>
      <c r="EV23" s="117">
        <f t="shared" si="55"/>
        <v>3280.4558117504253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-25366.69</v>
      </c>
    </row>
    <row r="24" spans="1:193" ht="15">
      <c r="A24" s="440" t="s">
        <v>401</v>
      </c>
      <c r="B24" s="203"/>
      <c r="C24" s="200"/>
      <c r="D24" s="452"/>
      <c r="E24" s="453">
        <f t="shared" si="0"/>
        <v>0</v>
      </c>
      <c r="F24" s="454">
        <f t="shared" si="1"/>
        <v>0</v>
      </c>
      <c r="G24" s="202" t="str">
        <f t="shared" si="2"/>
        <v/>
      </c>
      <c r="H24" s="458">
        <f t="shared" si="58"/>
        <v>0</v>
      </c>
      <c r="I24" s="459">
        <f t="shared" si="3"/>
        <v>0</v>
      </c>
      <c r="J24" s="62"/>
      <c r="K24" s="422">
        <f>IFERROR(+L24/$L$18-1,"")</f>
        <v>0.19405229652900013</v>
      </c>
      <c r="L24" s="630">
        <f t="shared" si="71"/>
        <v>3378.869486102938</v>
      </c>
      <c r="M24" s="483">
        <f t="shared" si="5"/>
        <v>357311.62</v>
      </c>
      <c r="N24" s="483">
        <f t="shared" ca="1" si="6"/>
        <v>-25366.69</v>
      </c>
      <c r="O24" s="62"/>
      <c r="P24" s="198" t="str">
        <f t="shared" si="59"/>
        <v>-</v>
      </c>
      <c r="Q24" s="407">
        <f t="shared" si="69"/>
        <v>0</v>
      </c>
      <c r="R24" s="194"/>
      <c r="S24" s="443">
        <f t="shared" ca="1" si="60"/>
        <v>0</v>
      </c>
      <c r="T24" s="345" t="str">
        <f t="shared" si="61"/>
        <v/>
      </c>
      <c r="U24" s="345" t="str">
        <f t="shared" si="62"/>
        <v/>
      </c>
      <c r="V24" s="343">
        <f>IFERROR(VLOOKUP($U24,HomeBroker!$A$30:$F$60,2,0),0)</f>
        <v>0</v>
      </c>
      <c r="W24" s="446">
        <f>IFERROR(VLOOKUP($U24,HomeBroker!$A$30:$F$60,3,0),0)</f>
        <v>0</v>
      </c>
      <c r="X24" s="626">
        <f>IFERROR(VLOOKUP($U24,HomeBroker!$A$30:$F$60,6,0),0)</f>
        <v>0</v>
      </c>
      <c r="Y24" s="445">
        <f>IFERROR(VLOOKUP($U24,HomeBroker!$A$30:$F$60,4,0),0)</f>
        <v>0</v>
      </c>
      <c r="Z24" s="343">
        <f>IFERROR(VLOOKUP($U24,HomeBroker!$A$30:$F$60,5,0),0)</f>
        <v>0</v>
      </c>
      <c r="AA24" s="346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44">
        <f t="shared" ca="1" si="64"/>
        <v>0</v>
      </c>
      <c r="AF24" s="345" t="str">
        <f t="shared" si="65"/>
        <v/>
      </c>
      <c r="AG24" s="345" t="str">
        <f t="shared" si="66"/>
        <v/>
      </c>
      <c r="AH24" s="408">
        <f>IFERROR(VLOOKUP($AG24,HomeBroker!$A$30:$F$60,2,0),0)</f>
        <v>0</v>
      </c>
      <c r="AI24" s="446">
        <f>IFERROR(VLOOKUP($AG24,HomeBroker!$A$30:$F$60,3,0),0)</f>
        <v>0</v>
      </c>
      <c r="AJ24" s="626">
        <f>IFERROR(VLOOKUP($AG24,HomeBroker!$A$30:$F$60,6,0),0)</f>
        <v>0</v>
      </c>
      <c r="AK24" s="446">
        <f>IFERROR(VLOOKUP($AG24,HomeBroker!$A$30:$F$60,4,0),0)</f>
        <v>0</v>
      </c>
      <c r="AL24" s="408">
        <f>IFERROR(VLOOKUP($AG24,HomeBroker!$A$30:$F$60,5,0),0)</f>
        <v>0</v>
      </c>
      <c r="AM24" s="448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6">
        <f t="shared" si="11"/>
        <v>0</v>
      </c>
      <c r="AY24" s="217">
        <f t="shared" si="12"/>
        <v>0</v>
      </c>
      <c r="AZ24" s="114" t="s">
        <v>402</v>
      </c>
      <c r="BA24" s="112"/>
      <c r="BB24" s="129"/>
      <c r="BC24" s="115"/>
      <c r="BD24" s="218">
        <f t="shared" si="13"/>
        <v>0</v>
      </c>
      <c r="BE24" s="220">
        <f t="shared" si="14"/>
        <v>0</v>
      </c>
      <c r="BF24" s="116" t="s">
        <v>403</v>
      </c>
      <c r="BG24" s="112"/>
      <c r="BH24" s="115"/>
      <c r="BI24" s="221">
        <f t="shared" si="15"/>
        <v>0</v>
      </c>
      <c r="BJ24" s="222">
        <f t="shared" si="16"/>
        <v>0</v>
      </c>
      <c r="DE24" s="117">
        <f t="shared" si="17"/>
        <v>3378.869486102938</v>
      </c>
      <c r="DF24" s="118">
        <f t="shared" si="18"/>
        <v>389078.12637499464</v>
      </c>
      <c r="DG24" s="118">
        <f t="shared" si="19"/>
        <v>-134078.12637499464</v>
      </c>
      <c r="DH24" s="118">
        <f t="shared" si="20"/>
        <v>239434.74305146901</v>
      </c>
      <c r="DI24" s="118">
        <f t="shared" si="21"/>
        <v>-303095.58888235042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191339.15416911856</v>
      </c>
      <c r="EQ24" s="119"/>
      <c r="ER24" s="126"/>
      <c r="ES24" s="122"/>
      <c r="ET24" s="123">
        <f t="shared" si="54"/>
        <v>357311.62</v>
      </c>
      <c r="EU24" s="72"/>
      <c r="EV24" s="117">
        <f t="shared" si="55"/>
        <v>3378.869486102938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-25366.69</v>
      </c>
    </row>
    <row r="25" spans="1:193" ht="15">
      <c r="A25" s="440" t="s">
        <v>401</v>
      </c>
      <c r="B25" s="203"/>
      <c r="C25" s="200"/>
      <c r="D25" s="452"/>
      <c r="E25" s="453">
        <f t="shared" si="0"/>
        <v>0</v>
      </c>
      <c r="F25" s="454">
        <f t="shared" si="1"/>
        <v>0</v>
      </c>
      <c r="G25" s="202" t="str">
        <f t="shared" si="2"/>
        <v/>
      </c>
      <c r="H25" s="458">
        <f t="shared" si="58"/>
        <v>0</v>
      </c>
      <c r="I25" s="459">
        <f t="shared" si="3"/>
        <v>0</v>
      </c>
      <c r="J25" s="62"/>
      <c r="K25" s="423"/>
      <c r="L25" s="630">
        <f t="shared" si="71"/>
        <v>3480.2355706860262</v>
      </c>
      <c r="M25" s="482">
        <f t="shared" si="5"/>
        <v>296491.96000000002</v>
      </c>
      <c r="N25" s="482">
        <f t="shared" ca="1" si="6"/>
        <v>-25366.69</v>
      </c>
      <c r="O25" s="62"/>
      <c r="P25" s="198" t="str">
        <f t="shared" si="59"/>
        <v>-</v>
      </c>
      <c r="Q25" s="407">
        <f t="shared" si="69"/>
        <v>0</v>
      </c>
      <c r="R25" s="194"/>
      <c r="S25" s="443">
        <f t="shared" ca="1" si="60"/>
        <v>0</v>
      </c>
      <c r="T25" s="345" t="str">
        <f t="shared" si="61"/>
        <v/>
      </c>
      <c r="U25" s="345" t="str">
        <f t="shared" si="62"/>
        <v/>
      </c>
      <c r="V25" s="343">
        <f>IFERROR(VLOOKUP($U25,HomeBroker!$A$30:$F$60,2,0),0)</f>
        <v>0</v>
      </c>
      <c r="W25" s="446">
        <f>IFERROR(VLOOKUP($U25,HomeBroker!$A$30:$F$60,3,0),0)</f>
        <v>0</v>
      </c>
      <c r="X25" s="626">
        <f>IFERROR(VLOOKUP($U25,HomeBroker!$A$30:$F$60,6,0),0)</f>
        <v>0</v>
      </c>
      <c r="Y25" s="445">
        <f>IFERROR(VLOOKUP($U25,HomeBroker!$A$30:$F$60,4,0),0)</f>
        <v>0</v>
      </c>
      <c r="Z25" s="343">
        <f>IFERROR(VLOOKUP($U25,HomeBroker!$A$30:$F$60,5,0),0)</f>
        <v>0</v>
      </c>
      <c r="AA25" s="346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44">
        <f t="shared" ca="1" si="64"/>
        <v>0</v>
      </c>
      <c r="AF25" s="345" t="str">
        <f t="shared" si="65"/>
        <v/>
      </c>
      <c r="AG25" s="345" t="str">
        <f t="shared" si="66"/>
        <v/>
      </c>
      <c r="AH25" s="408">
        <f>IFERROR(VLOOKUP($AG25,HomeBroker!$A$30:$F$60,2,0),0)</f>
        <v>0</v>
      </c>
      <c r="AI25" s="446">
        <f>IFERROR(VLOOKUP($AG25,HomeBroker!$A$30:$F$60,3,0),0)</f>
        <v>0</v>
      </c>
      <c r="AJ25" s="626">
        <f>IFERROR(VLOOKUP($AG25,HomeBroker!$A$30:$F$60,6,0),0)</f>
        <v>0</v>
      </c>
      <c r="AK25" s="446">
        <f>IFERROR(VLOOKUP($AG25,HomeBroker!$A$30:$F$60,4,0),0)</f>
        <v>0</v>
      </c>
      <c r="AL25" s="408">
        <f>IFERROR(VLOOKUP($AG25,HomeBroker!$A$30:$F$60,5,0),0)</f>
        <v>0</v>
      </c>
      <c r="AM25" s="448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6">
        <f t="shared" si="11"/>
        <v>0</v>
      </c>
      <c r="AY25" s="217">
        <f t="shared" si="12"/>
        <v>0</v>
      </c>
      <c r="AZ25" s="114" t="s">
        <v>402</v>
      </c>
      <c r="BA25" s="112"/>
      <c r="BB25" s="129"/>
      <c r="BC25" s="115"/>
      <c r="BD25" s="218">
        <f t="shared" si="13"/>
        <v>0</v>
      </c>
      <c r="BE25" s="220">
        <f t="shared" si="14"/>
        <v>0</v>
      </c>
      <c r="BF25" s="116" t="s">
        <v>403</v>
      </c>
      <c r="BG25" s="112"/>
      <c r="BH25" s="115"/>
      <c r="BI25" s="221">
        <f t="shared" si="15"/>
        <v>0</v>
      </c>
      <c r="BJ25" s="222">
        <f t="shared" si="16"/>
        <v>0</v>
      </c>
      <c r="DE25" s="117">
        <f t="shared" si="17"/>
        <v>3480.2355706860262</v>
      </c>
      <c r="DF25" s="118">
        <f t="shared" si="18"/>
        <v>561400.47016624454</v>
      </c>
      <c r="DG25" s="118">
        <f t="shared" si="19"/>
        <v>-306400.4701662446</v>
      </c>
      <c r="DH25" s="118">
        <f t="shared" si="20"/>
        <v>290117.78534301312</v>
      </c>
      <c r="DI25" s="118">
        <f t="shared" si="21"/>
        <v>-384188.45654882095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160929.32879419206</v>
      </c>
      <c r="EQ25" s="119"/>
      <c r="ER25" s="126"/>
      <c r="ES25" s="122"/>
      <c r="ET25" s="123">
        <f t="shared" si="54"/>
        <v>296491.96000000002</v>
      </c>
      <c r="EU25" s="72"/>
      <c r="EV25" s="117">
        <f t="shared" si="55"/>
        <v>3480.2355706860262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-25366.69</v>
      </c>
    </row>
    <row r="26" spans="1:193" ht="15">
      <c r="A26" s="440" t="s">
        <v>401</v>
      </c>
      <c r="B26" s="203"/>
      <c r="C26" s="200"/>
      <c r="D26" s="452"/>
      <c r="E26" s="453">
        <f t="shared" si="0"/>
        <v>0</v>
      </c>
      <c r="F26" s="454">
        <f t="shared" si="1"/>
        <v>0</v>
      </c>
      <c r="G26" s="202" t="str">
        <f t="shared" si="2"/>
        <v/>
      </c>
      <c r="H26" s="458">
        <f t="shared" si="58"/>
        <v>0</v>
      </c>
      <c r="I26" s="459">
        <f t="shared" si="3"/>
        <v>0</v>
      </c>
      <c r="J26" s="62"/>
      <c r="K26" s="423"/>
      <c r="L26" s="630">
        <f t="shared" si="71"/>
        <v>3584.6426378066071</v>
      </c>
      <c r="M26" s="482">
        <f t="shared" si="5"/>
        <v>233847.72</v>
      </c>
      <c r="N26" s="482">
        <f t="shared" ca="1" si="6"/>
        <v>-25366.69</v>
      </c>
      <c r="O26" s="62"/>
      <c r="P26" s="198" t="str">
        <f t="shared" si="59"/>
        <v>-</v>
      </c>
      <c r="Q26" s="407">
        <f t="shared" si="69"/>
        <v>0</v>
      </c>
      <c r="R26" s="194"/>
      <c r="S26" s="443">
        <f t="shared" ca="1" si="60"/>
        <v>0</v>
      </c>
      <c r="T26" s="345" t="str">
        <f t="shared" si="61"/>
        <v/>
      </c>
      <c r="U26" s="345" t="str">
        <f t="shared" si="62"/>
        <v/>
      </c>
      <c r="V26" s="343">
        <f>IFERROR(VLOOKUP($U26,HomeBroker!$A$30:$F$60,2,0),0)</f>
        <v>0</v>
      </c>
      <c r="W26" s="446">
        <f>IFERROR(VLOOKUP($U26,HomeBroker!$A$30:$F$60,3,0),0)</f>
        <v>0</v>
      </c>
      <c r="X26" s="626">
        <f>IFERROR(VLOOKUP($U26,HomeBroker!$A$30:$F$60,6,0),0)</f>
        <v>0</v>
      </c>
      <c r="Y26" s="445">
        <f>IFERROR(VLOOKUP($U26,HomeBroker!$A$30:$F$60,4,0),0)</f>
        <v>0</v>
      </c>
      <c r="Z26" s="343">
        <f>IFERROR(VLOOKUP($U26,HomeBroker!$A$30:$F$60,5,0),0)</f>
        <v>0</v>
      </c>
      <c r="AA26" s="346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44">
        <f t="shared" ca="1" si="64"/>
        <v>0</v>
      </c>
      <c r="AF26" s="345" t="str">
        <f t="shared" si="65"/>
        <v/>
      </c>
      <c r="AG26" s="345" t="str">
        <f t="shared" si="66"/>
        <v/>
      </c>
      <c r="AH26" s="408">
        <f>IFERROR(VLOOKUP($AG26,HomeBroker!$A$30:$F$60,2,0),0)</f>
        <v>0</v>
      </c>
      <c r="AI26" s="446">
        <f>IFERROR(VLOOKUP($AG26,HomeBroker!$A$30:$F$60,3,0),0)</f>
        <v>0</v>
      </c>
      <c r="AJ26" s="626">
        <f>IFERROR(VLOOKUP($AG26,HomeBroker!$A$30:$F$60,6,0),0)</f>
        <v>0</v>
      </c>
      <c r="AK26" s="446">
        <f>IFERROR(VLOOKUP($AG26,HomeBroker!$A$30:$F$60,4,0),0)</f>
        <v>0</v>
      </c>
      <c r="AL26" s="408">
        <f>IFERROR(VLOOKUP($AG26,HomeBroker!$A$30:$F$60,5,0),0)</f>
        <v>0</v>
      </c>
      <c r="AM26" s="448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6">
        <f t="shared" si="11"/>
        <v>0</v>
      </c>
      <c r="AY26" s="217">
        <f t="shared" si="12"/>
        <v>0</v>
      </c>
      <c r="AZ26" s="114" t="s">
        <v>402</v>
      </c>
      <c r="BA26" s="112"/>
      <c r="BB26" s="129"/>
      <c r="BC26" s="115"/>
      <c r="BD26" s="218">
        <f t="shared" si="13"/>
        <v>0</v>
      </c>
      <c r="BE26" s="220">
        <f t="shared" si="14"/>
        <v>0</v>
      </c>
      <c r="BF26" s="116" t="s">
        <v>403</v>
      </c>
      <c r="BG26" s="112"/>
      <c r="BH26" s="115"/>
      <c r="BI26" s="221">
        <f t="shared" si="15"/>
        <v>0</v>
      </c>
      <c r="BJ26" s="222">
        <f t="shared" si="16"/>
        <v>0</v>
      </c>
      <c r="DE26" s="117">
        <f t="shared" si="17"/>
        <v>3584.6426378066071</v>
      </c>
      <c r="DF26" s="118">
        <f t="shared" si="18"/>
        <v>738892.48427123216</v>
      </c>
      <c r="DG26" s="118">
        <f t="shared" si="19"/>
        <v>-483892.4842712321</v>
      </c>
      <c r="DH26" s="118">
        <f t="shared" si="20"/>
        <v>342321.31890330359</v>
      </c>
      <c r="DI26" s="118">
        <f t="shared" si="21"/>
        <v>-467714.11024528567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129607.20865801803</v>
      </c>
      <c r="EQ26" s="119"/>
      <c r="ER26" s="126"/>
      <c r="ES26" s="122"/>
      <c r="ET26" s="123">
        <f t="shared" si="54"/>
        <v>233847.72</v>
      </c>
      <c r="EU26" s="72"/>
      <c r="EV26" s="117">
        <f t="shared" si="55"/>
        <v>3584.6426378066071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-25366.69</v>
      </c>
    </row>
    <row r="27" spans="1:193" ht="15">
      <c r="A27" s="440" t="s">
        <v>401</v>
      </c>
      <c r="B27" s="205"/>
      <c r="C27" s="200"/>
      <c r="D27" s="452"/>
      <c r="E27" s="453">
        <f t="shared" si="0"/>
        <v>0</v>
      </c>
      <c r="F27" s="454">
        <f t="shared" si="1"/>
        <v>0</v>
      </c>
      <c r="G27" s="202" t="str">
        <f t="shared" si="2"/>
        <v/>
      </c>
      <c r="H27" s="458">
        <f t="shared" si="58"/>
        <v>0</v>
      </c>
      <c r="I27" s="459">
        <f t="shared" si="3"/>
        <v>0</v>
      </c>
      <c r="J27" s="62"/>
      <c r="K27" s="423"/>
      <c r="L27" s="630">
        <f t="shared" si="71"/>
        <v>3692.1819169408054</v>
      </c>
      <c r="M27" s="483">
        <f t="shared" si="5"/>
        <v>169324.16</v>
      </c>
      <c r="N27" s="483">
        <f t="shared" ca="1" si="6"/>
        <v>-25366.69</v>
      </c>
      <c r="O27" s="62"/>
      <c r="P27" s="198" t="str">
        <f t="shared" si="59"/>
        <v>-</v>
      </c>
      <c r="Q27" s="407">
        <f t="shared" si="69"/>
        <v>0</v>
      </c>
      <c r="R27" s="194"/>
      <c r="S27" s="443">
        <f t="shared" ca="1" si="60"/>
        <v>0</v>
      </c>
      <c r="T27" s="345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45" t="str">
        <f t="shared" ref="U27:U42" si="74">+IF(R27&lt;&gt;"",IF(LEN(R27)=1,CONCATENATE(,$L$43,"C",R27,".00",$N$43),IF(LEN(R27)=2,CONCATENATE($L$43,"C",R27,".0",$N$43),+IF(AND(LEN(R27)=3,R27&lt;10),CONCATENATE($L$43,"C",REPLACE(TEXT(R27,"0,00"),2,1,"."),$N$43),+IF(AND(LEN(R27)=3,R27&gt;=100),CONCATENATE($L$43,"C",R27,".",$N$43),+IF(AND(LEN(R27)=4,R27&gt;100),CONCATENATE($L$43,"C",R27,MID($N$43,1,1)),+IF(AND(LEN(R27)=5,R27&gt;100),CONCATENATE($L$43,"C",R27,MID($N$43,1,1)),+IF(AND(LEN(R27)=6,R27&lt;1000),CONCATENATE($L$43,"C",R27*100,MID($N$43,2,1)),+IF(AND(LEN(R27)=6,R27&gt;1000),CONCATENATE($L$43,"C",R27*10,MID($N$43,2,1)),+IF(AND(LEN(R27)=7,R27&gt;100),CONCATENATE($L$43,"C",REPLACE(TEXT(R27,",00"),3,1,""),R27*100,MID($N$43,1,1)),0))))))))),"")</f>
        <v/>
      </c>
      <c r="V27" s="343">
        <f>IFERROR(VLOOKUP($U27,HomeBroker!$A$30:$F$60,2,0),0)</f>
        <v>0</v>
      </c>
      <c r="W27" s="446">
        <f>IFERROR(VLOOKUP($U27,HomeBroker!$A$30:$F$60,3,0),0)</f>
        <v>0</v>
      </c>
      <c r="X27" s="626">
        <f>IFERROR(VLOOKUP($U27,HomeBroker!$A$30:$F$60,6,0),0)</f>
        <v>0</v>
      </c>
      <c r="Y27" s="445">
        <f>IFERROR(VLOOKUP($U27,HomeBroker!$A$30:$F$60,4,0),0)</f>
        <v>0</v>
      </c>
      <c r="Z27" s="343">
        <f>IFERROR(VLOOKUP($U27,HomeBroker!$A$30:$F$60,5,0),0)</f>
        <v>0</v>
      </c>
      <c r="AA27" s="346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44">
        <f t="shared" ca="1" si="64"/>
        <v>0</v>
      </c>
      <c r="AF27" s="345" t="str">
        <f t="shared" ref="AF27:AF42" si="75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45" t="str">
        <f t="shared" ref="AG27:AG42" si="76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408">
        <f>IFERROR(VLOOKUP($AG27,HomeBroker!$A$30:$F$60,2,0),0)</f>
        <v>0</v>
      </c>
      <c r="AI27" s="446">
        <f>IFERROR(VLOOKUP($AG27,HomeBroker!$A$30:$F$60,3,0),0)</f>
        <v>0</v>
      </c>
      <c r="AJ27" s="626">
        <f>IFERROR(VLOOKUP($AG27,HomeBroker!$A$30:$F$60,6,0),0)</f>
        <v>0</v>
      </c>
      <c r="AK27" s="446">
        <f>IFERROR(VLOOKUP($AG27,HomeBroker!$A$30:$F$60,4,0),0)</f>
        <v>0</v>
      </c>
      <c r="AL27" s="408">
        <f>IFERROR(VLOOKUP($AG27,HomeBroker!$A$30:$F$60,5,0),0)</f>
        <v>0</v>
      </c>
      <c r="AM27" s="448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6">
        <f t="shared" si="11"/>
        <v>0</v>
      </c>
      <c r="AY27" s="217">
        <f t="shared" si="12"/>
        <v>0</v>
      </c>
      <c r="AZ27" s="114" t="s">
        <v>402</v>
      </c>
      <c r="BA27" s="112"/>
      <c r="BB27" s="129"/>
      <c r="BC27" s="115"/>
      <c r="BD27" s="218">
        <f t="shared" si="13"/>
        <v>0</v>
      </c>
      <c r="BE27" s="220">
        <f t="shared" si="14"/>
        <v>0</v>
      </c>
      <c r="BF27" s="116" t="s">
        <v>403</v>
      </c>
      <c r="BG27" s="112"/>
      <c r="BH27" s="115"/>
      <c r="BI27" s="221">
        <f t="shared" si="15"/>
        <v>0</v>
      </c>
      <c r="BJ27" s="222">
        <f t="shared" si="16"/>
        <v>0</v>
      </c>
      <c r="DE27" s="117">
        <f t="shared" si="17"/>
        <v>3692.1819169408054</v>
      </c>
      <c r="DF27" s="118">
        <f t="shared" si="18"/>
        <v>921709.25879936921</v>
      </c>
      <c r="DG27" s="118">
        <f t="shared" si="19"/>
        <v>-666709.25879936921</v>
      </c>
      <c r="DH27" s="118">
        <f t="shared" si="20"/>
        <v>396090.95847040269</v>
      </c>
      <c r="DI27" s="118">
        <f t="shared" si="21"/>
        <v>-553745.53355264431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97345.424917758442</v>
      </c>
      <c r="EQ27" s="119"/>
      <c r="ER27" s="126"/>
      <c r="ES27" s="122"/>
      <c r="ET27" s="123">
        <f t="shared" si="54"/>
        <v>169324.16</v>
      </c>
      <c r="EU27" s="72"/>
      <c r="EV27" s="117">
        <f t="shared" si="55"/>
        <v>3692.1819169408054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-25366.69</v>
      </c>
    </row>
    <row r="28" spans="1:193" ht="15">
      <c r="A28" s="440" t="s">
        <v>401</v>
      </c>
      <c r="B28" s="203"/>
      <c r="C28" s="200"/>
      <c r="D28" s="452"/>
      <c r="E28" s="453">
        <f t="shared" si="0"/>
        <v>0</v>
      </c>
      <c r="F28" s="454">
        <f t="shared" si="1"/>
        <v>0</v>
      </c>
      <c r="G28" s="202" t="str">
        <f t="shared" si="2"/>
        <v/>
      </c>
      <c r="H28" s="458">
        <f t="shared" si="58"/>
        <v>0</v>
      </c>
      <c r="I28" s="459">
        <f t="shared" si="3"/>
        <v>0</v>
      </c>
      <c r="J28" s="62"/>
      <c r="K28" s="426"/>
      <c r="L28" s="630">
        <f t="shared" si="71"/>
        <v>3802.9473744490297</v>
      </c>
      <c r="M28" s="482">
        <f t="shared" si="5"/>
        <v>102864.88</v>
      </c>
      <c r="N28" s="482">
        <f t="shared" ca="1" si="6"/>
        <v>-25366.69</v>
      </c>
      <c r="O28" s="62"/>
      <c r="P28" s="198" t="str">
        <f t="shared" si="59"/>
        <v>-</v>
      </c>
      <c r="Q28" s="407">
        <f t="shared" si="69"/>
        <v>0</v>
      </c>
      <c r="R28" s="194"/>
      <c r="S28" s="443">
        <f t="shared" ca="1" si="60"/>
        <v>0</v>
      </c>
      <c r="T28" s="345" t="str">
        <f t="shared" si="73"/>
        <v/>
      </c>
      <c r="U28" s="345" t="str">
        <f t="shared" si="74"/>
        <v/>
      </c>
      <c r="V28" s="343">
        <f>IFERROR(VLOOKUP($U28,HomeBroker!$A$30:$F$60,2,0),0)</f>
        <v>0</v>
      </c>
      <c r="W28" s="446">
        <f>IFERROR(VLOOKUP($U28,HomeBroker!$A$30:$F$60,3,0),0)</f>
        <v>0</v>
      </c>
      <c r="X28" s="626">
        <f>IFERROR(VLOOKUP($U28,HomeBroker!$A$30:$F$60,6,0),0)</f>
        <v>0</v>
      </c>
      <c r="Y28" s="445">
        <f>IFERROR(VLOOKUP($U28,HomeBroker!$A$30:$F$60,4,0),0)</f>
        <v>0</v>
      </c>
      <c r="Z28" s="343">
        <f>IFERROR(VLOOKUP($U28,HomeBroker!$A$30:$F$60,5,0),0)</f>
        <v>0</v>
      </c>
      <c r="AA28" s="346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44">
        <f t="shared" ca="1" si="64"/>
        <v>0</v>
      </c>
      <c r="AF28" s="345" t="str">
        <f t="shared" si="75"/>
        <v/>
      </c>
      <c r="AG28" s="345" t="str">
        <f t="shared" si="76"/>
        <v/>
      </c>
      <c r="AH28" s="408">
        <f>IFERROR(VLOOKUP($AG28,HomeBroker!$A$30:$F$60,2,0),0)</f>
        <v>0</v>
      </c>
      <c r="AI28" s="446">
        <f>IFERROR(VLOOKUP($AG28,HomeBroker!$A$30:$F$60,3,0),0)</f>
        <v>0</v>
      </c>
      <c r="AJ28" s="626">
        <f>IFERROR(VLOOKUP($AG28,HomeBroker!$A$30:$F$60,6,0),0)</f>
        <v>0</v>
      </c>
      <c r="AK28" s="446">
        <f>IFERROR(VLOOKUP($AG28,HomeBroker!$A$30:$F$60,4,0),0)</f>
        <v>0</v>
      </c>
      <c r="AL28" s="408">
        <f>IFERROR(VLOOKUP($AG28,HomeBroker!$A$30:$F$60,5,0),0)</f>
        <v>0</v>
      </c>
      <c r="AM28" s="448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6">
        <f t="shared" si="11"/>
        <v>0</v>
      </c>
      <c r="AY28" s="217">
        <f t="shared" si="12"/>
        <v>0</v>
      </c>
      <c r="AZ28" s="114" t="s">
        <v>402</v>
      </c>
      <c r="BA28" s="112"/>
      <c r="BB28" s="129"/>
      <c r="BC28" s="115"/>
      <c r="BD28" s="218">
        <f t="shared" si="13"/>
        <v>0</v>
      </c>
      <c r="BE28" s="220">
        <f t="shared" si="14"/>
        <v>0</v>
      </c>
      <c r="BF28" s="116" t="s">
        <v>403</v>
      </c>
      <c r="BG28" s="112"/>
      <c r="BH28" s="115"/>
      <c r="BI28" s="221">
        <f t="shared" si="15"/>
        <v>0</v>
      </c>
      <c r="BJ28" s="222">
        <f t="shared" si="16"/>
        <v>0</v>
      </c>
      <c r="DE28" s="117">
        <f t="shared" si="17"/>
        <v>3802.9473744490297</v>
      </c>
      <c r="DF28" s="118">
        <f t="shared" si="18"/>
        <v>1110010.5365633504</v>
      </c>
      <c r="DG28" s="118">
        <f t="shared" si="19"/>
        <v>-855010.53656335047</v>
      </c>
      <c r="DH28" s="118">
        <f t="shared" si="20"/>
        <v>451473.68722451484</v>
      </c>
      <c r="DI28" s="118">
        <f t="shared" si="21"/>
        <v>-642357.89955922379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64115.787665290991</v>
      </c>
      <c r="EQ28" s="119"/>
      <c r="ER28" s="126"/>
      <c r="ES28" s="122"/>
      <c r="ET28" s="123">
        <f t="shared" si="54"/>
        <v>102864.88</v>
      </c>
      <c r="EU28" s="72"/>
      <c r="EV28" s="117">
        <f t="shared" si="55"/>
        <v>3802.9473744490297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-25366.69</v>
      </c>
    </row>
    <row r="29" spans="1:193" ht="15">
      <c r="A29" s="440" t="s">
        <v>401</v>
      </c>
      <c r="B29" s="203"/>
      <c r="C29" s="200"/>
      <c r="D29" s="452"/>
      <c r="E29" s="453">
        <f t="shared" si="0"/>
        <v>0</v>
      </c>
      <c r="F29" s="454">
        <f t="shared" si="1"/>
        <v>0</v>
      </c>
      <c r="G29" s="202" t="str">
        <f t="shared" si="2"/>
        <v/>
      </c>
      <c r="H29" s="458">
        <f t="shared" si="58"/>
        <v>0</v>
      </c>
      <c r="I29" s="459">
        <f t="shared" si="3"/>
        <v>0</v>
      </c>
      <c r="J29" s="62"/>
      <c r="K29" s="106">
        <f>IFERROR(+L29/$L$18-1,"")</f>
        <v>0.3842338707244457</v>
      </c>
      <c r="L29" s="632">
        <f t="shared" si="71"/>
        <v>3917.0357956825005</v>
      </c>
      <c r="M29" s="482">
        <f t="shared" si="5"/>
        <v>34411.83</v>
      </c>
      <c r="N29" s="482">
        <f t="shared" ca="1" si="6"/>
        <v>-25366.69</v>
      </c>
      <c r="O29" s="62"/>
      <c r="P29" s="198" t="str">
        <f t="shared" si="59"/>
        <v>-</v>
      </c>
      <c r="Q29" s="407">
        <f t="shared" si="69"/>
        <v>0</v>
      </c>
      <c r="R29" s="194"/>
      <c r="S29" s="443">
        <f t="shared" ca="1" si="60"/>
        <v>0</v>
      </c>
      <c r="T29" s="345" t="str">
        <f t="shared" si="73"/>
        <v/>
      </c>
      <c r="U29" s="345" t="str">
        <f t="shared" si="74"/>
        <v/>
      </c>
      <c r="V29" s="343">
        <f>IFERROR(VLOOKUP($U29,HomeBroker!$A$30:$F$60,2,0),0)</f>
        <v>0</v>
      </c>
      <c r="W29" s="446">
        <f>IFERROR(VLOOKUP($U29,HomeBroker!$A$30:$F$60,3,0),0)</f>
        <v>0</v>
      </c>
      <c r="X29" s="626">
        <f>IFERROR(VLOOKUP($U29,HomeBroker!$A$30:$F$60,6,0),0)</f>
        <v>0</v>
      </c>
      <c r="Y29" s="445">
        <f>IFERROR(VLOOKUP($U29,HomeBroker!$A$30:$F$60,4,0),0)</f>
        <v>0</v>
      </c>
      <c r="Z29" s="343">
        <f>IFERROR(VLOOKUP($U29,HomeBroker!$A$30:$F$60,5,0),0)</f>
        <v>0</v>
      </c>
      <c r="AA29" s="346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44">
        <f t="shared" ca="1" si="64"/>
        <v>0</v>
      </c>
      <c r="AF29" s="345" t="str">
        <f t="shared" si="75"/>
        <v/>
      </c>
      <c r="AG29" s="345" t="str">
        <f t="shared" si="76"/>
        <v/>
      </c>
      <c r="AH29" s="408">
        <f>IFERROR(VLOOKUP($AG29,HomeBroker!$A$30:$F$60,2,0),0)</f>
        <v>0</v>
      </c>
      <c r="AI29" s="446">
        <f>IFERROR(VLOOKUP($AG29,HomeBroker!$A$30:$F$60,3,0),0)</f>
        <v>0</v>
      </c>
      <c r="AJ29" s="626">
        <f>IFERROR(VLOOKUP($AG29,HomeBroker!$A$30:$F$60,6,0),0)</f>
        <v>0</v>
      </c>
      <c r="AK29" s="446">
        <f>IFERROR(VLOOKUP($AG29,HomeBroker!$A$30:$F$60,4,0),0)</f>
        <v>0</v>
      </c>
      <c r="AL29" s="408">
        <f>IFERROR(VLOOKUP($AG29,HomeBroker!$A$30:$F$60,5,0),0)</f>
        <v>0</v>
      </c>
      <c r="AM29" s="448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6">
        <f t="shared" si="11"/>
        <v>0</v>
      </c>
      <c r="AY29" s="217">
        <f t="shared" si="12"/>
        <v>0</v>
      </c>
      <c r="AZ29" s="114" t="s">
        <v>402</v>
      </c>
      <c r="BA29" s="112"/>
      <c r="BB29" s="129"/>
      <c r="BC29" s="115"/>
      <c r="BD29" s="218">
        <f t="shared" si="13"/>
        <v>0</v>
      </c>
      <c r="BE29" s="220">
        <f t="shared" si="14"/>
        <v>0</v>
      </c>
      <c r="BF29" s="116" t="s">
        <v>403</v>
      </c>
      <c r="BG29" s="112"/>
      <c r="BH29" s="115"/>
      <c r="BI29" s="221">
        <f t="shared" si="15"/>
        <v>0</v>
      </c>
      <c r="BJ29" s="222">
        <f t="shared" si="16"/>
        <v>0</v>
      </c>
      <c r="DE29" s="117">
        <f t="shared" si="17"/>
        <v>3917.0357956825005</v>
      </c>
      <c r="DF29" s="118">
        <f t="shared" si="18"/>
        <v>1303960.8526602509</v>
      </c>
      <c r="DG29" s="118">
        <f t="shared" si="19"/>
        <v>-1048960.8526602509</v>
      </c>
      <c r="DH29" s="118">
        <f t="shared" si="20"/>
        <v>508517.89784125023</v>
      </c>
      <c r="DI29" s="118">
        <f t="shared" si="21"/>
        <v>-733628.63654600037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29889.261295249918</v>
      </c>
      <c r="EQ29" s="119"/>
      <c r="ER29" s="126"/>
      <c r="ES29" s="122"/>
      <c r="ET29" s="123">
        <f t="shared" si="54"/>
        <v>34411.83</v>
      </c>
      <c r="EU29" s="72"/>
      <c r="EV29" s="117">
        <f t="shared" si="55"/>
        <v>3917.0357956825005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-25366.69</v>
      </c>
    </row>
    <row r="30" spans="1:193" ht="15">
      <c r="A30" s="440" t="s">
        <v>401</v>
      </c>
      <c r="B30" s="203"/>
      <c r="C30" s="200"/>
      <c r="D30" s="452"/>
      <c r="E30" s="453">
        <f t="shared" si="0"/>
        <v>0</v>
      </c>
      <c r="F30" s="454">
        <f t="shared" si="1"/>
        <v>0</v>
      </c>
      <c r="G30" s="202" t="str">
        <f t="shared" si="2"/>
        <v/>
      </c>
      <c r="H30" s="458">
        <f t="shared" si="58"/>
        <v>0</v>
      </c>
      <c r="I30" s="459">
        <f t="shared" si="3"/>
        <v>0</v>
      </c>
      <c r="J30" s="62"/>
      <c r="K30" s="106"/>
      <c r="L30" s="632">
        <f t="shared" si="71"/>
        <v>4034.5468695529757</v>
      </c>
      <c r="M30" s="483">
        <f t="shared" si="5"/>
        <v>-36094.81</v>
      </c>
      <c r="N30" s="483">
        <f t="shared" ca="1" si="6"/>
        <v>-25366.69</v>
      </c>
      <c r="O30" s="62"/>
      <c r="P30" s="198" t="str">
        <f t="shared" si="59"/>
        <v>-</v>
      </c>
      <c r="Q30" s="407">
        <f t="shared" si="69"/>
        <v>0</v>
      </c>
      <c r="R30" s="194"/>
      <c r="S30" s="443">
        <f t="shared" ca="1" si="60"/>
        <v>0</v>
      </c>
      <c r="T30" s="345" t="str">
        <f t="shared" si="73"/>
        <v/>
      </c>
      <c r="U30" s="345" t="str">
        <f t="shared" si="74"/>
        <v/>
      </c>
      <c r="V30" s="343">
        <f>IFERROR(VLOOKUP($U30,HomeBroker!$A$30:$F$60,2,0),0)</f>
        <v>0</v>
      </c>
      <c r="W30" s="446">
        <f>IFERROR(VLOOKUP($U30,HomeBroker!$A$30:$F$60,3,0),0)</f>
        <v>0</v>
      </c>
      <c r="X30" s="626">
        <f>IFERROR(VLOOKUP($U30,HomeBroker!$A$30:$F$60,6,0),0)</f>
        <v>0</v>
      </c>
      <c r="Y30" s="445">
        <f>IFERROR(VLOOKUP($U30,HomeBroker!$A$30:$F$60,4,0),0)</f>
        <v>0</v>
      </c>
      <c r="Z30" s="343">
        <f>IFERROR(VLOOKUP($U30,HomeBroker!$A$30:$F$60,5,0),0)</f>
        <v>0</v>
      </c>
      <c r="AA30" s="346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44">
        <f t="shared" ca="1" si="64"/>
        <v>0</v>
      </c>
      <c r="AF30" s="345" t="str">
        <f t="shared" si="75"/>
        <v/>
      </c>
      <c r="AG30" s="345" t="str">
        <f t="shared" si="76"/>
        <v/>
      </c>
      <c r="AH30" s="408">
        <f>IFERROR(VLOOKUP($AG30,HomeBroker!$A$30:$F$60,2,0),0)</f>
        <v>0</v>
      </c>
      <c r="AI30" s="446">
        <f>IFERROR(VLOOKUP($AG30,HomeBroker!$A$30:$F$60,3,0),0)</f>
        <v>0</v>
      </c>
      <c r="AJ30" s="626">
        <f>IFERROR(VLOOKUP($AG30,HomeBroker!$A$30:$F$60,6,0),0)</f>
        <v>0</v>
      </c>
      <c r="AK30" s="446">
        <f>IFERROR(VLOOKUP($AG30,HomeBroker!$A$30:$F$60,4,0),0)</f>
        <v>0</v>
      </c>
      <c r="AL30" s="408">
        <f>IFERROR(VLOOKUP($AG30,HomeBroker!$A$30:$F$60,5,0),0)</f>
        <v>0</v>
      </c>
      <c r="AM30" s="448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6">
        <f t="shared" si="11"/>
        <v>0</v>
      </c>
      <c r="AY30" s="217">
        <f t="shared" si="12"/>
        <v>0</v>
      </c>
      <c r="AZ30" s="114" t="s">
        <v>402</v>
      </c>
      <c r="BA30" s="112"/>
      <c r="BB30" s="129"/>
      <c r="BC30" s="115"/>
      <c r="BD30" s="218">
        <f t="shared" si="13"/>
        <v>0</v>
      </c>
      <c r="BE30" s="220">
        <f t="shared" si="14"/>
        <v>0</v>
      </c>
      <c r="BF30" s="116" t="s">
        <v>403</v>
      </c>
      <c r="BG30" s="112"/>
      <c r="BH30" s="115"/>
      <c r="BI30" s="221">
        <f t="shared" si="15"/>
        <v>0</v>
      </c>
      <c r="BJ30" s="222">
        <f t="shared" si="16"/>
        <v>0</v>
      </c>
      <c r="DE30" s="117">
        <f t="shared" si="17"/>
        <v>4034.5468695529757</v>
      </c>
      <c r="DF30" s="118">
        <f t="shared" si="18"/>
        <v>1503729.6782400587</v>
      </c>
      <c r="DG30" s="118">
        <f t="shared" si="19"/>
        <v>-1248729.6782400587</v>
      </c>
      <c r="DH30" s="118">
        <f t="shared" si="20"/>
        <v>567273.43477648788</v>
      </c>
      <c r="DI30" s="118">
        <f t="shared" si="21"/>
        <v>-827637.49564238056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-5364.0608658926794</v>
      </c>
      <c r="EQ30" s="119"/>
      <c r="ER30" s="126"/>
      <c r="ES30" s="122"/>
      <c r="ET30" s="123">
        <f t="shared" si="54"/>
        <v>-36094.81</v>
      </c>
      <c r="EU30" s="72"/>
      <c r="EV30" s="117">
        <f t="shared" si="55"/>
        <v>4034.5468695529757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-25366.69</v>
      </c>
    </row>
    <row r="31" spans="1:193" ht="15">
      <c r="A31" s="440" t="s">
        <v>401</v>
      </c>
      <c r="B31" s="203"/>
      <c r="C31" s="200"/>
      <c r="D31" s="452"/>
      <c r="E31" s="453">
        <f t="shared" si="0"/>
        <v>0</v>
      </c>
      <c r="F31" s="454">
        <f t="shared" si="1"/>
        <v>0</v>
      </c>
      <c r="G31" s="202" t="str">
        <f t="shared" si="2"/>
        <v/>
      </c>
      <c r="H31" s="458">
        <f t="shared" si="58"/>
        <v>0</v>
      </c>
      <c r="I31" s="459">
        <f t="shared" si="3"/>
        <v>0</v>
      </c>
      <c r="J31" s="62"/>
      <c r="K31" s="106"/>
      <c r="L31" s="632">
        <f t="shared" si="71"/>
        <v>4155.5832756395648</v>
      </c>
      <c r="M31" s="482">
        <f t="shared" si="5"/>
        <v>-108716.66</v>
      </c>
      <c r="N31" s="482">
        <f t="shared" ca="1" si="6"/>
        <v>-25366.69</v>
      </c>
      <c r="O31" s="62"/>
      <c r="P31" s="198" t="str">
        <f t="shared" si="59"/>
        <v>-</v>
      </c>
      <c r="Q31" s="407">
        <f t="shared" si="69"/>
        <v>0</v>
      </c>
      <c r="R31" s="194"/>
      <c r="S31" s="443">
        <f t="shared" ca="1" si="60"/>
        <v>0</v>
      </c>
      <c r="T31" s="345" t="str">
        <f t="shared" si="73"/>
        <v/>
      </c>
      <c r="U31" s="345" t="str">
        <f t="shared" si="74"/>
        <v/>
      </c>
      <c r="V31" s="343">
        <f>IFERROR(VLOOKUP($U31,HomeBroker!$A$30:$F$60,2,0),0)</f>
        <v>0</v>
      </c>
      <c r="W31" s="446">
        <f>IFERROR(VLOOKUP($U31,HomeBroker!$A$30:$F$60,3,0),0)</f>
        <v>0</v>
      </c>
      <c r="X31" s="626">
        <f>IFERROR(VLOOKUP($U31,HomeBroker!$A$30:$F$60,6,0),0)</f>
        <v>0</v>
      </c>
      <c r="Y31" s="445">
        <f>IFERROR(VLOOKUP($U31,HomeBroker!$A$30:$F$60,4,0),0)</f>
        <v>0</v>
      </c>
      <c r="Z31" s="343">
        <f>IFERROR(VLOOKUP($U31,HomeBroker!$A$30:$F$60,5,0),0)</f>
        <v>0</v>
      </c>
      <c r="AA31" s="346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44">
        <f t="shared" ca="1" si="64"/>
        <v>0</v>
      </c>
      <c r="AF31" s="345" t="str">
        <f t="shared" si="75"/>
        <v/>
      </c>
      <c r="AG31" s="345" t="str">
        <f t="shared" si="76"/>
        <v/>
      </c>
      <c r="AH31" s="408">
        <f>IFERROR(VLOOKUP($AG31,HomeBroker!$A$30:$F$60,2,0),0)</f>
        <v>0</v>
      </c>
      <c r="AI31" s="446">
        <f>IFERROR(VLOOKUP($AG31,HomeBroker!$A$30:$F$60,3,0),0)</f>
        <v>0</v>
      </c>
      <c r="AJ31" s="626">
        <f>IFERROR(VLOOKUP($AG31,HomeBroker!$A$30:$F$60,6,0),0)</f>
        <v>0</v>
      </c>
      <c r="AK31" s="446">
        <f>IFERROR(VLOOKUP($AG31,HomeBroker!$A$30:$F$60,4,0),0)</f>
        <v>0</v>
      </c>
      <c r="AL31" s="408">
        <f>IFERROR(VLOOKUP($AG31,HomeBroker!$A$30:$F$60,5,0),0)</f>
        <v>0</v>
      </c>
      <c r="AM31" s="448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6">
        <f t="shared" si="11"/>
        <v>0</v>
      </c>
      <c r="AY31" s="217">
        <f t="shared" si="12"/>
        <v>0</v>
      </c>
      <c r="AZ31" s="114" t="s">
        <v>402</v>
      </c>
      <c r="BA31" s="112"/>
      <c r="BB31" s="129"/>
      <c r="BC31" s="115"/>
      <c r="BD31" s="218">
        <f t="shared" si="13"/>
        <v>0</v>
      </c>
      <c r="BE31" s="220">
        <f t="shared" si="14"/>
        <v>0</v>
      </c>
      <c r="BF31" s="116" t="s">
        <v>403</v>
      </c>
      <c r="BG31" s="112"/>
      <c r="BH31" s="115"/>
      <c r="BI31" s="221">
        <f t="shared" si="15"/>
        <v>0</v>
      </c>
      <c r="BJ31" s="222">
        <f t="shared" si="16"/>
        <v>0</v>
      </c>
      <c r="DE31" s="117">
        <f t="shared" si="17"/>
        <v>4155.5832756395648</v>
      </c>
      <c r="DF31" s="118">
        <f t="shared" si="18"/>
        <v>1709491.5685872601</v>
      </c>
      <c r="DG31" s="118">
        <f t="shared" si="19"/>
        <v>-1454491.5685872601</v>
      </c>
      <c r="DH31" s="118">
        <f t="shared" si="20"/>
        <v>627791.63781978237</v>
      </c>
      <c r="DI31" s="118">
        <f t="shared" si="21"/>
        <v>-924466.62051165185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-41674.982691869489</v>
      </c>
      <c r="EQ31" s="119"/>
      <c r="ER31" s="126"/>
      <c r="ES31" s="122"/>
      <c r="ET31" s="123">
        <f t="shared" si="54"/>
        <v>-108716.66</v>
      </c>
      <c r="EU31" s="72"/>
      <c r="EV31" s="117">
        <f t="shared" si="55"/>
        <v>4155.5832756395648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-25366.69</v>
      </c>
    </row>
    <row r="32" spans="1:193" ht="15">
      <c r="A32" s="440" t="s">
        <v>401</v>
      </c>
      <c r="B32" s="203"/>
      <c r="C32" s="200"/>
      <c r="D32" s="452"/>
      <c r="E32" s="453">
        <f t="shared" si="0"/>
        <v>0</v>
      </c>
      <c r="F32" s="454">
        <f t="shared" si="1"/>
        <v>0</v>
      </c>
      <c r="G32" s="202" t="str">
        <f t="shared" si="2"/>
        <v/>
      </c>
      <c r="H32" s="458">
        <f t="shared" si="58"/>
        <v>0</v>
      </c>
      <c r="I32" s="459">
        <f t="shared" si="3"/>
        <v>0</v>
      </c>
      <c r="J32" s="62"/>
      <c r="K32" s="106"/>
      <c r="L32" s="632">
        <f t="shared" si="71"/>
        <v>4280.2507739087523</v>
      </c>
      <c r="M32" s="482">
        <f t="shared" si="5"/>
        <v>-183517.16</v>
      </c>
      <c r="N32" s="482">
        <f t="shared" ca="1" si="6"/>
        <v>-25366.69</v>
      </c>
      <c r="O32" s="62"/>
      <c r="P32" s="198" t="str">
        <f t="shared" si="59"/>
        <v>-</v>
      </c>
      <c r="Q32" s="407">
        <f t="shared" si="69"/>
        <v>0</v>
      </c>
      <c r="R32" s="194"/>
      <c r="S32" s="443">
        <f t="shared" ca="1" si="60"/>
        <v>0</v>
      </c>
      <c r="T32" s="345" t="str">
        <f t="shared" si="73"/>
        <v/>
      </c>
      <c r="U32" s="345" t="str">
        <f t="shared" si="74"/>
        <v/>
      </c>
      <c r="V32" s="343">
        <f>IFERROR(VLOOKUP($U32,HomeBroker!$A$30:$F$60,2,0),0)</f>
        <v>0</v>
      </c>
      <c r="W32" s="446">
        <f>IFERROR(VLOOKUP($U32,HomeBroker!$A$30:$F$60,3,0),0)</f>
        <v>0</v>
      </c>
      <c r="X32" s="626">
        <f>IFERROR(VLOOKUP($U32,HomeBroker!$A$30:$F$60,6,0),0)</f>
        <v>0</v>
      </c>
      <c r="Y32" s="445">
        <f>IFERROR(VLOOKUP($U32,HomeBroker!$A$30:$F$60,4,0),0)</f>
        <v>0</v>
      </c>
      <c r="Z32" s="343">
        <f>IFERROR(VLOOKUP($U32,HomeBroker!$A$30:$F$60,5,0),0)</f>
        <v>0</v>
      </c>
      <c r="AA32" s="346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44">
        <f t="shared" ca="1" si="64"/>
        <v>0</v>
      </c>
      <c r="AF32" s="345" t="str">
        <f t="shared" si="75"/>
        <v/>
      </c>
      <c r="AG32" s="345" t="str">
        <f t="shared" si="76"/>
        <v/>
      </c>
      <c r="AH32" s="408">
        <f>IFERROR(VLOOKUP($AG32,HomeBroker!$A$30:$F$60,2,0),0)</f>
        <v>0</v>
      </c>
      <c r="AI32" s="446">
        <f>IFERROR(VLOOKUP($AG32,HomeBroker!$A$30:$F$60,3,0),0)</f>
        <v>0</v>
      </c>
      <c r="AJ32" s="626">
        <f>IFERROR(VLOOKUP($AG32,HomeBroker!$A$30:$F$60,6,0),0)</f>
        <v>0</v>
      </c>
      <c r="AK32" s="446">
        <f>IFERROR(VLOOKUP($AG32,HomeBroker!$A$30:$F$60,4,0),0)</f>
        <v>0</v>
      </c>
      <c r="AL32" s="408">
        <f>IFERROR(VLOOKUP($AG32,HomeBroker!$A$30:$F$60,5,0),0)</f>
        <v>0</v>
      </c>
      <c r="AM32" s="448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6">
        <f t="shared" si="11"/>
        <v>0</v>
      </c>
      <c r="AY32" s="217">
        <f t="shared" si="12"/>
        <v>0</v>
      </c>
      <c r="AZ32" s="114" t="s">
        <v>402</v>
      </c>
      <c r="BA32" s="112"/>
      <c r="BB32" s="129"/>
      <c r="BC32" s="115"/>
      <c r="BD32" s="218">
        <f t="shared" si="13"/>
        <v>0</v>
      </c>
      <c r="BE32" s="220">
        <f t="shared" si="14"/>
        <v>0</v>
      </c>
      <c r="BF32" s="116" t="s">
        <v>403</v>
      </c>
      <c r="BG32" s="112"/>
      <c r="BH32" s="115"/>
      <c r="BI32" s="221">
        <f t="shared" si="15"/>
        <v>0</v>
      </c>
      <c r="BJ32" s="222">
        <f t="shared" si="16"/>
        <v>0</v>
      </c>
      <c r="DE32" s="117">
        <f t="shared" si="17"/>
        <v>4280.2507739087523</v>
      </c>
      <c r="DF32" s="118">
        <f t="shared" si="18"/>
        <v>1921426.3156448789</v>
      </c>
      <c r="DG32" s="118">
        <f t="shared" si="19"/>
        <v>-1666426.3156448789</v>
      </c>
      <c r="DH32" s="118">
        <f t="shared" si="20"/>
        <v>690125.38695437612</v>
      </c>
      <c r="DI32" s="118">
        <f t="shared" si="21"/>
        <v>-1024200.6191270018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-79075.232172625721</v>
      </c>
      <c r="EQ32" s="119"/>
      <c r="ER32" s="126"/>
      <c r="ES32" s="122"/>
      <c r="ET32" s="123">
        <f t="shared" si="54"/>
        <v>-183517.16</v>
      </c>
      <c r="EU32" s="72"/>
      <c r="EV32" s="117">
        <f t="shared" si="55"/>
        <v>4280.2507739087523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-25366.69</v>
      </c>
    </row>
    <row r="33" spans="1:193" ht="15">
      <c r="A33" s="440" t="s">
        <v>401</v>
      </c>
      <c r="B33" s="203"/>
      <c r="C33" s="200"/>
      <c r="D33" s="452"/>
      <c r="E33" s="453">
        <f t="shared" si="0"/>
        <v>0</v>
      </c>
      <c r="F33" s="454">
        <f t="shared" si="1"/>
        <v>0</v>
      </c>
      <c r="G33" s="202" t="str">
        <f t="shared" si="2"/>
        <v/>
      </c>
      <c r="H33" s="458">
        <f t="shared" si="58"/>
        <v>0</v>
      </c>
      <c r="I33" s="459">
        <f t="shared" si="3"/>
        <v>0</v>
      </c>
      <c r="J33" s="62"/>
      <c r="K33" s="106"/>
      <c r="L33" s="632">
        <f t="shared" si="71"/>
        <v>4408.658297126015</v>
      </c>
      <c r="M33" s="483">
        <f t="shared" si="5"/>
        <v>-260561.67</v>
      </c>
      <c r="N33" s="483">
        <f t="shared" ca="1" si="6"/>
        <v>-25366.69</v>
      </c>
      <c r="O33" s="62"/>
      <c r="P33" s="198" t="str">
        <f t="shared" si="59"/>
        <v>-</v>
      </c>
      <c r="Q33" s="407">
        <f t="shared" si="69"/>
        <v>0</v>
      </c>
      <c r="R33" s="194"/>
      <c r="S33" s="443">
        <f t="shared" ca="1" si="60"/>
        <v>0</v>
      </c>
      <c r="T33" s="345" t="str">
        <f t="shared" si="73"/>
        <v/>
      </c>
      <c r="U33" s="345" t="str">
        <f t="shared" si="74"/>
        <v/>
      </c>
      <c r="V33" s="343">
        <f>IFERROR(VLOOKUP($U33,HomeBroker!$A$30:$F$60,2,0),0)</f>
        <v>0</v>
      </c>
      <c r="W33" s="446">
        <f>IFERROR(VLOOKUP($U33,HomeBroker!$A$30:$F$60,3,0),0)</f>
        <v>0</v>
      </c>
      <c r="X33" s="626">
        <f>IFERROR(VLOOKUP($U33,HomeBroker!$A$30:$F$60,6,0),0)</f>
        <v>0</v>
      </c>
      <c r="Y33" s="445">
        <f>IFERROR(VLOOKUP($U33,HomeBroker!$A$30:$F$60,4,0),0)</f>
        <v>0</v>
      </c>
      <c r="Z33" s="343">
        <f>IFERROR(VLOOKUP($U33,HomeBroker!$A$30:$F$60,5,0),0)</f>
        <v>0</v>
      </c>
      <c r="AA33" s="346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44">
        <f t="shared" ca="1" si="64"/>
        <v>0</v>
      </c>
      <c r="AF33" s="345" t="str">
        <f t="shared" si="75"/>
        <v/>
      </c>
      <c r="AG33" s="345" t="str">
        <f t="shared" si="76"/>
        <v/>
      </c>
      <c r="AH33" s="408">
        <f>IFERROR(VLOOKUP($AG33,HomeBroker!$A$30:$F$60,2,0),0)</f>
        <v>0</v>
      </c>
      <c r="AI33" s="446">
        <f>IFERROR(VLOOKUP($AG33,HomeBroker!$A$30:$F$60,3,0),0)</f>
        <v>0</v>
      </c>
      <c r="AJ33" s="626">
        <f>IFERROR(VLOOKUP($AG33,HomeBroker!$A$30:$F$60,6,0),0)</f>
        <v>0</v>
      </c>
      <c r="AK33" s="446">
        <f>IFERROR(VLOOKUP($AG33,HomeBroker!$A$30:$F$60,4,0),0)</f>
        <v>0</v>
      </c>
      <c r="AL33" s="408">
        <f>IFERROR(VLOOKUP($AG33,HomeBroker!$A$30:$F$60,5,0),0)</f>
        <v>0</v>
      </c>
      <c r="AM33" s="448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6">
        <f t="shared" si="11"/>
        <v>0</v>
      </c>
      <c r="AY33" s="217">
        <f t="shared" si="12"/>
        <v>0</v>
      </c>
      <c r="AZ33" s="114" t="s">
        <v>402</v>
      </c>
      <c r="BA33" s="112"/>
      <c r="BB33" s="129"/>
      <c r="BC33" s="115"/>
      <c r="BD33" s="218">
        <f t="shared" si="13"/>
        <v>0</v>
      </c>
      <c r="BE33" s="220">
        <f t="shared" si="14"/>
        <v>0</v>
      </c>
      <c r="BF33" s="116" t="s">
        <v>403</v>
      </c>
      <c r="BG33" s="112"/>
      <c r="BH33" s="115"/>
      <c r="BI33" s="221">
        <f t="shared" si="15"/>
        <v>0</v>
      </c>
      <c r="BJ33" s="222">
        <f t="shared" si="16"/>
        <v>0</v>
      </c>
      <c r="DE33" s="117">
        <f t="shared" si="17"/>
        <v>4408.658297126015</v>
      </c>
      <c r="DF33" s="118">
        <f t="shared" si="18"/>
        <v>2139719.1051142253</v>
      </c>
      <c r="DG33" s="118">
        <f t="shared" si="19"/>
        <v>-1884719.1051142255</v>
      </c>
      <c r="DH33" s="118">
        <f t="shared" si="20"/>
        <v>754329.14856300747</v>
      </c>
      <c r="DI33" s="118">
        <f t="shared" si="21"/>
        <v>-1126926.637700812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-117597.48913780472</v>
      </c>
      <c r="EQ33" s="119"/>
      <c r="ER33" s="126"/>
      <c r="ES33" s="122"/>
      <c r="ET33" s="123">
        <f t="shared" si="54"/>
        <v>-260561.67</v>
      </c>
      <c r="EU33" s="72"/>
      <c r="EV33" s="117">
        <f t="shared" si="55"/>
        <v>4408.658297126015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-25366.69</v>
      </c>
    </row>
    <row r="34" spans="1:193" ht="15.75" thickBot="1">
      <c r="A34" s="440" t="s">
        <v>401</v>
      </c>
      <c r="B34" s="203"/>
      <c r="C34" s="200"/>
      <c r="D34" s="452"/>
      <c r="E34" s="453">
        <f t="shared" si="0"/>
        <v>0</v>
      </c>
      <c r="F34" s="454">
        <f t="shared" si="1"/>
        <v>0</v>
      </c>
      <c r="G34" s="202" t="str">
        <f t="shared" si="2"/>
        <v/>
      </c>
      <c r="H34" s="458">
        <f t="shared" si="58"/>
        <v>0</v>
      </c>
      <c r="I34" s="459">
        <f t="shared" si="3"/>
        <v>0</v>
      </c>
      <c r="J34" s="62"/>
      <c r="K34" s="133"/>
      <c r="L34" s="633">
        <f t="shared" si="71"/>
        <v>4540.9180460397956</v>
      </c>
      <c r="M34" s="484">
        <f t="shared" si="5"/>
        <v>-339917.52</v>
      </c>
      <c r="N34" s="484">
        <f t="shared" ca="1" si="6"/>
        <v>-25366.69</v>
      </c>
      <c r="O34" s="134"/>
      <c r="P34" s="198" t="str">
        <f t="shared" si="59"/>
        <v>-</v>
      </c>
      <c r="Q34" s="407">
        <f t="shared" si="69"/>
        <v>0</v>
      </c>
      <c r="R34" s="194"/>
      <c r="S34" s="443">
        <f t="shared" ca="1" si="60"/>
        <v>0</v>
      </c>
      <c r="T34" s="345" t="str">
        <f t="shared" si="73"/>
        <v/>
      </c>
      <c r="U34" s="345" t="str">
        <f t="shared" si="74"/>
        <v/>
      </c>
      <c r="V34" s="343">
        <f>IFERROR(VLOOKUP($U34,HomeBroker!$A$30:$F$60,2,0),0)</f>
        <v>0</v>
      </c>
      <c r="W34" s="446">
        <f>IFERROR(VLOOKUP($U34,HomeBroker!$A$30:$F$60,3,0),0)</f>
        <v>0</v>
      </c>
      <c r="X34" s="626">
        <f>IFERROR(VLOOKUP($U34,HomeBroker!$A$30:$F$60,6,0),0)</f>
        <v>0</v>
      </c>
      <c r="Y34" s="445">
        <f>IFERROR(VLOOKUP($U34,HomeBroker!$A$30:$F$60,4,0),0)</f>
        <v>0</v>
      </c>
      <c r="Z34" s="343">
        <f>IFERROR(VLOOKUP($U34,HomeBroker!$A$30:$F$60,5,0),0)</f>
        <v>0</v>
      </c>
      <c r="AA34" s="346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44">
        <f t="shared" ca="1" si="64"/>
        <v>0</v>
      </c>
      <c r="AF34" s="345" t="str">
        <f t="shared" si="75"/>
        <v/>
      </c>
      <c r="AG34" s="345" t="str">
        <f t="shared" si="76"/>
        <v/>
      </c>
      <c r="AH34" s="408">
        <f>IFERROR(VLOOKUP($AG34,HomeBroker!$A$30:$F$60,2,0),0)</f>
        <v>0</v>
      </c>
      <c r="AI34" s="446">
        <f>IFERROR(VLOOKUP($AG34,HomeBroker!$A$30:$F$60,3,0),0)</f>
        <v>0</v>
      </c>
      <c r="AJ34" s="626">
        <f>IFERROR(VLOOKUP($AG34,HomeBroker!$A$30:$F$60,6,0),0)</f>
        <v>0</v>
      </c>
      <c r="AK34" s="446">
        <f>IFERROR(VLOOKUP($AG34,HomeBroker!$A$30:$F$60,4,0),0)</f>
        <v>0</v>
      </c>
      <c r="AL34" s="408">
        <f>IFERROR(VLOOKUP($AG34,HomeBroker!$A$30:$F$60,5,0),0)</f>
        <v>0</v>
      </c>
      <c r="AM34" s="448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6">
        <f t="shared" si="11"/>
        <v>0</v>
      </c>
      <c r="AY34" s="217">
        <f t="shared" si="12"/>
        <v>0</v>
      </c>
      <c r="AZ34" s="114" t="s">
        <v>402</v>
      </c>
      <c r="BA34" s="112"/>
      <c r="BB34" s="129"/>
      <c r="BC34" s="115"/>
      <c r="BD34" s="218">
        <f t="shared" si="13"/>
        <v>0</v>
      </c>
      <c r="BE34" s="220">
        <f t="shared" si="14"/>
        <v>0</v>
      </c>
      <c r="BF34" s="116" t="s">
        <v>403</v>
      </c>
      <c r="BG34" s="112"/>
      <c r="BH34" s="115"/>
      <c r="BI34" s="221">
        <f t="shared" si="15"/>
        <v>0</v>
      </c>
      <c r="BJ34" s="222">
        <f t="shared" si="16"/>
        <v>0</v>
      </c>
      <c r="DE34" s="117">
        <f t="shared" si="17"/>
        <v>4540.9180460397956</v>
      </c>
      <c r="DF34" s="118">
        <f t="shared" si="18"/>
        <v>2364560.6782676526</v>
      </c>
      <c r="DG34" s="118">
        <f t="shared" si="19"/>
        <v>-2109560.6782676526</v>
      </c>
      <c r="DH34" s="118">
        <f t="shared" si="20"/>
        <v>820459.02301989787</v>
      </c>
      <c r="DI34" s="118">
        <f t="shared" si="21"/>
        <v>-1232734.4368318366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-157275.41381193884</v>
      </c>
      <c r="EQ34" s="119"/>
      <c r="ER34" s="135"/>
      <c r="ES34" s="136"/>
      <c r="ET34" s="137">
        <f t="shared" si="54"/>
        <v>-339917.52</v>
      </c>
      <c r="EU34" s="72"/>
      <c r="EV34" s="117">
        <f t="shared" si="55"/>
        <v>4540.9180460397956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-25366.69</v>
      </c>
    </row>
    <row r="35" spans="1:193" ht="15">
      <c r="A35" s="440" t="s">
        <v>401</v>
      </c>
      <c r="B35" s="203"/>
      <c r="C35" s="200"/>
      <c r="D35" s="452"/>
      <c r="E35" s="453">
        <f t="shared" si="0"/>
        <v>0</v>
      </c>
      <c r="F35" s="454">
        <f t="shared" ref="F35:F66" si="77">IF(B35&gt;0,+B35*D35*(1+($N$53+0.002)*1.21)*-100,B35*D35*(1-($N$53+0.002)*1.21)*-100)</f>
        <v>0</v>
      </c>
      <c r="G35" s="202" t="str">
        <f t="shared" si="2"/>
        <v/>
      </c>
      <c r="H35" s="458">
        <f t="shared" si="58"/>
        <v>0</v>
      </c>
      <c r="I35" s="459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407">
        <f t="shared" si="69"/>
        <v>0</v>
      </c>
      <c r="R35" s="194"/>
      <c r="S35" s="443">
        <f t="shared" ca="1" si="60"/>
        <v>0</v>
      </c>
      <c r="T35" s="345" t="str">
        <f t="shared" si="73"/>
        <v/>
      </c>
      <c r="U35" s="345" t="str">
        <f t="shared" si="74"/>
        <v/>
      </c>
      <c r="V35" s="343">
        <f>IFERROR(VLOOKUP($U35,HomeBroker!$A$30:$F$60,2,0),0)</f>
        <v>0</v>
      </c>
      <c r="W35" s="446">
        <f>IFERROR(VLOOKUP($U35,HomeBroker!$A$30:$F$60,3,0),0)</f>
        <v>0</v>
      </c>
      <c r="X35" s="626">
        <f>IFERROR(VLOOKUP($U35,HomeBroker!$A$30:$F$60,6,0),0)</f>
        <v>0</v>
      </c>
      <c r="Y35" s="445">
        <f>IFERROR(VLOOKUP($U35,HomeBroker!$A$30:$F$60,4,0),0)</f>
        <v>0</v>
      </c>
      <c r="Z35" s="343">
        <f>IFERROR(VLOOKUP($U35,HomeBroker!$A$30:$F$60,5,0),0)</f>
        <v>0</v>
      </c>
      <c r="AA35" s="346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44">
        <f t="shared" ca="1" si="64"/>
        <v>0</v>
      </c>
      <c r="AF35" s="345" t="str">
        <f t="shared" si="75"/>
        <v/>
      </c>
      <c r="AG35" s="345" t="str">
        <f t="shared" si="76"/>
        <v/>
      </c>
      <c r="AH35" s="408">
        <f>IFERROR(VLOOKUP($AG35,HomeBroker!$A$30:$F$60,2,0),0)</f>
        <v>0</v>
      </c>
      <c r="AI35" s="446">
        <f>IFERROR(VLOOKUP($AG35,HomeBroker!$A$30:$F$60,3,0),0)</f>
        <v>0</v>
      </c>
      <c r="AJ35" s="626">
        <f>IFERROR(VLOOKUP($AG35,HomeBroker!$A$30:$F$60,6,0),0)</f>
        <v>0</v>
      </c>
      <c r="AK35" s="446">
        <f>IFERROR(VLOOKUP($AG35,HomeBroker!$A$30:$F$60,4,0),0)</f>
        <v>0</v>
      </c>
      <c r="AL35" s="408">
        <f>IFERROR(VLOOKUP($AG35,HomeBroker!$A$30:$F$60,5,0),0)</f>
        <v>0</v>
      </c>
      <c r="AM35" s="448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6">
        <f t="shared" si="11"/>
        <v>0</v>
      </c>
      <c r="AY35" s="217">
        <f t="shared" si="12"/>
        <v>0</v>
      </c>
      <c r="AZ35" s="114" t="s">
        <v>402</v>
      </c>
      <c r="BA35" s="112"/>
      <c r="BB35" s="129"/>
      <c r="BC35" s="115"/>
      <c r="BD35" s="218">
        <f t="shared" si="13"/>
        <v>0</v>
      </c>
      <c r="BE35" s="220">
        <f t="shared" si="14"/>
        <v>0</v>
      </c>
      <c r="BF35" s="116" t="s">
        <v>403</v>
      </c>
      <c r="BG35" s="112"/>
      <c r="BH35" s="115"/>
      <c r="BI35" s="221">
        <f t="shared" si="15"/>
        <v>0</v>
      </c>
      <c r="BJ35" s="222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40" t="s">
        <v>401</v>
      </c>
      <c r="B36" s="203"/>
      <c r="C36" s="200"/>
      <c r="D36" s="452"/>
      <c r="E36" s="453">
        <f t="shared" si="0"/>
        <v>0</v>
      </c>
      <c r="F36" s="454">
        <f t="shared" si="77"/>
        <v>0</v>
      </c>
      <c r="G36" s="202" t="str">
        <f t="shared" si="2"/>
        <v/>
      </c>
      <c r="H36" s="458">
        <f t="shared" si="58"/>
        <v>0</v>
      </c>
      <c r="I36" s="459">
        <f t="shared" si="3"/>
        <v>0</v>
      </c>
      <c r="J36" s="62"/>
      <c r="K36" s="799" t="s">
        <v>442</v>
      </c>
      <c r="L36" s="778"/>
      <c r="M36" s="779"/>
      <c r="N36" s="430">
        <f>SUM(AY:AY)+SUM(BE:BE)+SUM(BJ:BJ)+$F$76</f>
        <v>-25366.692800000019</v>
      </c>
      <c r="O36" s="62"/>
      <c r="P36" s="198" t="str">
        <f t="shared" si="59"/>
        <v>-</v>
      </c>
      <c r="Q36" s="407">
        <f t="shared" si="69"/>
        <v>0</v>
      </c>
      <c r="R36" s="194"/>
      <c r="S36" s="443">
        <f t="shared" ca="1" si="60"/>
        <v>0</v>
      </c>
      <c r="T36" s="345" t="str">
        <f t="shared" si="73"/>
        <v/>
      </c>
      <c r="U36" s="345" t="str">
        <f t="shared" si="74"/>
        <v/>
      </c>
      <c r="V36" s="343">
        <f>IFERROR(VLOOKUP($U36,HomeBroker!$A$30:$F$60,2,0),0)</f>
        <v>0</v>
      </c>
      <c r="W36" s="446">
        <f>IFERROR(VLOOKUP($U36,HomeBroker!$A$30:$F$60,3,0),0)</f>
        <v>0</v>
      </c>
      <c r="X36" s="626">
        <f>IFERROR(VLOOKUP($U36,HomeBroker!$A$30:$F$60,6,0),0)</f>
        <v>0</v>
      </c>
      <c r="Y36" s="445">
        <f>IFERROR(VLOOKUP($U36,HomeBroker!$A$30:$F$60,4,0),0)</f>
        <v>0</v>
      </c>
      <c r="Z36" s="343">
        <f>IFERROR(VLOOKUP($U36,HomeBroker!$A$30:$F$60,5,0),0)</f>
        <v>0</v>
      </c>
      <c r="AA36" s="346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44">
        <f t="shared" ca="1" si="64"/>
        <v>0</v>
      </c>
      <c r="AF36" s="345" t="str">
        <f t="shared" si="75"/>
        <v/>
      </c>
      <c r="AG36" s="345" t="str">
        <f t="shared" si="76"/>
        <v/>
      </c>
      <c r="AH36" s="408">
        <f>IFERROR(VLOOKUP($AG36,HomeBroker!$A$30:$F$60,2,0),0)</f>
        <v>0</v>
      </c>
      <c r="AI36" s="446">
        <f>IFERROR(VLOOKUP($AG36,HomeBroker!$A$30:$F$60,3,0),0)</f>
        <v>0</v>
      </c>
      <c r="AJ36" s="626">
        <f>IFERROR(VLOOKUP($AG36,HomeBroker!$A$30:$F$60,6,0),0)</f>
        <v>0</v>
      </c>
      <c r="AK36" s="446">
        <f>IFERROR(VLOOKUP($AG36,HomeBroker!$A$30:$F$60,4,0),0)</f>
        <v>0</v>
      </c>
      <c r="AL36" s="408">
        <f>IFERROR(VLOOKUP($AG36,HomeBroker!$A$30:$F$60,5,0),0)</f>
        <v>0</v>
      </c>
      <c r="AM36" s="448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6">
        <f t="shared" si="11"/>
        <v>0</v>
      </c>
      <c r="AY36" s="217">
        <f t="shared" si="12"/>
        <v>0</v>
      </c>
      <c r="AZ36" s="114" t="s">
        <v>402</v>
      </c>
      <c r="BA36" s="112"/>
      <c r="BB36" s="129"/>
      <c r="BC36" s="115"/>
      <c r="BD36" s="218">
        <f t="shared" si="13"/>
        <v>0</v>
      </c>
      <c r="BE36" s="220">
        <f t="shared" si="14"/>
        <v>0</v>
      </c>
      <c r="BF36" s="116" t="s">
        <v>403</v>
      </c>
      <c r="BG36" s="112"/>
      <c r="BH36" s="115"/>
      <c r="BI36" s="221">
        <f t="shared" si="15"/>
        <v>0</v>
      </c>
      <c r="BJ36" s="222">
        <f t="shared" si="16"/>
        <v>0</v>
      </c>
      <c r="DE36" s="117">
        <f t="shared" ref="DE36:DE67" si="78">DE3</f>
        <v>1791.9425524598291</v>
      </c>
      <c r="DF36" s="118">
        <f t="shared" ref="DF36:DF67" si="79">IF($DE36&lt;$C$38,$B$38*100*($C$38-$DE36),0)</f>
        <v>0</v>
      </c>
      <c r="DG36" s="118">
        <f t="shared" ref="DG36:DG67" si="80">IF($DE36&lt;$C$39,$B$39*100*($C$39-$DE36),0)</f>
        <v>0</v>
      </c>
      <c r="DH36" s="118">
        <f t="shared" ref="DH36:DH67" si="81">IF($DE36&lt;$C$40,$B$40*100*($C$40-$DE36),0)</f>
        <v>0</v>
      </c>
      <c r="DI36" s="118">
        <f t="shared" ref="DI36:DI67" si="82">IF($DE36&lt;$C$41,$B$41*100*($C$41-$DE36),0)</f>
        <v>0</v>
      </c>
      <c r="DJ36" s="118">
        <f t="shared" ref="DJ36:DJ67" si="83">IF($DE36&lt;$C$42,$B$42*100*($C$42-$DE36),0)</f>
        <v>0</v>
      </c>
      <c r="DK36" s="118">
        <f t="shared" ref="DK36:DK67" si="84">IF($DE36&lt;$C$43,$B$43*100*($C$43-$DE36),0)</f>
        <v>0</v>
      </c>
      <c r="DL36" s="118">
        <f t="shared" ref="DL36:DL67" si="85">IF($DE36&lt;$C$44,$B$44*100*($C$44-$DE36),0)</f>
        <v>0</v>
      </c>
      <c r="DM36" s="118">
        <f t="shared" ref="DM36:DM67" si="86">IF($DE36&lt;$C$45,$B$45*100*($C$45-$DE36),0)</f>
        <v>0</v>
      </c>
      <c r="DN36" s="118">
        <f t="shared" ref="DN36:DN67" si="87">IF($DE36&lt;$C$46,$B$46*100*($C$46-$DE36),0)</f>
        <v>0</v>
      </c>
      <c r="DO36" s="118">
        <f t="shared" ref="DO36:DO67" si="88">IF($DE36&lt;$C$47,$B$47*100*($C$47-$DE36),0)</f>
        <v>0</v>
      </c>
      <c r="DP36" s="118">
        <f t="shared" ref="DP36:DP67" si="89">IF($DE36&lt;$C$48,$B$48*100*($C$48-$DE36),0)</f>
        <v>0</v>
      </c>
      <c r="DQ36" s="118">
        <f t="shared" ref="DQ36:DQ67" si="90">IF($DE36&lt;$C$49,$B$49*100*($C$49-$DE36),0)</f>
        <v>0</v>
      </c>
      <c r="DR36" s="118">
        <f t="shared" ref="DR36:DR67" si="91">IF($DE36&lt;$C$50,$B$50*100*($C$50-$DE36),0)</f>
        <v>0</v>
      </c>
      <c r="DS36" s="118">
        <f t="shared" ref="DS36:DS67" si="92">IF($DE36&lt;$C$51,$B$51*100*($C$51-$DE36),0)</f>
        <v>0</v>
      </c>
      <c r="DT36" s="118">
        <f t="shared" ref="DT36:DT67" si="93">IF($DE36&lt;$C$52,$B$52*100*($C$52-$DE36),0)</f>
        <v>0</v>
      </c>
      <c r="DU36" s="118">
        <f t="shared" ref="DU36:DU67" si="94">IF($DE36&lt;$C$53,$B$53*100*($C$53-$DE36),0)</f>
        <v>0</v>
      </c>
      <c r="DV36" s="118">
        <f t="shared" ref="DV36:DV67" si="95">IF($DE36&lt;$C$54,$B$54*100*($C$54-$DE36),0)</f>
        <v>0</v>
      </c>
      <c r="DW36" s="118">
        <f t="shared" ref="DW36:DW67" si="96">IF($DE36&lt;$C$55,$B$55*100*($C$55-$DE36),0)</f>
        <v>0</v>
      </c>
      <c r="DX36" s="118">
        <f t="shared" ref="DX36:DX67" si="97">IF($DE36&lt;$C$56,$B$56*100*($C$56-$DE36),0)</f>
        <v>0</v>
      </c>
      <c r="DY36" s="118">
        <f t="shared" ref="DY36:DY67" si="98">IF($DE36&lt;$C$57,$B$57*100*($C$57-$DE36),0)</f>
        <v>0</v>
      </c>
      <c r="DZ36" s="118">
        <f t="shared" ref="DZ36:DZ67" si="99">IF($DE36&lt;$C$58,$B$58*100*($C$58-$DE36),0)</f>
        <v>0</v>
      </c>
      <c r="EA36" s="118">
        <f t="shared" ref="EA36:EA67" si="100">IF($DE36&lt;$C$59,$B$59*100*($C$59-$DE36),0)</f>
        <v>0</v>
      </c>
      <c r="EB36" s="118">
        <f t="shared" ref="EB36:EB67" si="101">IF($DE36&lt;$C$60,$B$60*100*($C$60-$DE36),0)</f>
        <v>0</v>
      </c>
      <c r="EC36" s="118">
        <f t="shared" ref="EC36:EC67" si="102">IF($DE36&lt;$C$61,$B$61*100*($C$61-$DE36),0)</f>
        <v>0</v>
      </c>
      <c r="ED36" s="118">
        <f t="shared" ref="ED36:ED67" si="103">IF($DE36&lt;$C$62,$B$62*100*($C$62-$DE36),0)</f>
        <v>0</v>
      </c>
      <c r="EE36" s="118">
        <f t="shared" ref="EE36:EE67" si="104">IF($DE36&lt;$C$63,$B$63*100*($C$63-$DE36),0)</f>
        <v>0</v>
      </c>
      <c r="EF36" s="118">
        <f t="shared" ref="EF36:EF67" si="105">IF($DE36&lt;$C$64,$B$64*100*($C$64-$DE36),0)</f>
        <v>0</v>
      </c>
      <c r="EG36" s="118">
        <f t="shared" ref="EG36:EG67" si="106">IF($DE36&lt;$C$65,$B$65*100*($C$65-$DE36),0)</f>
        <v>0</v>
      </c>
      <c r="EH36" s="118">
        <f t="shared" ref="EH36:EH67" si="107">IF($DE36&lt;$C$66,$B$66*100*($C$66-$DE36),0)</f>
        <v>0</v>
      </c>
      <c r="EI36" s="118">
        <f t="shared" ref="EI36:EI67" si="108">IF($DE36&lt;$C$67,$B$67*100*($C$67-$DE36),0)</f>
        <v>0</v>
      </c>
      <c r="EJ36" s="118">
        <f t="shared" ref="EJ36:EJ67" si="109">IF($DE36&lt;$C$68,$B$68*100*($C$68-$DE36),0)</f>
        <v>0</v>
      </c>
      <c r="EK36" s="118">
        <f t="shared" ref="EK36:EK67" si="110">IF($DE36&lt;$C$69,$B$69*100*($C$69-$DE36),0)</f>
        <v>0</v>
      </c>
      <c r="EL36" s="118">
        <f t="shared" ref="EL36:EL67" si="111">IF($DE36&lt;$C$70,$B$70*100*($C$70-$DE36),0)</f>
        <v>0</v>
      </c>
      <c r="EM36" s="118">
        <f t="shared" ref="EM36:EM67" si="112">IF($DE36&lt;$C$71,$B$71*100*($C$71-$DE36),0)</f>
        <v>0</v>
      </c>
      <c r="EN36" s="118">
        <f t="shared" ref="EN36:EN67" si="113">IF($DE36&lt;$C$72,$B$72*100*($C$72-$DE36),0)</f>
        <v>0</v>
      </c>
      <c r="EO36" s="118">
        <f t="shared" ref="EO36:EO67" si="114">$DE36*$B$73</f>
        <v>0</v>
      </c>
      <c r="EP36" s="118">
        <f t="shared" ref="EP36:EP67" si="115">$DE36*$B$74</f>
        <v>0</v>
      </c>
      <c r="EQ36" s="118">
        <f t="shared" ref="EQ36:EQ67" si="116">$DE36*$B$75</f>
        <v>0</v>
      </c>
      <c r="ER36" s="118">
        <f t="shared" ref="ER36:ER67" si="117">$DE36*$AB$43</f>
        <v>0</v>
      </c>
      <c r="ES36" s="119"/>
      <c r="ET36" s="143">
        <f t="shared" ref="ET36:ET67" si="118">SUM(DF36:ER36)</f>
        <v>0</v>
      </c>
      <c r="EU36" s="72"/>
      <c r="EV36" s="117">
        <f t="shared" ref="EV36:EV67" si="119">EV3</f>
        <v>1791.9425524598291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20">$EV36*$B$73</f>
        <v>0</v>
      </c>
      <c r="GG36" s="118">
        <f t="shared" ref="GG36:GG67" si="121">$EV36*$B$74</f>
        <v>0</v>
      </c>
      <c r="GH36" s="118">
        <f t="shared" ref="GH36:GH67" si="122">$EV36*$B$75</f>
        <v>0</v>
      </c>
      <c r="GI36" s="118">
        <f t="shared" ref="GI36:GI67" si="123">$EV36*$AB$43</f>
        <v>0</v>
      </c>
      <c r="GJ36" s="119"/>
      <c r="GK36" s="143">
        <f t="shared" ref="GK36:GK67" ca="1" si="124">SUM(EW36:GI36)</f>
        <v>0</v>
      </c>
    </row>
    <row r="37" spans="1:193" ht="15">
      <c r="A37" s="441" t="s">
        <v>401</v>
      </c>
      <c r="B37" s="432"/>
      <c r="C37" s="433"/>
      <c r="D37" s="455"/>
      <c r="E37" s="456">
        <f t="shared" si="0"/>
        <v>0</v>
      </c>
      <c r="F37" s="457">
        <f t="shared" si="77"/>
        <v>0</v>
      </c>
      <c r="G37" s="434" t="str">
        <f t="shared" si="2"/>
        <v/>
      </c>
      <c r="H37" s="460">
        <f t="shared" si="58"/>
        <v>0</v>
      </c>
      <c r="I37" s="457">
        <f t="shared" si="3"/>
        <v>0</v>
      </c>
      <c r="J37" s="62"/>
      <c r="K37" s="799" t="s">
        <v>443</v>
      </c>
      <c r="L37" s="778"/>
      <c r="M37" s="779"/>
      <c r="N37" s="431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27391.307199999992</v>
      </c>
      <c r="O37" s="62"/>
      <c r="P37" s="198" t="str">
        <f t="shared" si="59"/>
        <v>-</v>
      </c>
      <c r="Q37" s="407">
        <f t="shared" si="69"/>
        <v>0</v>
      </c>
      <c r="R37" s="194"/>
      <c r="S37" s="443">
        <f t="shared" ca="1" si="60"/>
        <v>0</v>
      </c>
      <c r="T37" s="345" t="str">
        <f t="shared" si="73"/>
        <v/>
      </c>
      <c r="U37" s="345" t="str">
        <f t="shared" si="74"/>
        <v/>
      </c>
      <c r="V37" s="343">
        <f>IFERROR(VLOOKUP($U37,HomeBroker!$A$30:$F$60,2,0),0)</f>
        <v>0</v>
      </c>
      <c r="W37" s="446">
        <f>IFERROR(VLOOKUP($U37,HomeBroker!$A$30:$F$60,3,0),0)</f>
        <v>0</v>
      </c>
      <c r="X37" s="626">
        <f>IFERROR(VLOOKUP($U37,HomeBroker!$A$30:$F$60,6,0),0)</f>
        <v>0</v>
      </c>
      <c r="Y37" s="445">
        <f>IFERROR(VLOOKUP($U37,HomeBroker!$A$30:$F$60,4,0),0)</f>
        <v>0</v>
      </c>
      <c r="Z37" s="343">
        <f>IFERROR(VLOOKUP($U37,HomeBroker!$A$30:$F$60,5,0),0)</f>
        <v>0</v>
      </c>
      <c r="AA37" s="346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44">
        <f t="shared" ca="1" si="64"/>
        <v>0</v>
      </c>
      <c r="AF37" s="345" t="str">
        <f t="shared" si="75"/>
        <v/>
      </c>
      <c r="AG37" s="345" t="str">
        <f t="shared" si="76"/>
        <v/>
      </c>
      <c r="AH37" s="408">
        <f>IFERROR(VLOOKUP($AG37,HomeBroker!$A$30:$F$60,2,0),0)</f>
        <v>0</v>
      </c>
      <c r="AI37" s="446">
        <f>IFERROR(VLOOKUP($AG37,HomeBroker!$A$30:$F$60,3,0),0)</f>
        <v>0</v>
      </c>
      <c r="AJ37" s="626">
        <f>IFERROR(VLOOKUP($AG37,HomeBroker!$A$30:$F$60,6,0),0)</f>
        <v>0</v>
      </c>
      <c r="AK37" s="446">
        <f>IFERROR(VLOOKUP($AG37,HomeBroker!$A$30:$F$60,4,0),0)</f>
        <v>0</v>
      </c>
      <c r="AL37" s="408">
        <f>IFERROR(VLOOKUP($AG37,HomeBroker!$A$30:$F$60,5,0),0)</f>
        <v>0</v>
      </c>
      <c r="AM37" s="448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6">
        <f t="shared" si="11"/>
        <v>0</v>
      </c>
      <c r="AY37" s="217">
        <f t="shared" si="12"/>
        <v>0</v>
      </c>
      <c r="AZ37" s="114" t="s">
        <v>402</v>
      </c>
      <c r="BA37" s="112"/>
      <c r="BB37" s="129"/>
      <c r="BC37" s="115"/>
      <c r="BD37" s="218">
        <f t="shared" si="13"/>
        <v>0</v>
      </c>
      <c r="BE37" s="220">
        <f t="shared" si="14"/>
        <v>0</v>
      </c>
      <c r="BF37" s="116" t="s">
        <v>403</v>
      </c>
      <c r="BG37" s="112"/>
      <c r="BH37" s="115"/>
      <c r="BI37" s="221">
        <f t="shared" si="15"/>
        <v>0</v>
      </c>
      <c r="BJ37" s="222">
        <f t="shared" si="16"/>
        <v>0</v>
      </c>
      <c r="DE37" s="117">
        <f t="shared" si="78"/>
        <v>1847.3634561441538</v>
      </c>
      <c r="DF37" s="118">
        <f t="shared" si="79"/>
        <v>0</v>
      </c>
      <c r="DG37" s="118">
        <f t="shared" si="80"/>
        <v>0</v>
      </c>
      <c r="DH37" s="118">
        <f t="shared" si="81"/>
        <v>0</v>
      </c>
      <c r="DI37" s="118">
        <f t="shared" si="82"/>
        <v>0</v>
      </c>
      <c r="DJ37" s="118">
        <f t="shared" si="83"/>
        <v>0</v>
      </c>
      <c r="DK37" s="118">
        <f t="shared" si="84"/>
        <v>0</v>
      </c>
      <c r="DL37" s="118">
        <f t="shared" si="85"/>
        <v>0</v>
      </c>
      <c r="DM37" s="118">
        <f t="shared" si="86"/>
        <v>0</v>
      </c>
      <c r="DN37" s="118">
        <f t="shared" si="87"/>
        <v>0</v>
      </c>
      <c r="DO37" s="118">
        <f t="shared" si="88"/>
        <v>0</v>
      </c>
      <c r="DP37" s="118">
        <f t="shared" si="89"/>
        <v>0</v>
      </c>
      <c r="DQ37" s="118">
        <f t="shared" si="90"/>
        <v>0</v>
      </c>
      <c r="DR37" s="118">
        <f t="shared" si="91"/>
        <v>0</v>
      </c>
      <c r="DS37" s="118">
        <f t="shared" si="92"/>
        <v>0</v>
      </c>
      <c r="DT37" s="118">
        <f t="shared" si="93"/>
        <v>0</v>
      </c>
      <c r="DU37" s="118">
        <f t="shared" si="94"/>
        <v>0</v>
      </c>
      <c r="DV37" s="118">
        <f t="shared" si="95"/>
        <v>0</v>
      </c>
      <c r="DW37" s="118">
        <f t="shared" si="96"/>
        <v>0</v>
      </c>
      <c r="DX37" s="118">
        <f t="shared" si="97"/>
        <v>0</v>
      </c>
      <c r="DY37" s="118">
        <f t="shared" si="98"/>
        <v>0</v>
      </c>
      <c r="DZ37" s="118">
        <f t="shared" si="99"/>
        <v>0</v>
      </c>
      <c r="EA37" s="118">
        <f t="shared" si="100"/>
        <v>0</v>
      </c>
      <c r="EB37" s="118">
        <f t="shared" si="101"/>
        <v>0</v>
      </c>
      <c r="EC37" s="118">
        <f t="shared" si="102"/>
        <v>0</v>
      </c>
      <c r="ED37" s="118">
        <f t="shared" si="103"/>
        <v>0</v>
      </c>
      <c r="EE37" s="118">
        <f t="shared" si="104"/>
        <v>0</v>
      </c>
      <c r="EF37" s="118">
        <f t="shared" si="105"/>
        <v>0</v>
      </c>
      <c r="EG37" s="118">
        <f t="shared" si="106"/>
        <v>0</v>
      </c>
      <c r="EH37" s="118">
        <f t="shared" si="107"/>
        <v>0</v>
      </c>
      <c r="EI37" s="118">
        <f t="shared" si="108"/>
        <v>0</v>
      </c>
      <c r="EJ37" s="118">
        <f t="shared" si="109"/>
        <v>0</v>
      </c>
      <c r="EK37" s="118">
        <f t="shared" si="110"/>
        <v>0</v>
      </c>
      <c r="EL37" s="118">
        <f t="shared" si="111"/>
        <v>0</v>
      </c>
      <c r="EM37" s="118">
        <f t="shared" si="112"/>
        <v>0</v>
      </c>
      <c r="EN37" s="118">
        <f t="shared" si="113"/>
        <v>0</v>
      </c>
      <c r="EO37" s="118">
        <f t="shared" si="114"/>
        <v>0</v>
      </c>
      <c r="EP37" s="118">
        <f t="shared" si="115"/>
        <v>0</v>
      </c>
      <c r="EQ37" s="118">
        <f t="shared" si="116"/>
        <v>0</v>
      </c>
      <c r="ER37" s="118">
        <f t="shared" si="117"/>
        <v>0</v>
      </c>
      <c r="ES37" s="119"/>
      <c r="ET37" s="143">
        <f t="shared" si="118"/>
        <v>0</v>
      </c>
      <c r="EU37" s="72"/>
      <c r="EV37" s="117">
        <f t="shared" si="119"/>
        <v>1847.3634561441538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20"/>
        <v>0</v>
      </c>
      <c r="GG37" s="118">
        <f t="shared" si="121"/>
        <v>0</v>
      </c>
      <c r="GH37" s="118">
        <f t="shared" si="122"/>
        <v>0</v>
      </c>
      <c r="GI37" s="118">
        <f t="shared" si="123"/>
        <v>0</v>
      </c>
      <c r="GJ37" s="119"/>
      <c r="GK37" s="143">
        <f t="shared" ca="1" si="124"/>
        <v>0</v>
      </c>
    </row>
    <row r="38" spans="1:193">
      <c r="A38" s="442" t="s">
        <v>401</v>
      </c>
      <c r="B38" s="144"/>
      <c r="C38" s="200"/>
      <c r="D38" s="201"/>
      <c r="E38" s="461">
        <f t="shared" si="0"/>
        <v>0</v>
      </c>
      <c r="F38" s="462">
        <f t="shared" si="77"/>
        <v>0</v>
      </c>
      <c r="G38" s="202" t="str">
        <f>IFERROR(VLOOKUP(C38,$AD$3:$AM$50,7,0),"")</f>
        <v/>
      </c>
      <c r="H38" s="471">
        <f t="shared" si="58"/>
        <v>0</v>
      </c>
      <c r="I38" s="472">
        <f t="shared" si="3"/>
        <v>0</v>
      </c>
      <c r="J38" s="62"/>
      <c r="K38" s="800" t="s">
        <v>444</v>
      </c>
      <c r="L38" s="778"/>
      <c r="M38" s="779"/>
      <c r="N38" s="145">
        <f>SUM(Q3:Q42)</f>
        <v>-3</v>
      </c>
      <c r="O38" s="62"/>
      <c r="P38" s="198" t="str">
        <f t="shared" si="59"/>
        <v>-</v>
      </c>
      <c r="Q38" s="407">
        <f t="shared" si="69"/>
        <v>0</v>
      </c>
      <c r="R38" s="194"/>
      <c r="S38" s="443">
        <f t="shared" ca="1" si="60"/>
        <v>0</v>
      </c>
      <c r="T38" s="345" t="str">
        <f t="shared" si="73"/>
        <v/>
      </c>
      <c r="U38" s="345" t="str">
        <f t="shared" si="74"/>
        <v/>
      </c>
      <c r="V38" s="343">
        <f>IFERROR(VLOOKUP($U38,HomeBroker!$A$30:$F$60,2,0),0)</f>
        <v>0</v>
      </c>
      <c r="W38" s="446">
        <f>IFERROR(VLOOKUP($U38,HomeBroker!$A$30:$F$60,3,0),0)</f>
        <v>0</v>
      </c>
      <c r="X38" s="626">
        <f>IFERROR(VLOOKUP($U38,HomeBroker!$A$30:$F$60,6,0),0)</f>
        <v>0</v>
      </c>
      <c r="Y38" s="445">
        <f>IFERROR(VLOOKUP($U38,HomeBroker!$A$30:$F$60,4,0),0)</f>
        <v>0</v>
      </c>
      <c r="Z38" s="343">
        <f>IFERROR(VLOOKUP($U38,HomeBroker!$A$30:$F$60,5,0),0)</f>
        <v>0</v>
      </c>
      <c r="AA38" s="346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44">
        <f t="shared" ca="1" si="64"/>
        <v>0</v>
      </c>
      <c r="AF38" s="345" t="str">
        <f t="shared" si="75"/>
        <v/>
      </c>
      <c r="AG38" s="345" t="str">
        <f t="shared" si="76"/>
        <v/>
      </c>
      <c r="AH38" s="408">
        <f>IFERROR(VLOOKUP($AG38,HomeBroker!$A$30:$F$60,2,0),0)</f>
        <v>0</v>
      </c>
      <c r="AI38" s="446">
        <f>IFERROR(VLOOKUP($AG38,HomeBroker!$A$30:$F$60,3,0),0)</f>
        <v>0</v>
      </c>
      <c r="AJ38" s="626">
        <f>IFERROR(VLOOKUP($AG38,HomeBroker!$A$30:$F$60,6,0),0)</f>
        <v>0</v>
      </c>
      <c r="AK38" s="446">
        <f>IFERROR(VLOOKUP($AG38,HomeBroker!$A$30:$F$60,4,0),0)</f>
        <v>0</v>
      </c>
      <c r="AL38" s="408">
        <f>IFERROR(VLOOKUP($AG38,HomeBroker!$A$30:$F$60,5,0),0)</f>
        <v>0</v>
      </c>
      <c r="AM38" s="448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6">
        <f t="shared" si="11"/>
        <v>0</v>
      </c>
      <c r="AY38" s="217">
        <f t="shared" si="12"/>
        <v>0</v>
      </c>
      <c r="AZ38" s="148" t="s">
        <v>402</v>
      </c>
      <c r="BA38" s="112"/>
      <c r="BB38" s="129"/>
      <c r="BC38" s="115"/>
      <c r="BD38" s="218">
        <f t="shared" si="13"/>
        <v>0</v>
      </c>
      <c r="BE38" s="220">
        <f t="shared" si="14"/>
        <v>0</v>
      </c>
      <c r="BF38" s="149" t="s">
        <v>403</v>
      </c>
      <c r="BG38" s="112"/>
      <c r="BH38" s="115"/>
      <c r="BI38" s="221">
        <f t="shared" si="15"/>
        <v>0</v>
      </c>
      <c r="BJ38" s="222">
        <f t="shared" si="16"/>
        <v>0</v>
      </c>
      <c r="DE38" s="117">
        <f t="shared" si="78"/>
        <v>1904.4984083960348</v>
      </c>
      <c r="DF38" s="118">
        <f t="shared" si="79"/>
        <v>0</v>
      </c>
      <c r="DG38" s="118">
        <f t="shared" si="80"/>
        <v>0</v>
      </c>
      <c r="DH38" s="118">
        <f t="shared" si="81"/>
        <v>0</v>
      </c>
      <c r="DI38" s="118">
        <f t="shared" si="82"/>
        <v>0</v>
      </c>
      <c r="DJ38" s="118">
        <f t="shared" si="83"/>
        <v>0</v>
      </c>
      <c r="DK38" s="118">
        <f t="shared" si="84"/>
        <v>0</v>
      </c>
      <c r="DL38" s="118">
        <f t="shared" si="85"/>
        <v>0</v>
      </c>
      <c r="DM38" s="118">
        <f t="shared" si="86"/>
        <v>0</v>
      </c>
      <c r="DN38" s="118">
        <f t="shared" si="87"/>
        <v>0</v>
      </c>
      <c r="DO38" s="118">
        <f t="shared" si="88"/>
        <v>0</v>
      </c>
      <c r="DP38" s="118">
        <f t="shared" si="89"/>
        <v>0</v>
      </c>
      <c r="DQ38" s="118">
        <f t="shared" si="90"/>
        <v>0</v>
      </c>
      <c r="DR38" s="118">
        <f t="shared" si="91"/>
        <v>0</v>
      </c>
      <c r="DS38" s="118">
        <f t="shared" si="92"/>
        <v>0</v>
      </c>
      <c r="DT38" s="118">
        <f t="shared" si="93"/>
        <v>0</v>
      </c>
      <c r="DU38" s="118">
        <f t="shared" si="94"/>
        <v>0</v>
      </c>
      <c r="DV38" s="118">
        <f t="shared" si="95"/>
        <v>0</v>
      </c>
      <c r="DW38" s="118">
        <f t="shared" si="96"/>
        <v>0</v>
      </c>
      <c r="DX38" s="118">
        <f t="shared" si="97"/>
        <v>0</v>
      </c>
      <c r="DY38" s="118">
        <f t="shared" si="98"/>
        <v>0</v>
      </c>
      <c r="DZ38" s="118">
        <f t="shared" si="99"/>
        <v>0</v>
      </c>
      <c r="EA38" s="118">
        <f t="shared" si="100"/>
        <v>0</v>
      </c>
      <c r="EB38" s="118">
        <f t="shared" si="101"/>
        <v>0</v>
      </c>
      <c r="EC38" s="118">
        <f t="shared" si="102"/>
        <v>0</v>
      </c>
      <c r="ED38" s="118">
        <f t="shared" si="103"/>
        <v>0</v>
      </c>
      <c r="EE38" s="118">
        <f t="shared" si="104"/>
        <v>0</v>
      </c>
      <c r="EF38" s="118">
        <f t="shared" si="105"/>
        <v>0</v>
      </c>
      <c r="EG38" s="118">
        <f t="shared" si="106"/>
        <v>0</v>
      </c>
      <c r="EH38" s="118">
        <f t="shared" si="107"/>
        <v>0</v>
      </c>
      <c r="EI38" s="118">
        <f t="shared" si="108"/>
        <v>0</v>
      </c>
      <c r="EJ38" s="118">
        <f t="shared" si="109"/>
        <v>0</v>
      </c>
      <c r="EK38" s="118">
        <f t="shared" si="110"/>
        <v>0</v>
      </c>
      <c r="EL38" s="118">
        <f t="shared" si="111"/>
        <v>0</v>
      </c>
      <c r="EM38" s="118">
        <f t="shared" si="112"/>
        <v>0</v>
      </c>
      <c r="EN38" s="118">
        <f t="shared" si="113"/>
        <v>0</v>
      </c>
      <c r="EO38" s="118">
        <f t="shared" si="114"/>
        <v>0</v>
      </c>
      <c r="EP38" s="118">
        <f t="shared" si="115"/>
        <v>0</v>
      </c>
      <c r="EQ38" s="118">
        <f t="shared" si="116"/>
        <v>0</v>
      </c>
      <c r="ER38" s="118">
        <f t="shared" si="117"/>
        <v>0</v>
      </c>
      <c r="ES38" s="119"/>
      <c r="ET38" s="143">
        <f t="shared" si="118"/>
        <v>0</v>
      </c>
      <c r="EU38" s="72"/>
      <c r="EV38" s="117">
        <f t="shared" si="119"/>
        <v>1904.4984083960348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20"/>
        <v>0</v>
      </c>
      <c r="GG38" s="118">
        <f t="shared" si="121"/>
        <v>0</v>
      </c>
      <c r="GH38" s="118">
        <f t="shared" si="122"/>
        <v>0</v>
      </c>
      <c r="GI38" s="118">
        <f t="shared" si="123"/>
        <v>0</v>
      </c>
      <c r="GJ38" s="119"/>
      <c r="GK38" s="143">
        <f t="shared" ca="1" si="124"/>
        <v>0</v>
      </c>
    </row>
    <row r="39" spans="1:193">
      <c r="A39" s="442" t="s">
        <v>401</v>
      </c>
      <c r="B39" s="144"/>
      <c r="C39" s="200"/>
      <c r="D39" s="201"/>
      <c r="E39" s="461">
        <f t="shared" si="0"/>
        <v>0</v>
      </c>
      <c r="F39" s="462">
        <f t="shared" si="77"/>
        <v>0</v>
      </c>
      <c r="G39" s="202" t="str">
        <f>IFERROR(VLOOKUP(C39,$AD$3:$AM$50,7,0),"")</f>
        <v/>
      </c>
      <c r="H39" s="471">
        <f t="shared" si="58"/>
        <v>0</v>
      </c>
      <c r="I39" s="472">
        <f t="shared" si="3"/>
        <v>0</v>
      </c>
      <c r="J39" s="62"/>
      <c r="K39" s="801" t="s">
        <v>445</v>
      </c>
      <c r="L39" s="778"/>
      <c r="M39" s="779"/>
      <c r="N39" s="150">
        <f>SUM(AC3:AC42)</f>
        <v>0</v>
      </c>
      <c r="O39" s="62"/>
      <c r="P39" s="198" t="str">
        <f t="shared" si="59"/>
        <v>-</v>
      </c>
      <c r="Q39" s="407">
        <f t="shared" si="69"/>
        <v>0</v>
      </c>
      <c r="R39" s="194"/>
      <c r="S39" s="443">
        <f t="shared" ca="1" si="60"/>
        <v>0</v>
      </c>
      <c r="T39" s="345" t="str">
        <f t="shared" si="73"/>
        <v/>
      </c>
      <c r="U39" s="345" t="str">
        <f t="shared" si="74"/>
        <v/>
      </c>
      <c r="V39" s="343">
        <f>IFERROR(VLOOKUP($U39,HomeBroker!$A$30:$F$60,2,0),0)</f>
        <v>0</v>
      </c>
      <c r="W39" s="446">
        <f>IFERROR(VLOOKUP($U39,HomeBroker!$A$30:$F$60,3,0),0)</f>
        <v>0</v>
      </c>
      <c r="X39" s="626">
        <f>IFERROR(VLOOKUP($U39,HomeBroker!$A$30:$F$60,6,0),0)</f>
        <v>0</v>
      </c>
      <c r="Y39" s="445">
        <f>IFERROR(VLOOKUP($U39,HomeBroker!$A$30:$F$60,4,0),0)</f>
        <v>0</v>
      </c>
      <c r="Z39" s="343">
        <f>IFERROR(VLOOKUP($U39,HomeBroker!$A$30:$F$60,5,0),0)</f>
        <v>0</v>
      </c>
      <c r="AA39" s="346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44">
        <f t="shared" ca="1" si="64"/>
        <v>0</v>
      </c>
      <c r="AF39" s="345" t="str">
        <f t="shared" si="75"/>
        <v/>
      </c>
      <c r="AG39" s="345" t="str">
        <f t="shared" si="76"/>
        <v/>
      </c>
      <c r="AH39" s="408">
        <f>IFERROR(VLOOKUP($AG39,HomeBroker!$A$30:$F$60,2,0),0)</f>
        <v>0</v>
      </c>
      <c r="AI39" s="446">
        <f>IFERROR(VLOOKUP($AG39,HomeBroker!$A$30:$F$60,3,0),0)</f>
        <v>0</v>
      </c>
      <c r="AJ39" s="626">
        <f>IFERROR(VLOOKUP($AG39,HomeBroker!$A$30:$F$60,6,0),0)</f>
        <v>0</v>
      </c>
      <c r="AK39" s="446">
        <f>IFERROR(VLOOKUP($AG39,HomeBroker!$A$30:$F$60,4,0),0)</f>
        <v>0</v>
      </c>
      <c r="AL39" s="408">
        <f>IFERROR(VLOOKUP($AG39,HomeBroker!$A$30:$F$60,5,0),0)</f>
        <v>0</v>
      </c>
      <c r="AM39" s="448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6">
        <f t="shared" si="11"/>
        <v>0</v>
      </c>
      <c r="AY39" s="217">
        <f t="shared" si="12"/>
        <v>0</v>
      </c>
      <c r="AZ39" s="148" t="s">
        <v>402</v>
      </c>
      <c r="BA39" s="112"/>
      <c r="BB39" s="129"/>
      <c r="BC39" s="115"/>
      <c r="BD39" s="218">
        <f t="shared" si="13"/>
        <v>0</v>
      </c>
      <c r="BE39" s="220">
        <f t="shared" si="14"/>
        <v>0</v>
      </c>
      <c r="BF39" s="149" t="s">
        <v>403</v>
      </c>
      <c r="BG39" s="112"/>
      <c r="BH39" s="115"/>
      <c r="BI39" s="221">
        <f t="shared" si="15"/>
        <v>0</v>
      </c>
      <c r="BJ39" s="222">
        <f t="shared" si="16"/>
        <v>0</v>
      </c>
      <c r="DE39" s="117">
        <f t="shared" si="78"/>
        <v>1963.4004210268401</v>
      </c>
      <c r="DF39" s="118">
        <f t="shared" si="79"/>
        <v>0</v>
      </c>
      <c r="DG39" s="118">
        <f t="shared" si="80"/>
        <v>0</v>
      </c>
      <c r="DH39" s="118">
        <f t="shared" si="81"/>
        <v>0</v>
      </c>
      <c r="DI39" s="118">
        <f t="shared" si="82"/>
        <v>0</v>
      </c>
      <c r="DJ39" s="118">
        <f t="shared" si="83"/>
        <v>0</v>
      </c>
      <c r="DK39" s="118">
        <f t="shared" si="84"/>
        <v>0</v>
      </c>
      <c r="DL39" s="118">
        <f t="shared" si="85"/>
        <v>0</v>
      </c>
      <c r="DM39" s="118">
        <f t="shared" si="86"/>
        <v>0</v>
      </c>
      <c r="DN39" s="118">
        <f t="shared" si="87"/>
        <v>0</v>
      </c>
      <c r="DO39" s="118">
        <f t="shared" si="88"/>
        <v>0</v>
      </c>
      <c r="DP39" s="118">
        <f t="shared" si="89"/>
        <v>0</v>
      </c>
      <c r="DQ39" s="118">
        <f t="shared" si="90"/>
        <v>0</v>
      </c>
      <c r="DR39" s="118">
        <f t="shared" si="91"/>
        <v>0</v>
      </c>
      <c r="DS39" s="118">
        <f t="shared" si="92"/>
        <v>0</v>
      </c>
      <c r="DT39" s="118">
        <f t="shared" si="93"/>
        <v>0</v>
      </c>
      <c r="DU39" s="118">
        <f t="shared" si="94"/>
        <v>0</v>
      </c>
      <c r="DV39" s="118">
        <f t="shared" si="95"/>
        <v>0</v>
      </c>
      <c r="DW39" s="118">
        <f t="shared" si="96"/>
        <v>0</v>
      </c>
      <c r="DX39" s="118">
        <f t="shared" si="97"/>
        <v>0</v>
      </c>
      <c r="DY39" s="118">
        <f t="shared" si="98"/>
        <v>0</v>
      </c>
      <c r="DZ39" s="118">
        <f t="shared" si="99"/>
        <v>0</v>
      </c>
      <c r="EA39" s="118">
        <f t="shared" si="100"/>
        <v>0</v>
      </c>
      <c r="EB39" s="118">
        <f t="shared" si="101"/>
        <v>0</v>
      </c>
      <c r="EC39" s="118">
        <f t="shared" si="102"/>
        <v>0</v>
      </c>
      <c r="ED39" s="118">
        <f t="shared" si="103"/>
        <v>0</v>
      </c>
      <c r="EE39" s="118">
        <f t="shared" si="104"/>
        <v>0</v>
      </c>
      <c r="EF39" s="118">
        <f t="shared" si="105"/>
        <v>0</v>
      </c>
      <c r="EG39" s="118">
        <f t="shared" si="106"/>
        <v>0</v>
      </c>
      <c r="EH39" s="118">
        <f t="shared" si="107"/>
        <v>0</v>
      </c>
      <c r="EI39" s="118">
        <f t="shared" si="108"/>
        <v>0</v>
      </c>
      <c r="EJ39" s="118">
        <f t="shared" si="109"/>
        <v>0</v>
      </c>
      <c r="EK39" s="118">
        <f t="shared" si="110"/>
        <v>0</v>
      </c>
      <c r="EL39" s="118">
        <f t="shared" si="111"/>
        <v>0</v>
      </c>
      <c r="EM39" s="118">
        <f t="shared" si="112"/>
        <v>0</v>
      </c>
      <c r="EN39" s="118">
        <f t="shared" si="113"/>
        <v>0</v>
      </c>
      <c r="EO39" s="118">
        <f t="shared" si="114"/>
        <v>0</v>
      </c>
      <c r="EP39" s="118">
        <f t="shared" si="115"/>
        <v>0</v>
      </c>
      <c r="EQ39" s="118">
        <f t="shared" si="116"/>
        <v>0</v>
      </c>
      <c r="ER39" s="118">
        <f t="shared" si="117"/>
        <v>0</v>
      </c>
      <c r="ES39" s="119"/>
      <c r="ET39" s="143">
        <f t="shared" si="118"/>
        <v>0</v>
      </c>
      <c r="EU39" s="72"/>
      <c r="EV39" s="117">
        <f t="shared" si="119"/>
        <v>1963.4004210268401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20"/>
        <v>0</v>
      </c>
      <c r="GG39" s="118">
        <f t="shared" si="121"/>
        <v>0</v>
      </c>
      <c r="GH39" s="118">
        <f t="shared" si="122"/>
        <v>0</v>
      </c>
      <c r="GI39" s="118">
        <f t="shared" si="123"/>
        <v>0</v>
      </c>
      <c r="GJ39" s="119"/>
      <c r="GK39" s="143">
        <f t="shared" ca="1" si="124"/>
        <v>0</v>
      </c>
    </row>
    <row r="40" spans="1:193">
      <c r="A40" s="442" t="s">
        <v>401</v>
      </c>
      <c r="B40" s="144"/>
      <c r="C40" s="200"/>
      <c r="D40" s="201"/>
      <c r="E40" s="461">
        <f t="shared" si="0"/>
        <v>0</v>
      </c>
      <c r="F40" s="462">
        <f t="shared" si="77"/>
        <v>0</v>
      </c>
      <c r="G40" s="202" t="str">
        <f t="shared" ref="G40:G72" si="125">IFERROR(VLOOKUP(C40,$AD$3:$AM$42,7,0),"")</f>
        <v/>
      </c>
      <c r="H40" s="471">
        <f t="shared" si="58"/>
        <v>0</v>
      </c>
      <c r="I40" s="472">
        <f t="shared" si="3"/>
        <v>0</v>
      </c>
      <c r="J40" s="62"/>
      <c r="K40" s="798" t="s">
        <v>0</v>
      </c>
      <c r="L40" s="778"/>
      <c r="M40" s="779"/>
      <c r="N40" s="151">
        <f>AB43+SUM(B73:B75)</f>
        <v>0</v>
      </c>
      <c r="O40" s="62"/>
      <c r="P40" s="198" t="str">
        <f t="shared" si="59"/>
        <v>-</v>
      </c>
      <c r="Q40" s="407">
        <f t="shared" si="69"/>
        <v>0</v>
      </c>
      <c r="R40" s="194"/>
      <c r="S40" s="443">
        <f t="shared" ca="1" si="60"/>
        <v>0</v>
      </c>
      <c r="T40" s="345" t="str">
        <f t="shared" si="73"/>
        <v/>
      </c>
      <c r="U40" s="345" t="str">
        <f t="shared" si="74"/>
        <v/>
      </c>
      <c r="V40" s="343">
        <f>IFERROR(VLOOKUP($U40,HomeBroker!$A$30:$F$60,2,0),0)</f>
        <v>0</v>
      </c>
      <c r="W40" s="446">
        <f>IFERROR(VLOOKUP($U40,HomeBroker!$A$30:$F$60,3,0),0)</f>
        <v>0</v>
      </c>
      <c r="X40" s="626">
        <f>IFERROR(VLOOKUP($U40,HomeBroker!$A$30:$F$60,6,0),0)</f>
        <v>0</v>
      </c>
      <c r="Y40" s="445">
        <f>IFERROR(VLOOKUP($U40,HomeBroker!$A$30:$F$60,4,0),0)</f>
        <v>0</v>
      </c>
      <c r="Z40" s="343">
        <f>IFERROR(VLOOKUP($U40,HomeBroker!$A$30:$F$60,5,0),0)</f>
        <v>0</v>
      </c>
      <c r="AA40" s="346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44">
        <f t="shared" ca="1" si="64"/>
        <v>0</v>
      </c>
      <c r="AF40" s="345" t="str">
        <f t="shared" si="75"/>
        <v/>
      </c>
      <c r="AG40" s="345" t="str">
        <f t="shared" si="76"/>
        <v/>
      </c>
      <c r="AH40" s="408">
        <f>IFERROR(VLOOKUP($AG40,HomeBroker!$A$30:$F$60,2,0),0)</f>
        <v>0</v>
      </c>
      <c r="AI40" s="446">
        <f>IFERROR(VLOOKUP($AG40,HomeBroker!$A$30:$F$60,3,0),0)</f>
        <v>0</v>
      </c>
      <c r="AJ40" s="626">
        <f>IFERROR(VLOOKUP($AG40,HomeBroker!$A$30:$F$60,6,0),0)</f>
        <v>0</v>
      </c>
      <c r="AK40" s="446">
        <f>IFERROR(VLOOKUP($AG40,HomeBroker!$A$30:$F$60,4,0),0)</f>
        <v>0</v>
      </c>
      <c r="AL40" s="408">
        <f>IFERROR(VLOOKUP($AG40,HomeBroker!$A$30:$F$60,5,0),0)</f>
        <v>0</v>
      </c>
      <c r="AM40" s="448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6">
        <f t="shared" si="11"/>
        <v>0</v>
      </c>
      <c r="AY40" s="217">
        <f t="shared" si="12"/>
        <v>0</v>
      </c>
      <c r="AZ40" s="148" t="s">
        <v>402</v>
      </c>
      <c r="BA40" s="112"/>
      <c r="BB40" s="129"/>
      <c r="BC40" s="115"/>
      <c r="BD40" s="218">
        <f t="shared" si="13"/>
        <v>0</v>
      </c>
      <c r="BE40" s="220">
        <f t="shared" si="14"/>
        <v>0</v>
      </c>
      <c r="BF40" s="149" t="s">
        <v>403</v>
      </c>
      <c r="BG40" s="112"/>
      <c r="BH40" s="115"/>
      <c r="BI40" s="221">
        <f t="shared" si="15"/>
        <v>0</v>
      </c>
      <c r="BJ40" s="222">
        <f t="shared" si="16"/>
        <v>0</v>
      </c>
      <c r="DE40" s="117">
        <f t="shared" si="78"/>
        <v>2024.124145388495</v>
      </c>
      <c r="DF40" s="118">
        <f t="shared" si="79"/>
        <v>0</v>
      </c>
      <c r="DG40" s="118">
        <f t="shared" si="80"/>
        <v>0</v>
      </c>
      <c r="DH40" s="118">
        <f t="shared" si="81"/>
        <v>0</v>
      </c>
      <c r="DI40" s="118">
        <f t="shared" si="82"/>
        <v>0</v>
      </c>
      <c r="DJ40" s="118">
        <f t="shared" si="83"/>
        <v>0</v>
      </c>
      <c r="DK40" s="118">
        <f t="shared" si="84"/>
        <v>0</v>
      </c>
      <c r="DL40" s="118">
        <f t="shared" si="85"/>
        <v>0</v>
      </c>
      <c r="DM40" s="118">
        <f t="shared" si="86"/>
        <v>0</v>
      </c>
      <c r="DN40" s="118">
        <f t="shared" si="87"/>
        <v>0</v>
      </c>
      <c r="DO40" s="118">
        <f t="shared" si="88"/>
        <v>0</v>
      </c>
      <c r="DP40" s="118">
        <f t="shared" si="89"/>
        <v>0</v>
      </c>
      <c r="DQ40" s="118">
        <f t="shared" si="90"/>
        <v>0</v>
      </c>
      <c r="DR40" s="118">
        <f t="shared" si="91"/>
        <v>0</v>
      </c>
      <c r="DS40" s="118">
        <f t="shared" si="92"/>
        <v>0</v>
      </c>
      <c r="DT40" s="118">
        <f t="shared" si="93"/>
        <v>0</v>
      </c>
      <c r="DU40" s="118">
        <f t="shared" si="94"/>
        <v>0</v>
      </c>
      <c r="DV40" s="118">
        <f t="shared" si="95"/>
        <v>0</v>
      </c>
      <c r="DW40" s="118">
        <f t="shared" si="96"/>
        <v>0</v>
      </c>
      <c r="DX40" s="118">
        <f t="shared" si="97"/>
        <v>0</v>
      </c>
      <c r="DY40" s="118">
        <f t="shared" si="98"/>
        <v>0</v>
      </c>
      <c r="DZ40" s="118">
        <f t="shared" si="99"/>
        <v>0</v>
      </c>
      <c r="EA40" s="118">
        <f t="shared" si="100"/>
        <v>0</v>
      </c>
      <c r="EB40" s="118">
        <f t="shared" si="101"/>
        <v>0</v>
      </c>
      <c r="EC40" s="118">
        <f t="shared" si="102"/>
        <v>0</v>
      </c>
      <c r="ED40" s="118">
        <f t="shared" si="103"/>
        <v>0</v>
      </c>
      <c r="EE40" s="118">
        <f t="shared" si="104"/>
        <v>0</v>
      </c>
      <c r="EF40" s="118">
        <f t="shared" si="105"/>
        <v>0</v>
      </c>
      <c r="EG40" s="118">
        <f t="shared" si="106"/>
        <v>0</v>
      </c>
      <c r="EH40" s="118">
        <f t="shared" si="107"/>
        <v>0</v>
      </c>
      <c r="EI40" s="118">
        <f t="shared" si="108"/>
        <v>0</v>
      </c>
      <c r="EJ40" s="118">
        <f t="shared" si="109"/>
        <v>0</v>
      </c>
      <c r="EK40" s="118">
        <f t="shared" si="110"/>
        <v>0</v>
      </c>
      <c r="EL40" s="118">
        <f t="shared" si="111"/>
        <v>0</v>
      </c>
      <c r="EM40" s="118">
        <f t="shared" si="112"/>
        <v>0</v>
      </c>
      <c r="EN40" s="118">
        <f t="shared" si="113"/>
        <v>0</v>
      </c>
      <c r="EO40" s="118">
        <f t="shared" si="114"/>
        <v>0</v>
      </c>
      <c r="EP40" s="118">
        <f t="shared" si="115"/>
        <v>0</v>
      </c>
      <c r="EQ40" s="118">
        <f t="shared" si="116"/>
        <v>0</v>
      </c>
      <c r="ER40" s="118">
        <f t="shared" si="117"/>
        <v>0</v>
      </c>
      <c r="ES40" s="119"/>
      <c r="ET40" s="143">
        <f t="shared" si="118"/>
        <v>0</v>
      </c>
      <c r="EU40" s="72"/>
      <c r="EV40" s="117">
        <f t="shared" si="119"/>
        <v>2024.124145388495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20"/>
        <v>0</v>
      </c>
      <c r="GG40" s="118">
        <f t="shared" si="121"/>
        <v>0</v>
      </c>
      <c r="GH40" s="118">
        <f t="shared" si="122"/>
        <v>0</v>
      </c>
      <c r="GI40" s="118">
        <f t="shared" si="123"/>
        <v>0</v>
      </c>
      <c r="GJ40" s="119"/>
      <c r="GK40" s="143">
        <f t="shared" ca="1" si="124"/>
        <v>0</v>
      </c>
    </row>
    <row r="41" spans="1:193">
      <c r="A41" s="442" t="s">
        <v>401</v>
      </c>
      <c r="B41" s="144"/>
      <c r="C41" s="200"/>
      <c r="D41" s="201"/>
      <c r="E41" s="461">
        <f t="shared" si="0"/>
        <v>0</v>
      </c>
      <c r="F41" s="462">
        <f t="shared" si="77"/>
        <v>0</v>
      </c>
      <c r="G41" s="202" t="str">
        <f t="shared" si="125"/>
        <v/>
      </c>
      <c r="H41" s="471">
        <f t="shared" si="58"/>
        <v>0</v>
      </c>
      <c r="I41" s="472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407">
        <f t="shared" si="69"/>
        <v>0</v>
      </c>
      <c r="R41" s="194"/>
      <c r="S41" s="443">
        <f t="shared" ca="1" si="60"/>
        <v>0</v>
      </c>
      <c r="T41" s="345" t="str">
        <f t="shared" si="73"/>
        <v/>
      </c>
      <c r="U41" s="345" t="str">
        <f t="shared" si="74"/>
        <v/>
      </c>
      <c r="V41" s="343">
        <f>IFERROR(VLOOKUP($U41,HomeBroker!$A$30:$F$60,2,0),0)</f>
        <v>0</v>
      </c>
      <c r="W41" s="446">
        <f>IFERROR(VLOOKUP($U41,HomeBroker!$A$30:$F$60,3,0),0)</f>
        <v>0</v>
      </c>
      <c r="X41" s="626">
        <f>IFERROR(VLOOKUP($U41,HomeBroker!$A$30:$F$60,6,0),0)</f>
        <v>0</v>
      </c>
      <c r="Y41" s="445">
        <f>IFERROR(VLOOKUP($U41,HomeBroker!$A$30:$F$60,4,0),0)</f>
        <v>0</v>
      </c>
      <c r="Z41" s="343">
        <f>IFERROR(VLOOKUP($U41,HomeBroker!$A$30:$F$60,5,0),0)</f>
        <v>0</v>
      </c>
      <c r="AA41" s="346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44">
        <f t="shared" ca="1" si="64"/>
        <v>0</v>
      </c>
      <c r="AF41" s="345" t="str">
        <f t="shared" si="75"/>
        <v/>
      </c>
      <c r="AG41" s="345" t="str">
        <f t="shared" si="76"/>
        <v/>
      </c>
      <c r="AH41" s="408">
        <f>IFERROR(VLOOKUP($AG41,HomeBroker!$A$30:$F$60,2,0),0)</f>
        <v>0</v>
      </c>
      <c r="AI41" s="446">
        <f>IFERROR(VLOOKUP($AG41,HomeBroker!$A$30:$F$60,3,0),0)</f>
        <v>0</v>
      </c>
      <c r="AJ41" s="626">
        <f>IFERROR(VLOOKUP($AG41,HomeBroker!$A$30:$F$60,6,0),0)</f>
        <v>0</v>
      </c>
      <c r="AK41" s="446">
        <f>IFERROR(VLOOKUP($AG41,HomeBroker!$A$30:$F$60,4,0),0)</f>
        <v>0</v>
      </c>
      <c r="AL41" s="408">
        <f>IFERROR(VLOOKUP($AG41,HomeBroker!$A$30:$F$60,5,0),0)</f>
        <v>0</v>
      </c>
      <c r="AM41" s="448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6">
        <f t="shared" si="11"/>
        <v>0</v>
      </c>
      <c r="AY41" s="217">
        <f t="shared" si="12"/>
        <v>0</v>
      </c>
      <c r="AZ41" s="148" t="s">
        <v>402</v>
      </c>
      <c r="BA41" s="112"/>
      <c r="BB41" s="129"/>
      <c r="BC41" s="115"/>
      <c r="BD41" s="218">
        <f t="shared" si="13"/>
        <v>0</v>
      </c>
      <c r="BE41" s="220">
        <f t="shared" si="14"/>
        <v>0</v>
      </c>
      <c r="BF41" s="149" t="s">
        <v>403</v>
      </c>
      <c r="BG41" s="112"/>
      <c r="BH41" s="115"/>
      <c r="BI41" s="221">
        <f t="shared" si="15"/>
        <v>0</v>
      </c>
      <c r="BJ41" s="222">
        <f t="shared" si="16"/>
        <v>0</v>
      </c>
      <c r="DE41" s="117">
        <f t="shared" si="78"/>
        <v>2086.7259230809227</v>
      </c>
      <c r="DF41" s="118">
        <f t="shared" si="79"/>
        <v>0</v>
      </c>
      <c r="DG41" s="118">
        <f t="shared" si="80"/>
        <v>0</v>
      </c>
      <c r="DH41" s="118">
        <f t="shared" si="81"/>
        <v>0</v>
      </c>
      <c r="DI41" s="118">
        <f t="shared" si="82"/>
        <v>0</v>
      </c>
      <c r="DJ41" s="118">
        <f t="shared" si="83"/>
        <v>0</v>
      </c>
      <c r="DK41" s="118">
        <f t="shared" si="84"/>
        <v>0</v>
      </c>
      <c r="DL41" s="118">
        <f t="shared" si="85"/>
        <v>0</v>
      </c>
      <c r="DM41" s="118">
        <f t="shared" si="86"/>
        <v>0</v>
      </c>
      <c r="DN41" s="118">
        <f t="shared" si="87"/>
        <v>0</v>
      </c>
      <c r="DO41" s="118">
        <f t="shared" si="88"/>
        <v>0</v>
      </c>
      <c r="DP41" s="118">
        <f t="shared" si="89"/>
        <v>0</v>
      </c>
      <c r="DQ41" s="118">
        <f t="shared" si="90"/>
        <v>0</v>
      </c>
      <c r="DR41" s="118">
        <f t="shared" si="91"/>
        <v>0</v>
      </c>
      <c r="DS41" s="118">
        <f t="shared" si="92"/>
        <v>0</v>
      </c>
      <c r="DT41" s="118">
        <f t="shared" si="93"/>
        <v>0</v>
      </c>
      <c r="DU41" s="118">
        <f t="shared" si="94"/>
        <v>0</v>
      </c>
      <c r="DV41" s="118">
        <f t="shared" si="95"/>
        <v>0</v>
      </c>
      <c r="DW41" s="118">
        <f t="shared" si="96"/>
        <v>0</v>
      </c>
      <c r="DX41" s="118">
        <f t="shared" si="97"/>
        <v>0</v>
      </c>
      <c r="DY41" s="118">
        <f t="shared" si="98"/>
        <v>0</v>
      </c>
      <c r="DZ41" s="118">
        <f t="shared" si="99"/>
        <v>0</v>
      </c>
      <c r="EA41" s="118">
        <f t="shared" si="100"/>
        <v>0</v>
      </c>
      <c r="EB41" s="118">
        <f t="shared" si="101"/>
        <v>0</v>
      </c>
      <c r="EC41" s="118">
        <f t="shared" si="102"/>
        <v>0</v>
      </c>
      <c r="ED41" s="118">
        <f t="shared" si="103"/>
        <v>0</v>
      </c>
      <c r="EE41" s="118">
        <f t="shared" si="104"/>
        <v>0</v>
      </c>
      <c r="EF41" s="118">
        <f t="shared" si="105"/>
        <v>0</v>
      </c>
      <c r="EG41" s="118">
        <f t="shared" si="106"/>
        <v>0</v>
      </c>
      <c r="EH41" s="118">
        <f t="shared" si="107"/>
        <v>0</v>
      </c>
      <c r="EI41" s="118">
        <f t="shared" si="108"/>
        <v>0</v>
      </c>
      <c r="EJ41" s="118">
        <f t="shared" si="109"/>
        <v>0</v>
      </c>
      <c r="EK41" s="118">
        <f t="shared" si="110"/>
        <v>0</v>
      </c>
      <c r="EL41" s="118">
        <f t="shared" si="111"/>
        <v>0</v>
      </c>
      <c r="EM41" s="118">
        <f t="shared" si="112"/>
        <v>0</v>
      </c>
      <c r="EN41" s="118">
        <f t="shared" si="113"/>
        <v>0</v>
      </c>
      <c r="EO41" s="118">
        <f t="shared" si="114"/>
        <v>0</v>
      </c>
      <c r="EP41" s="118">
        <f t="shared" si="115"/>
        <v>0</v>
      </c>
      <c r="EQ41" s="118">
        <f t="shared" si="116"/>
        <v>0</v>
      </c>
      <c r="ER41" s="118">
        <f t="shared" si="117"/>
        <v>0</v>
      </c>
      <c r="ES41" s="119"/>
      <c r="ET41" s="143">
        <f t="shared" si="118"/>
        <v>0</v>
      </c>
      <c r="EU41" s="72"/>
      <c r="EV41" s="117">
        <f t="shared" si="119"/>
        <v>2086.7259230809227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20"/>
        <v>0</v>
      </c>
      <c r="GG41" s="118">
        <f t="shared" si="121"/>
        <v>0</v>
      </c>
      <c r="GH41" s="118">
        <f t="shared" si="122"/>
        <v>0</v>
      </c>
      <c r="GI41" s="118">
        <f t="shared" si="123"/>
        <v>0</v>
      </c>
      <c r="GJ41" s="119"/>
      <c r="GK41" s="143">
        <f t="shared" ca="1" si="124"/>
        <v>0</v>
      </c>
    </row>
    <row r="42" spans="1:193">
      <c r="A42" s="442" t="s">
        <v>401</v>
      </c>
      <c r="B42" s="144"/>
      <c r="C42" s="200"/>
      <c r="D42" s="201"/>
      <c r="E42" s="461">
        <f t="shared" si="0"/>
        <v>0</v>
      </c>
      <c r="F42" s="462">
        <f t="shared" si="77"/>
        <v>0</v>
      </c>
      <c r="G42" s="202" t="str">
        <f t="shared" si="125"/>
        <v/>
      </c>
      <c r="H42" s="471">
        <f t="shared" si="58"/>
        <v>0</v>
      </c>
      <c r="I42" s="472">
        <f t="shared" si="3"/>
        <v>0</v>
      </c>
      <c r="J42" s="62"/>
      <c r="K42" s="782" t="s">
        <v>446</v>
      </c>
      <c r="L42" s="778"/>
      <c r="M42" s="779"/>
      <c r="N42" s="153">
        <v>0.03</v>
      </c>
      <c r="O42" s="62"/>
      <c r="P42" s="198" t="str">
        <f t="shared" si="59"/>
        <v>-</v>
      </c>
      <c r="Q42" s="407">
        <f t="shared" si="69"/>
        <v>0</v>
      </c>
      <c r="R42" s="194"/>
      <c r="S42" s="443">
        <f t="shared" ca="1" si="60"/>
        <v>0</v>
      </c>
      <c r="T42" s="345" t="str">
        <f t="shared" si="73"/>
        <v/>
      </c>
      <c r="U42" s="345" t="str">
        <f t="shared" si="74"/>
        <v/>
      </c>
      <c r="V42" s="343">
        <f>IFERROR(VLOOKUP($U42,HomeBroker!$A$30:$F$60,2,0),0)</f>
        <v>0</v>
      </c>
      <c r="W42" s="446">
        <f>IFERROR(VLOOKUP($U42,HomeBroker!$A$30:$F$60,3,0),0)</f>
        <v>0</v>
      </c>
      <c r="X42" s="626">
        <f>IFERROR(VLOOKUP($U42,HomeBroker!$A$30:$F$60,6,0),0)</f>
        <v>0</v>
      </c>
      <c r="Y42" s="445">
        <f>IFERROR(VLOOKUP($U42,HomeBroker!$A$30:$F$60,4,0),0)</f>
        <v>0</v>
      </c>
      <c r="Z42" s="343">
        <f>IFERROR(VLOOKUP($U42,HomeBroker!$A$30:$F$60,5,0),0)</f>
        <v>0</v>
      </c>
      <c r="AA42" s="346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44">
        <f t="shared" ca="1" si="64"/>
        <v>0</v>
      </c>
      <c r="AF42" s="345" t="str">
        <f t="shared" si="75"/>
        <v/>
      </c>
      <c r="AG42" s="345" t="str">
        <f t="shared" si="76"/>
        <v/>
      </c>
      <c r="AH42" s="408">
        <f>IFERROR(VLOOKUP($AG42,HomeBroker!$A$30:$F$60,2,0),0)</f>
        <v>0</v>
      </c>
      <c r="AI42" s="446">
        <f>IFERROR(VLOOKUP($AG42,HomeBroker!$A$30:$F$60,3,0),0)</f>
        <v>0</v>
      </c>
      <c r="AJ42" s="626">
        <f>IFERROR(VLOOKUP($AG42,HomeBroker!$A$30:$F$60,6,0),0)</f>
        <v>0</v>
      </c>
      <c r="AK42" s="446">
        <f>IFERROR(VLOOKUP($AG42,HomeBroker!$A$30:$F$60,4,0),0)</f>
        <v>0</v>
      </c>
      <c r="AL42" s="408">
        <f>IFERROR(VLOOKUP($AG42,HomeBroker!$A$30:$F$60,5,0),0)</f>
        <v>0</v>
      </c>
      <c r="AM42" s="448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6">
        <f t="shared" si="11"/>
        <v>0</v>
      </c>
      <c r="AY42" s="217">
        <f t="shared" si="12"/>
        <v>0</v>
      </c>
      <c r="AZ42" s="148" t="s">
        <v>402</v>
      </c>
      <c r="BA42" s="112"/>
      <c r="BB42" s="129"/>
      <c r="BC42" s="115"/>
      <c r="BD42" s="218">
        <f t="shared" si="13"/>
        <v>0</v>
      </c>
      <c r="BE42" s="220">
        <f t="shared" si="14"/>
        <v>0</v>
      </c>
      <c r="BF42" s="149" t="s">
        <v>403</v>
      </c>
      <c r="BG42" s="112"/>
      <c r="BH42" s="115"/>
      <c r="BI42" s="221">
        <f t="shared" si="15"/>
        <v>0</v>
      </c>
      <c r="BJ42" s="222">
        <f t="shared" si="16"/>
        <v>0</v>
      </c>
      <c r="DE42" s="117">
        <f t="shared" si="78"/>
        <v>2151.2638382277555</v>
      </c>
      <c r="DF42" s="118">
        <f t="shared" si="79"/>
        <v>0</v>
      </c>
      <c r="DG42" s="118">
        <f t="shared" si="80"/>
        <v>0</v>
      </c>
      <c r="DH42" s="118">
        <f t="shared" si="81"/>
        <v>0</v>
      </c>
      <c r="DI42" s="118">
        <f t="shared" si="82"/>
        <v>0</v>
      </c>
      <c r="DJ42" s="118">
        <f t="shared" si="83"/>
        <v>0</v>
      </c>
      <c r="DK42" s="118">
        <f t="shared" si="84"/>
        <v>0</v>
      </c>
      <c r="DL42" s="118">
        <f t="shared" si="85"/>
        <v>0</v>
      </c>
      <c r="DM42" s="118">
        <f t="shared" si="86"/>
        <v>0</v>
      </c>
      <c r="DN42" s="118">
        <f t="shared" si="87"/>
        <v>0</v>
      </c>
      <c r="DO42" s="118">
        <f t="shared" si="88"/>
        <v>0</v>
      </c>
      <c r="DP42" s="118">
        <f t="shared" si="89"/>
        <v>0</v>
      </c>
      <c r="DQ42" s="118">
        <f t="shared" si="90"/>
        <v>0</v>
      </c>
      <c r="DR42" s="118">
        <f t="shared" si="91"/>
        <v>0</v>
      </c>
      <c r="DS42" s="118">
        <f t="shared" si="92"/>
        <v>0</v>
      </c>
      <c r="DT42" s="118">
        <f t="shared" si="93"/>
        <v>0</v>
      </c>
      <c r="DU42" s="118">
        <f t="shared" si="94"/>
        <v>0</v>
      </c>
      <c r="DV42" s="118">
        <f t="shared" si="95"/>
        <v>0</v>
      </c>
      <c r="DW42" s="118">
        <f t="shared" si="96"/>
        <v>0</v>
      </c>
      <c r="DX42" s="118">
        <f t="shared" si="97"/>
        <v>0</v>
      </c>
      <c r="DY42" s="118">
        <f t="shared" si="98"/>
        <v>0</v>
      </c>
      <c r="DZ42" s="118">
        <f t="shared" si="99"/>
        <v>0</v>
      </c>
      <c r="EA42" s="118">
        <f t="shared" si="100"/>
        <v>0</v>
      </c>
      <c r="EB42" s="118">
        <f t="shared" si="101"/>
        <v>0</v>
      </c>
      <c r="EC42" s="118">
        <f t="shared" si="102"/>
        <v>0</v>
      </c>
      <c r="ED42" s="118">
        <f t="shared" si="103"/>
        <v>0</v>
      </c>
      <c r="EE42" s="118">
        <f t="shared" si="104"/>
        <v>0</v>
      </c>
      <c r="EF42" s="118">
        <f t="shared" si="105"/>
        <v>0</v>
      </c>
      <c r="EG42" s="118">
        <f t="shared" si="106"/>
        <v>0</v>
      </c>
      <c r="EH42" s="118">
        <f t="shared" si="107"/>
        <v>0</v>
      </c>
      <c r="EI42" s="118">
        <f t="shared" si="108"/>
        <v>0</v>
      </c>
      <c r="EJ42" s="118">
        <f t="shared" si="109"/>
        <v>0</v>
      </c>
      <c r="EK42" s="118">
        <f t="shared" si="110"/>
        <v>0</v>
      </c>
      <c r="EL42" s="118">
        <f t="shared" si="111"/>
        <v>0</v>
      </c>
      <c r="EM42" s="118">
        <f t="shared" si="112"/>
        <v>0</v>
      </c>
      <c r="EN42" s="118">
        <f t="shared" si="113"/>
        <v>0</v>
      </c>
      <c r="EO42" s="118">
        <f t="shared" si="114"/>
        <v>0</v>
      </c>
      <c r="EP42" s="118">
        <f t="shared" si="115"/>
        <v>0</v>
      </c>
      <c r="EQ42" s="118">
        <f t="shared" si="116"/>
        <v>0</v>
      </c>
      <c r="ER42" s="118">
        <f t="shared" si="117"/>
        <v>0</v>
      </c>
      <c r="ES42" s="119"/>
      <c r="ET42" s="143">
        <f t="shared" si="118"/>
        <v>0</v>
      </c>
      <c r="EU42" s="72"/>
      <c r="EV42" s="117">
        <f t="shared" si="119"/>
        <v>2151.2638382277555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20"/>
        <v>0</v>
      </c>
      <c r="GG42" s="118">
        <f t="shared" si="121"/>
        <v>0</v>
      </c>
      <c r="GH42" s="118">
        <f t="shared" si="122"/>
        <v>0</v>
      </c>
      <c r="GI42" s="118">
        <f t="shared" si="123"/>
        <v>0</v>
      </c>
      <c r="GJ42" s="119"/>
      <c r="GK42" s="143">
        <f t="shared" ca="1" si="124"/>
        <v>0</v>
      </c>
    </row>
    <row r="43" spans="1:193">
      <c r="A43" s="442" t="s">
        <v>401</v>
      </c>
      <c r="B43" s="144"/>
      <c r="C43" s="200"/>
      <c r="D43" s="201"/>
      <c r="E43" s="461">
        <f t="shared" si="0"/>
        <v>0</v>
      </c>
      <c r="F43" s="462">
        <f t="shared" si="77"/>
        <v>0</v>
      </c>
      <c r="G43" s="202" t="str">
        <f t="shared" si="125"/>
        <v/>
      </c>
      <c r="H43" s="471">
        <f t="shared" si="58"/>
        <v>0</v>
      </c>
      <c r="I43" s="472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589</v>
      </c>
      <c r="O43" s="62"/>
      <c r="P43" s="783"/>
      <c r="Q43" s="784"/>
      <c r="R43" s="784"/>
      <c r="S43" s="784"/>
      <c r="T43" s="784"/>
      <c r="U43" s="784"/>
      <c r="V43" s="784"/>
      <c r="W43" s="784"/>
      <c r="X43" s="784"/>
      <c r="Y43" s="784"/>
      <c r="Z43" s="784"/>
      <c r="AA43" s="785"/>
      <c r="AB43" s="789"/>
      <c r="AC43" s="789"/>
      <c r="AD43" s="789"/>
      <c r="AE43" s="789"/>
      <c r="AF43" s="789"/>
      <c r="AG43" s="789"/>
      <c r="AH43" s="789"/>
      <c r="AI43" s="789"/>
      <c r="AJ43" s="789"/>
      <c r="AK43" s="789"/>
      <c r="AL43" s="789"/>
      <c r="AM43" s="790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6">
        <f t="shared" si="11"/>
        <v>0</v>
      </c>
      <c r="AY43" s="217">
        <f t="shared" si="12"/>
        <v>0</v>
      </c>
      <c r="AZ43" s="148" t="s">
        <v>402</v>
      </c>
      <c r="BA43" s="112"/>
      <c r="BB43" s="129"/>
      <c r="BC43" s="115"/>
      <c r="BD43" s="218">
        <f t="shared" si="13"/>
        <v>0</v>
      </c>
      <c r="BE43" s="220">
        <f t="shared" si="14"/>
        <v>0</v>
      </c>
      <c r="BF43" s="149" t="s">
        <v>403</v>
      </c>
      <c r="BG43" s="112"/>
      <c r="BH43" s="115"/>
      <c r="BI43" s="221">
        <f t="shared" si="15"/>
        <v>0</v>
      </c>
      <c r="BJ43" s="222">
        <f t="shared" si="16"/>
        <v>0</v>
      </c>
      <c r="DE43" s="117">
        <f t="shared" si="78"/>
        <v>2217.7977713688201</v>
      </c>
      <c r="DF43" s="118">
        <f t="shared" si="79"/>
        <v>0</v>
      </c>
      <c r="DG43" s="118">
        <f t="shared" si="80"/>
        <v>0</v>
      </c>
      <c r="DH43" s="118">
        <f t="shared" si="81"/>
        <v>0</v>
      </c>
      <c r="DI43" s="118">
        <f t="shared" si="82"/>
        <v>0</v>
      </c>
      <c r="DJ43" s="118">
        <f t="shared" si="83"/>
        <v>0</v>
      </c>
      <c r="DK43" s="118">
        <f t="shared" si="84"/>
        <v>0</v>
      </c>
      <c r="DL43" s="118">
        <f t="shared" si="85"/>
        <v>0</v>
      </c>
      <c r="DM43" s="118">
        <f t="shared" si="86"/>
        <v>0</v>
      </c>
      <c r="DN43" s="118">
        <f t="shared" si="87"/>
        <v>0</v>
      </c>
      <c r="DO43" s="118">
        <f t="shared" si="88"/>
        <v>0</v>
      </c>
      <c r="DP43" s="118">
        <f t="shared" si="89"/>
        <v>0</v>
      </c>
      <c r="DQ43" s="118">
        <f t="shared" si="90"/>
        <v>0</v>
      </c>
      <c r="DR43" s="118">
        <f t="shared" si="91"/>
        <v>0</v>
      </c>
      <c r="DS43" s="118">
        <f t="shared" si="92"/>
        <v>0</v>
      </c>
      <c r="DT43" s="118">
        <f t="shared" si="93"/>
        <v>0</v>
      </c>
      <c r="DU43" s="118">
        <f t="shared" si="94"/>
        <v>0</v>
      </c>
      <c r="DV43" s="118">
        <f t="shared" si="95"/>
        <v>0</v>
      </c>
      <c r="DW43" s="118">
        <f t="shared" si="96"/>
        <v>0</v>
      </c>
      <c r="DX43" s="118">
        <f t="shared" si="97"/>
        <v>0</v>
      </c>
      <c r="DY43" s="118">
        <f t="shared" si="98"/>
        <v>0</v>
      </c>
      <c r="DZ43" s="118">
        <f t="shared" si="99"/>
        <v>0</v>
      </c>
      <c r="EA43" s="118">
        <f t="shared" si="100"/>
        <v>0</v>
      </c>
      <c r="EB43" s="118">
        <f t="shared" si="101"/>
        <v>0</v>
      </c>
      <c r="EC43" s="118">
        <f t="shared" si="102"/>
        <v>0</v>
      </c>
      <c r="ED43" s="118">
        <f t="shared" si="103"/>
        <v>0</v>
      </c>
      <c r="EE43" s="118">
        <f t="shared" si="104"/>
        <v>0</v>
      </c>
      <c r="EF43" s="118">
        <f t="shared" si="105"/>
        <v>0</v>
      </c>
      <c r="EG43" s="118">
        <f t="shared" si="106"/>
        <v>0</v>
      </c>
      <c r="EH43" s="118">
        <f t="shared" si="107"/>
        <v>0</v>
      </c>
      <c r="EI43" s="118">
        <f t="shared" si="108"/>
        <v>0</v>
      </c>
      <c r="EJ43" s="118">
        <f t="shared" si="109"/>
        <v>0</v>
      </c>
      <c r="EK43" s="118">
        <f t="shared" si="110"/>
        <v>0</v>
      </c>
      <c r="EL43" s="118">
        <f t="shared" si="111"/>
        <v>0</v>
      </c>
      <c r="EM43" s="118">
        <f t="shared" si="112"/>
        <v>0</v>
      </c>
      <c r="EN43" s="118">
        <f t="shared" si="113"/>
        <v>0</v>
      </c>
      <c r="EO43" s="118">
        <f t="shared" si="114"/>
        <v>0</v>
      </c>
      <c r="EP43" s="118">
        <f t="shared" si="115"/>
        <v>0</v>
      </c>
      <c r="EQ43" s="118">
        <f t="shared" si="116"/>
        <v>0</v>
      </c>
      <c r="ER43" s="118">
        <f t="shared" si="117"/>
        <v>0</v>
      </c>
      <c r="ES43" s="119"/>
      <c r="ET43" s="143">
        <f t="shared" si="118"/>
        <v>0</v>
      </c>
      <c r="EU43" s="72"/>
      <c r="EV43" s="117">
        <f t="shared" si="119"/>
        <v>2217.7977713688201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20"/>
        <v>0</v>
      </c>
      <c r="GG43" s="118">
        <f t="shared" si="121"/>
        <v>0</v>
      </c>
      <c r="GH43" s="118">
        <f t="shared" si="122"/>
        <v>0</v>
      </c>
      <c r="GI43" s="118">
        <f t="shared" si="123"/>
        <v>0</v>
      </c>
      <c r="GJ43" s="119"/>
      <c r="GK43" s="143">
        <f t="shared" ca="1" si="124"/>
        <v>0</v>
      </c>
    </row>
    <row r="44" spans="1:193">
      <c r="A44" s="442" t="s">
        <v>401</v>
      </c>
      <c r="B44" s="144"/>
      <c r="C44" s="200"/>
      <c r="D44" s="201"/>
      <c r="E44" s="461">
        <f t="shared" si="0"/>
        <v>0</v>
      </c>
      <c r="F44" s="462">
        <f t="shared" si="77"/>
        <v>0</v>
      </c>
      <c r="G44" s="202" t="str">
        <f t="shared" si="125"/>
        <v/>
      </c>
      <c r="H44" s="471">
        <f t="shared" si="58"/>
        <v>0</v>
      </c>
      <c r="I44" s="472">
        <f t="shared" si="3"/>
        <v>0</v>
      </c>
      <c r="J44" s="62"/>
      <c r="K44" s="780" t="s">
        <v>450</v>
      </c>
      <c r="L44" s="778"/>
      <c r="M44" s="779"/>
      <c r="N44" s="157"/>
      <c r="O44" s="62"/>
      <c r="P44" s="786"/>
      <c r="Q44" s="787"/>
      <c r="R44" s="787"/>
      <c r="S44" s="787"/>
      <c r="T44" s="787"/>
      <c r="U44" s="787"/>
      <c r="V44" s="787"/>
      <c r="W44" s="787"/>
      <c r="X44" s="787"/>
      <c r="Y44" s="787"/>
      <c r="Z44" s="787"/>
      <c r="AA44" s="788"/>
      <c r="AB44" s="791"/>
      <c r="AC44" s="791"/>
      <c r="AD44" s="791"/>
      <c r="AE44" s="791"/>
      <c r="AF44" s="791"/>
      <c r="AG44" s="791"/>
      <c r="AH44" s="791"/>
      <c r="AI44" s="791"/>
      <c r="AJ44" s="791"/>
      <c r="AK44" s="791"/>
      <c r="AL44" s="791"/>
      <c r="AM44" s="792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6">
        <f t="shared" si="11"/>
        <v>0</v>
      </c>
      <c r="AY44" s="217">
        <f t="shared" si="12"/>
        <v>0</v>
      </c>
      <c r="AZ44" s="148" t="s">
        <v>402</v>
      </c>
      <c r="BA44" s="112"/>
      <c r="BB44" s="129"/>
      <c r="BC44" s="115"/>
      <c r="BD44" s="218">
        <f t="shared" si="13"/>
        <v>0</v>
      </c>
      <c r="BE44" s="220">
        <f t="shared" si="14"/>
        <v>0</v>
      </c>
      <c r="BF44" s="149" t="s">
        <v>403</v>
      </c>
      <c r="BG44" s="112"/>
      <c r="BH44" s="115"/>
      <c r="BI44" s="221">
        <f t="shared" si="15"/>
        <v>0</v>
      </c>
      <c r="BJ44" s="222">
        <f t="shared" si="16"/>
        <v>0</v>
      </c>
      <c r="DE44" s="117">
        <f t="shared" si="78"/>
        <v>2286.3894550194022</v>
      </c>
      <c r="DF44" s="118">
        <f t="shared" si="79"/>
        <v>0</v>
      </c>
      <c r="DG44" s="118">
        <f t="shared" si="80"/>
        <v>0</v>
      </c>
      <c r="DH44" s="118">
        <f t="shared" si="81"/>
        <v>0</v>
      </c>
      <c r="DI44" s="118">
        <f t="shared" si="82"/>
        <v>0</v>
      </c>
      <c r="DJ44" s="118">
        <f t="shared" si="83"/>
        <v>0</v>
      </c>
      <c r="DK44" s="118">
        <f t="shared" si="84"/>
        <v>0</v>
      </c>
      <c r="DL44" s="118">
        <f t="shared" si="85"/>
        <v>0</v>
      </c>
      <c r="DM44" s="118">
        <f t="shared" si="86"/>
        <v>0</v>
      </c>
      <c r="DN44" s="118">
        <f t="shared" si="87"/>
        <v>0</v>
      </c>
      <c r="DO44" s="118">
        <f t="shared" si="88"/>
        <v>0</v>
      </c>
      <c r="DP44" s="118">
        <f t="shared" si="89"/>
        <v>0</v>
      </c>
      <c r="DQ44" s="118">
        <f t="shared" si="90"/>
        <v>0</v>
      </c>
      <c r="DR44" s="118">
        <f t="shared" si="91"/>
        <v>0</v>
      </c>
      <c r="DS44" s="118">
        <f t="shared" si="92"/>
        <v>0</v>
      </c>
      <c r="DT44" s="118">
        <f t="shared" si="93"/>
        <v>0</v>
      </c>
      <c r="DU44" s="118">
        <f t="shared" si="94"/>
        <v>0</v>
      </c>
      <c r="DV44" s="118">
        <f t="shared" si="95"/>
        <v>0</v>
      </c>
      <c r="DW44" s="118">
        <f t="shared" si="96"/>
        <v>0</v>
      </c>
      <c r="DX44" s="118">
        <f t="shared" si="97"/>
        <v>0</v>
      </c>
      <c r="DY44" s="118">
        <f t="shared" si="98"/>
        <v>0</v>
      </c>
      <c r="DZ44" s="118">
        <f t="shared" si="99"/>
        <v>0</v>
      </c>
      <c r="EA44" s="118">
        <f t="shared" si="100"/>
        <v>0</v>
      </c>
      <c r="EB44" s="118">
        <f t="shared" si="101"/>
        <v>0</v>
      </c>
      <c r="EC44" s="118">
        <f t="shared" si="102"/>
        <v>0</v>
      </c>
      <c r="ED44" s="118">
        <f t="shared" si="103"/>
        <v>0</v>
      </c>
      <c r="EE44" s="118">
        <f t="shared" si="104"/>
        <v>0</v>
      </c>
      <c r="EF44" s="118">
        <f t="shared" si="105"/>
        <v>0</v>
      </c>
      <c r="EG44" s="118">
        <f t="shared" si="106"/>
        <v>0</v>
      </c>
      <c r="EH44" s="118">
        <f t="shared" si="107"/>
        <v>0</v>
      </c>
      <c r="EI44" s="118">
        <f t="shared" si="108"/>
        <v>0</v>
      </c>
      <c r="EJ44" s="118">
        <f t="shared" si="109"/>
        <v>0</v>
      </c>
      <c r="EK44" s="118">
        <f t="shared" si="110"/>
        <v>0</v>
      </c>
      <c r="EL44" s="118">
        <f t="shared" si="111"/>
        <v>0</v>
      </c>
      <c r="EM44" s="118">
        <f t="shared" si="112"/>
        <v>0</v>
      </c>
      <c r="EN44" s="118">
        <f t="shared" si="113"/>
        <v>0</v>
      </c>
      <c r="EO44" s="118">
        <f t="shared" si="114"/>
        <v>0</v>
      </c>
      <c r="EP44" s="118">
        <f t="shared" si="115"/>
        <v>0</v>
      </c>
      <c r="EQ44" s="118">
        <f t="shared" si="116"/>
        <v>0</v>
      </c>
      <c r="ER44" s="118">
        <f t="shared" si="117"/>
        <v>0</v>
      </c>
      <c r="ES44" s="119"/>
      <c r="ET44" s="143">
        <f t="shared" si="118"/>
        <v>0</v>
      </c>
      <c r="EU44" s="72"/>
      <c r="EV44" s="117">
        <f t="shared" si="119"/>
        <v>2286.3894550194022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20"/>
        <v>0</v>
      </c>
      <c r="GG44" s="118">
        <f t="shared" si="121"/>
        <v>0</v>
      </c>
      <c r="GH44" s="118">
        <f t="shared" si="122"/>
        <v>0</v>
      </c>
      <c r="GI44" s="118">
        <f t="shared" si="123"/>
        <v>0</v>
      </c>
      <c r="GJ44" s="119"/>
      <c r="GK44" s="143">
        <f t="shared" ca="1" si="124"/>
        <v>0</v>
      </c>
    </row>
    <row r="45" spans="1:193">
      <c r="A45" s="442" t="s">
        <v>401</v>
      </c>
      <c r="B45" s="144"/>
      <c r="C45" s="200"/>
      <c r="D45" s="201"/>
      <c r="E45" s="461">
        <f t="shared" si="0"/>
        <v>0</v>
      </c>
      <c r="F45" s="462">
        <f t="shared" si="77"/>
        <v>0</v>
      </c>
      <c r="G45" s="202" t="str">
        <f t="shared" si="125"/>
        <v/>
      </c>
      <c r="H45" s="471">
        <f t="shared" si="58"/>
        <v>0</v>
      </c>
      <c r="I45" s="472">
        <f t="shared" si="3"/>
        <v>0</v>
      </c>
      <c r="J45" s="62"/>
      <c r="K45" s="793" t="s">
        <v>451</v>
      </c>
      <c r="L45" s="778"/>
      <c r="M45" s="779"/>
      <c r="N45" s="435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6">
        <f t="shared" si="11"/>
        <v>0</v>
      </c>
      <c r="AY45" s="217">
        <f t="shared" si="12"/>
        <v>0</v>
      </c>
      <c r="AZ45" s="148" t="s">
        <v>402</v>
      </c>
      <c r="BA45" s="112"/>
      <c r="BB45" s="129"/>
      <c r="BC45" s="115"/>
      <c r="BD45" s="218">
        <f t="shared" si="13"/>
        <v>0</v>
      </c>
      <c r="BE45" s="220">
        <f t="shared" si="14"/>
        <v>0</v>
      </c>
      <c r="BF45" s="149" t="s">
        <v>403</v>
      </c>
      <c r="BG45" s="112"/>
      <c r="BH45" s="115"/>
      <c r="BI45" s="221">
        <f t="shared" si="15"/>
        <v>0</v>
      </c>
      <c r="BJ45" s="222">
        <f t="shared" si="16"/>
        <v>0</v>
      </c>
      <c r="DE45" s="117">
        <f t="shared" si="78"/>
        <v>2357.1025309478373</v>
      </c>
      <c r="DF45" s="118">
        <f t="shared" si="79"/>
        <v>0</v>
      </c>
      <c r="DG45" s="118">
        <f t="shared" si="80"/>
        <v>0</v>
      </c>
      <c r="DH45" s="118">
        <f t="shared" si="81"/>
        <v>0</v>
      </c>
      <c r="DI45" s="118">
        <f t="shared" si="82"/>
        <v>0</v>
      </c>
      <c r="DJ45" s="118">
        <f t="shared" si="83"/>
        <v>0</v>
      </c>
      <c r="DK45" s="118">
        <f t="shared" si="84"/>
        <v>0</v>
      </c>
      <c r="DL45" s="118">
        <f t="shared" si="85"/>
        <v>0</v>
      </c>
      <c r="DM45" s="118">
        <f t="shared" si="86"/>
        <v>0</v>
      </c>
      <c r="DN45" s="118">
        <f t="shared" si="87"/>
        <v>0</v>
      </c>
      <c r="DO45" s="118">
        <f t="shared" si="88"/>
        <v>0</v>
      </c>
      <c r="DP45" s="118">
        <f t="shared" si="89"/>
        <v>0</v>
      </c>
      <c r="DQ45" s="118">
        <f t="shared" si="90"/>
        <v>0</v>
      </c>
      <c r="DR45" s="118">
        <f t="shared" si="91"/>
        <v>0</v>
      </c>
      <c r="DS45" s="118">
        <f t="shared" si="92"/>
        <v>0</v>
      </c>
      <c r="DT45" s="118">
        <f t="shared" si="93"/>
        <v>0</v>
      </c>
      <c r="DU45" s="118">
        <f t="shared" si="94"/>
        <v>0</v>
      </c>
      <c r="DV45" s="118">
        <f t="shared" si="95"/>
        <v>0</v>
      </c>
      <c r="DW45" s="118">
        <f t="shared" si="96"/>
        <v>0</v>
      </c>
      <c r="DX45" s="118">
        <f t="shared" si="97"/>
        <v>0</v>
      </c>
      <c r="DY45" s="118">
        <f t="shared" si="98"/>
        <v>0</v>
      </c>
      <c r="DZ45" s="118">
        <f t="shared" si="99"/>
        <v>0</v>
      </c>
      <c r="EA45" s="118">
        <f t="shared" si="100"/>
        <v>0</v>
      </c>
      <c r="EB45" s="118">
        <f t="shared" si="101"/>
        <v>0</v>
      </c>
      <c r="EC45" s="118">
        <f t="shared" si="102"/>
        <v>0</v>
      </c>
      <c r="ED45" s="118">
        <f t="shared" si="103"/>
        <v>0</v>
      </c>
      <c r="EE45" s="118">
        <f t="shared" si="104"/>
        <v>0</v>
      </c>
      <c r="EF45" s="118">
        <f t="shared" si="105"/>
        <v>0</v>
      </c>
      <c r="EG45" s="118">
        <f t="shared" si="106"/>
        <v>0</v>
      </c>
      <c r="EH45" s="118">
        <f t="shared" si="107"/>
        <v>0</v>
      </c>
      <c r="EI45" s="118">
        <f t="shared" si="108"/>
        <v>0</v>
      </c>
      <c r="EJ45" s="118">
        <f t="shared" si="109"/>
        <v>0</v>
      </c>
      <c r="EK45" s="118">
        <f t="shared" si="110"/>
        <v>0</v>
      </c>
      <c r="EL45" s="118">
        <f t="shared" si="111"/>
        <v>0</v>
      </c>
      <c r="EM45" s="118">
        <f t="shared" si="112"/>
        <v>0</v>
      </c>
      <c r="EN45" s="118">
        <f t="shared" si="113"/>
        <v>0</v>
      </c>
      <c r="EO45" s="118">
        <f t="shared" si="114"/>
        <v>0</v>
      </c>
      <c r="EP45" s="118">
        <f t="shared" si="115"/>
        <v>0</v>
      </c>
      <c r="EQ45" s="118">
        <f t="shared" si="116"/>
        <v>0</v>
      </c>
      <c r="ER45" s="118">
        <f t="shared" si="117"/>
        <v>0</v>
      </c>
      <c r="ES45" s="119"/>
      <c r="ET45" s="143">
        <f t="shared" si="118"/>
        <v>0</v>
      </c>
      <c r="EU45" s="72"/>
      <c r="EV45" s="117">
        <f t="shared" si="119"/>
        <v>2357.1025309478373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20"/>
        <v>0</v>
      </c>
      <c r="GG45" s="118">
        <f t="shared" si="121"/>
        <v>0</v>
      </c>
      <c r="GH45" s="118">
        <f t="shared" si="122"/>
        <v>0</v>
      </c>
      <c r="GI45" s="118">
        <f t="shared" si="123"/>
        <v>0</v>
      </c>
      <c r="GJ45" s="119"/>
      <c r="GK45" s="143">
        <f t="shared" ca="1" si="124"/>
        <v>0</v>
      </c>
    </row>
    <row r="46" spans="1:193">
      <c r="A46" s="442" t="s">
        <v>401</v>
      </c>
      <c r="B46" s="144"/>
      <c r="C46" s="200"/>
      <c r="D46" s="201"/>
      <c r="E46" s="461">
        <f t="shared" si="0"/>
        <v>0</v>
      </c>
      <c r="F46" s="462">
        <f t="shared" si="77"/>
        <v>0</v>
      </c>
      <c r="G46" s="202" t="str">
        <f t="shared" si="125"/>
        <v/>
      </c>
      <c r="H46" s="471">
        <f t="shared" si="58"/>
        <v>0</v>
      </c>
      <c r="I46" s="472">
        <f t="shared" si="3"/>
        <v>0</v>
      </c>
      <c r="J46" s="62"/>
      <c r="K46" s="797" t="s">
        <v>452</v>
      </c>
      <c r="L46" s="778"/>
      <c r="M46" s="779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6">
        <f t="shared" si="11"/>
        <v>0</v>
      </c>
      <c r="AY46" s="217">
        <f t="shared" si="12"/>
        <v>0</v>
      </c>
      <c r="AZ46" s="148" t="s">
        <v>402</v>
      </c>
      <c r="BA46" s="112"/>
      <c r="BB46" s="129"/>
      <c r="BC46" s="115"/>
      <c r="BD46" s="218">
        <f t="shared" si="13"/>
        <v>0</v>
      </c>
      <c r="BE46" s="220">
        <f t="shared" si="14"/>
        <v>0</v>
      </c>
      <c r="BF46" s="149" t="s">
        <v>403</v>
      </c>
      <c r="BG46" s="112"/>
      <c r="BH46" s="115"/>
      <c r="BI46" s="221">
        <f t="shared" si="15"/>
        <v>0</v>
      </c>
      <c r="BJ46" s="222">
        <f t="shared" si="16"/>
        <v>0</v>
      </c>
      <c r="DE46" s="117">
        <f t="shared" si="78"/>
        <v>2430.0026092245748</v>
      </c>
      <c r="DF46" s="118">
        <f t="shared" si="79"/>
        <v>0</v>
      </c>
      <c r="DG46" s="118">
        <f t="shared" si="80"/>
        <v>0</v>
      </c>
      <c r="DH46" s="118">
        <f t="shared" si="81"/>
        <v>0</v>
      </c>
      <c r="DI46" s="118">
        <f t="shared" si="82"/>
        <v>0</v>
      </c>
      <c r="DJ46" s="118">
        <f t="shared" si="83"/>
        <v>0</v>
      </c>
      <c r="DK46" s="118">
        <f t="shared" si="84"/>
        <v>0</v>
      </c>
      <c r="DL46" s="118">
        <f t="shared" si="85"/>
        <v>0</v>
      </c>
      <c r="DM46" s="118">
        <f t="shared" si="86"/>
        <v>0</v>
      </c>
      <c r="DN46" s="118">
        <f t="shared" si="87"/>
        <v>0</v>
      </c>
      <c r="DO46" s="118">
        <f t="shared" si="88"/>
        <v>0</v>
      </c>
      <c r="DP46" s="118">
        <f t="shared" si="89"/>
        <v>0</v>
      </c>
      <c r="DQ46" s="118">
        <f t="shared" si="90"/>
        <v>0</v>
      </c>
      <c r="DR46" s="118">
        <f t="shared" si="91"/>
        <v>0</v>
      </c>
      <c r="DS46" s="118">
        <f t="shared" si="92"/>
        <v>0</v>
      </c>
      <c r="DT46" s="118">
        <f t="shared" si="93"/>
        <v>0</v>
      </c>
      <c r="DU46" s="118">
        <f t="shared" si="94"/>
        <v>0</v>
      </c>
      <c r="DV46" s="118">
        <f t="shared" si="95"/>
        <v>0</v>
      </c>
      <c r="DW46" s="118">
        <f t="shared" si="96"/>
        <v>0</v>
      </c>
      <c r="DX46" s="118">
        <f t="shared" si="97"/>
        <v>0</v>
      </c>
      <c r="DY46" s="118">
        <f t="shared" si="98"/>
        <v>0</v>
      </c>
      <c r="DZ46" s="118">
        <f t="shared" si="99"/>
        <v>0</v>
      </c>
      <c r="EA46" s="118">
        <f t="shared" si="100"/>
        <v>0</v>
      </c>
      <c r="EB46" s="118">
        <f t="shared" si="101"/>
        <v>0</v>
      </c>
      <c r="EC46" s="118">
        <f t="shared" si="102"/>
        <v>0</v>
      </c>
      <c r="ED46" s="118">
        <f t="shared" si="103"/>
        <v>0</v>
      </c>
      <c r="EE46" s="118">
        <f t="shared" si="104"/>
        <v>0</v>
      </c>
      <c r="EF46" s="118">
        <f t="shared" si="105"/>
        <v>0</v>
      </c>
      <c r="EG46" s="118">
        <f t="shared" si="106"/>
        <v>0</v>
      </c>
      <c r="EH46" s="118">
        <f t="shared" si="107"/>
        <v>0</v>
      </c>
      <c r="EI46" s="118">
        <f t="shared" si="108"/>
        <v>0</v>
      </c>
      <c r="EJ46" s="118">
        <f t="shared" si="109"/>
        <v>0</v>
      </c>
      <c r="EK46" s="118">
        <f t="shared" si="110"/>
        <v>0</v>
      </c>
      <c r="EL46" s="118">
        <f t="shared" si="111"/>
        <v>0</v>
      </c>
      <c r="EM46" s="118">
        <f t="shared" si="112"/>
        <v>0</v>
      </c>
      <c r="EN46" s="118">
        <f t="shared" si="113"/>
        <v>0</v>
      </c>
      <c r="EO46" s="118">
        <f t="shared" si="114"/>
        <v>0</v>
      </c>
      <c r="EP46" s="118">
        <f t="shared" si="115"/>
        <v>0</v>
      </c>
      <c r="EQ46" s="118">
        <f t="shared" si="116"/>
        <v>0</v>
      </c>
      <c r="ER46" s="118">
        <f t="shared" si="117"/>
        <v>0</v>
      </c>
      <c r="ES46" s="119"/>
      <c r="ET46" s="143">
        <f t="shared" si="118"/>
        <v>0</v>
      </c>
      <c r="EU46" s="72"/>
      <c r="EV46" s="117">
        <f t="shared" si="119"/>
        <v>2430.0026092245748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20"/>
        <v>0</v>
      </c>
      <c r="GG46" s="118">
        <f t="shared" si="121"/>
        <v>0</v>
      </c>
      <c r="GH46" s="118">
        <f t="shared" si="122"/>
        <v>0</v>
      </c>
      <c r="GI46" s="118">
        <f t="shared" si="123"/>
        <v>0</v>
      </c>
      <c r="GJ46" s="119"/>
      <c r="GK46" s="143">
        <f t="shared" ca="1" si="124"/>
        <v>0</v>
      </c>
    </row>
    <row r="47" spans="1:193">
      <c r="A47" s="442" t="s">
        <v>401</v>
      </c>
      <c r="B47" s="144"/>
      <c r="C47" s="200"/>
      <c r="D47" s="201"/>
      <c r="E47" s="461">
        <f t="shared" si="0"/>
        <v>0</v>
      </c>
      <c r="F47" s="462">
        <f t="shared" si="77"/>
        <v>0</v>
      </c>
      <c r="G47" s="202" t="str">
        <f t="shared" si="125"/>
        <v/>
      </c>
      <c r="H47" s="471">
        <f t="shared" si="58"/>
        <v>0</v>
      </c>
      <c r="I47" s="472">
        <f t="shared" si="3"/>
        <v>0</v>
      </c>
      <c r="J47" s="62"/>
      <c r="K47" s="777" t="s">
        <v>453</v>
      </c>
      <c r="L47" s="778"/>
      <c r="M47" s="779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6">
        <f t="shared" si="11"/>
        <v>0</v>
      </c>
      <c r="AY47" s="217">
        <f t="shared" si="12"/>
        <v>0</v>
      </c>
      <c r="AZ47" s="148" t="s">
        <v>402</v>
      </c>
      <c r="BA47" s="112"/>
      <c r="BB47" s="129"/>
      <c r="BC47" s="115"/>
      <c r="BD47" s="218">
        <f t="shared" si="13"/>
        <v>0</v>
      </c>
      <c r="BE47" s="220">
        <f t="shared" si="14"/>
        <v>0</v>
      </c>
      <c r="BF47" s="149" t="s">
        <v>403</v>
      </c>
      <c r="BG47" s="112"/>
      <c r="BH47" s="115"/>
      <c r="BI47" s="221">
        <f t="shared" si="15"/>
        <v>0</v>
      </c>
      <c r="BJ47" s="222">
        <f t="shared" si="16"/>
        <v>0</v>
      </c>
      <c r="DE47" s="117">
        <f t="shared" si="78"/>
        <v>2505.1573290974998</v>
      </c>
      <c r="DF47" s="118">
        <f t="shared" si="79"/>
        <v>0</v>
      </c>
      <c r="DG47" s="118">
        <f t="shared" si="80"/>
        <v>0</v>
      </c>
      <c r="DH47" s="118">
        <f t="shared" si="81"/>
        <v>0</v>
      </c>
      <c r="DI47" s="118">
        <f t="shared" si="82"/>
        <v>0</v>
      </c>
      <c r="DJ47" s="118">
        <f t="shared" si="83"/>
        <v>0</v>
      </c>
      <c r="DK47" s="118">
        <f t="shared" si="84"/>
        <v>0</v>
      </c>
      <c r="DL47" s="118">
        <f t="shared" si="85"/>
        <v>0</v>
      </c>
      <c r="DM47" s="118">
        <f t="shared" si="86"/>
        <v>0</v>
      </c>
      <c r="DN47" s="118">
        <f t="shared" si="87"/>
        <v>0</v>
      </c>
      <c r="DO47" s="118">
        <f t="shared" si="88"/>
        <v>0</v>
      </c>
      <c r="DP47" s="118">
        <f t="shared" si="89"/>
        <v>0</v>
      </c>
      <c r="DQ47" s="118">
        <f t="shared" si="90"/>
        <v>0</v>
      </c>
      <c r="DR47" s="118">
        <f t="shared" si="91"/>
        <v>0</v>
      </c>
      <c r="DS47" s="118">
        <f t="shared" si="92"/>
        <v>0</v>
      </c>
      <c r="DT47" s="118">
        <f t="shared" si="93"/>
        <v>0</v>
      </c>
      <c r="DU47" s="118">
        <f t="shared" si="94"/>
        <v>0</v>
      </c>
      <c r="DV47" s="118">
        <f t="shared" si="95"/>
        <v>0</v>
      </c>
      <c r="DW47" s="118">
        <f t="shared" si="96"/>
        <v>0</v>
      </c>
      <c r="DX47" s="118">
        <f t="shared" si="97"/>
        <v>0</v>
      </c>
      <c r="DY47" s="118">
        <f t="shared" si="98"/>
        <v>0</v>
      </c>
      <c r="DZ47" s="118">
        <f t="shared" si="99"/>
        <v>0</v>
      </c>
      <c r="EA47" s="118">
        <f t="shared" si="100"/>
        <v>0</v>
      </c>
      <c r="EB47" s="118">
        <f t="shared" si="101"/>
        <v>0</v>
      </c>
      <c r="EC47" s="118">
        <f t="shared" si="102"/>
        <v>0</v>
      </c>
      <c r="ED47" s="118">
        <f t="shared" si="103"/>
        <v>0</v>
      </c>
      <c r="EE47" s="118">
        <f t="shared" si="104"/>
        <v>0</v>
      </c>
      <c r="EF47" s="118">
        <f t="shared" si="105"/>
        <v>0</v>
      </c>
      <c r="EG47" s="118">
        <f t="shared" si="106"/>
        <v>0</v>
      </c>
      <c r="EH47" s="118">
        <f t="shared" si="107"/>
        <v>0</v>
      </c>
      <c r="EI47" s="118">
        <f t="shared" si="108"/>
        <v>0</v>
      </c>
      <c r="EJ47" s="118">
        <f t="shared" si="109"/>
        <v>0</v>
      </c>
      <c r="EK47" s="118">
        <f t="shared" si="110"/>
        <v>0</v>
      </c>
      <c r="EL47" s="118">
        <f t="shared" si="111"/>
        <v>0</v>
      </c>
      <c r="EM47" s="118">
        <f t="shared" si="112"/>
        <v>0</v>
      </c>
      <c r="EN47" s="118">
        <f t="shared" si="113"/>
        <v>0</v>
      </c>
      <c r="EO47" s="118">
        <f t="shared" si="114"/>
        <v>0</v>
      </c>
      <c r="EP47" s="118">
        <f t="shared" si="115"/>
        <v>0</v>
      </c>
      <c r="EQ47" s="118">
        <f t="shared" si="116"/>
        <v>0</v>
      </c>
      <c r="ER47" s="118">
        <f t="shared" si="117"/>
        <v>0</v>
      </c>
      <c r="ES47" s="119"/>
      <c r="ET47" s="143">
        <f t="shared" si="118"/>
        <v>0</v>
      </c>
      <c r="EU47" s="72"/>
      <c r="EV47" s="117">
        <f t="shared" si="119"/>
        <v>2505.1573290974998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20"/>
        <v>0</v>
      </c>
      <c r="GG47" s="118">
        <f t="shared" si="121"/>
        <v>0</v>
      </c>
      <c r="GH47" s="118">
        <f t="shared" si="122"/>
        <v>0</v>
      </c>
      <c r="GI47" s="118">
        <f t="shared" si="123"/>
        <v>0</v>
      </c>
      <c r="GJ47" s="119"/>
      <c r="GK47" s="143">
        <f t="shared" ca="1" si="124"/>
        <v>0</v>
      </c>
    </row>
    <row r="48" spans="1:193">
      <c r="A48" s="442" t="s">
        <v>401</v>
      </c>
      <c r="B48" s="144"/>
      <c r="C48" s="200"/>
      <c r="D48" s="201"/>
      <c r="E48" s="461">
        <f t="shared" si="0"/>
        <v>0</v>
      </c>
      <c r="F48" s="462">
        <f t="shared" si="77"/>
        <v>0</v>
      </c>
      <c r="G48" s="202" t="str">
        <f t="shared" si="125"/>
        <v/>
      </c>
      <c r="H48" s="471">
        <f t="shared" si="58"/>
        <v>0</v>
      </c>
      <c r="I48" s="472">
        <f t="shared" si="3"/>
        <v>0</v>
      </c>
      <c r="J48" s="62"/>
      <c r="K48" s="780" t="s">
        <v>454</v>
      </c>
      <c r="L48" s="778"/>
      <c r="M48" s="779"/>
      <c r="N48" s="161">
        <f>HomeBroker!AE1*365</f>
        <v>0.71700000000000008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6">
        <f t="shared" si="11"/>
        <v>0</v>
      </c>
      <c r="AY48" s="217">
        <f t="shared" si="12"/>
        <v>0</v>
      </c>
      <c r="AZ48" s="148" t="s">
        <v>402</v>
      </c>
      <c r="BA48" s="112"/>
      <c r="BB48" s="129"/>
      <c r="BC48" s="115"/>
      <c r="BD48" s="218">
        <f t="shared" si="13"/>
        <v>0</v>
      </c>
      <c r="BE48" s="220">
        <f t="shared" si="14"/>
        <v>0</v>
      </c>
      <c r="BF48" s="149" t="s">
        <v>403</v>
      </c>
      <c r="BG48" s="112"/>
      <c r="BH48" s="115"/>
      <c r="BI48" s="221">
        <f t="shared" si="15"/>
        <v>0</v>
      </c>
      <c r="BJ48" s="222">
        <f t="shared" si="16"/>
        <v>0</v>
      </c>
      <c r="DE48" s="117">
        <f t="shared" si="78"/>
        <v>2582.63642175</v>
      </c>
      <c r="DF48" s="118">
        <f t="shared" si="79"/>
        <v>0</v>
      </c>
      <c r="DG48" s="118">
        <f t="shared" si="80"/>
        <v>0</v>
      </c>
      <c r="DH48" s="118">
        <f t="shared" si="81"/>
        <v>0</v>
      </c>
      <c r="DI48" s="118">
        <f t="shared" si="82"/>
        <v>0</v>
      </c>
      <c r="DJ48" s="118">
        <f t="shared" si="83"/>
        <v>0</v>
      </c>
      <c r="DK48" s="118">
        <f t="shared" si="84"/>
        <v>0</v>
      </c>
      <c r="DL48" s="118">
        <f t="shared" si="85"/>
        <v>0</v>
      </c>
      <c r="DM48" s="118">
        <f t="shared" si="86"/>
        <v>0</v>
      </c>
      <c r="DN48" s="118">
        <f t="shared" si="87"/>
        <v>0</v>
      </c>
      <c r="DO48" s="118">
        <f t="shared" si="88"/>
        <v>0</v>
      </c>
      <c r="DP48" s="118">
        <f t="shared" si="89"/>
        <v>0</v>
      </c>
      <c r="DQ48" s="118">
        <f t="shared" si="90"/>
        <v>0</v>
      </c>
      <c r="DR48" s="118">
        <f t="shared" si="91"/>
        <v>0</v>
      </c>
      <c r="DS48" s="118">
        <f t="shared" si="92"/>
        <v>0</v>
      </c>
      <c r="DT48" s="118">
        <f t="shared" si="93"/>
        <v>0</v>
      </c>
      <c r="DU48" s="118">
        <f t="shared" si="94"/>
        <v>0</v>
      </c>
      <c r="DV48" s="118">
        <f t="shared" si="95"/>
        <v>0</v>
      </c>
      <c r="DW48" s="118">
        <f t="shared" si="96"/>
        <v>0</v>
      </c>
      <c r="DX48" s="118">
        <f t="shared" si="97"/>
        <v>0</v>
      </c>
      <c r="DY48" s="118">
        <f t="shared" si="98"/>
        <v>0</v>
      </c>
      <c r="DZ48" s="118">
        <f t="shared" si="99"/>
        <v>0</v>
      </c>
      <c r="EA48" s="118">
        <f t="shared" si="100"/>
        <v>0</v>
      </c>
      <c r="EB48" s="118">
        <f t="shared" si="101"/>
        <v>0</v>
      </c>
      <c r="EC48" s="118">
        <f t="shared" si="102"/>
        <v>0</v>
      </c>
      <c r="ED48" s="118">
        <f t="shared" si="103"/>
        <v>0</v>
      </c>
      <c r="EE48" s="118">
        <f t="shared" si="104"/>
        <v>0</v>
      </c>
      <c r="EF48" s="118">
        <f t="shared" si="105"/>
        <v>0</v>
      </c>
      <c r="EG48" s="118">
        <f t="shared" si="106"/>
        <v>0</v>
      </c>
      <c r="EH48" s="118">
        <f t="shared" si="107"/>
        <v>0</v>
      </c>
      <c r="EI48" s="118">
        <f t="shared" si="108"/>
        <v>0</v>
      </c>
      <c r="EJ48" s="118">
        <f t="shared" si="109"/>
        <v>0</v>
      </c>
      <c r="EK48" s="118">
        <f t="shared" si="110"/>
        <v>0</v>
      </c>
      <c r="EL48" s="118">
        <f t="shared" si="111"/>
        <v>0</v>
      </c>
      <c r="EM48" s="118">
        <f t="shared" si="112"/>
        <v>0</v>
      </c>
      <c r="EN48" s="118">
        <f t="shared" si="113"/>
        <v>0</v>
      </c>
      <c r="EO48" s="118">
        <f t="shared" si="114"/>
        <v>0</v>
      </c>
      <c r="EP48" s="118">
        <f t="shared" si="115"/>
        <v>0</v>
      </c>
      <c r="EQ48" s="118">
        <f t="shared" si="116"/>
        <v>0</v>
      </c>
      <c r="ER48" s="118">
        <f t="shared" si="117"/>
        <v>0</v>
      </c>
      <c r="ES48" s="119"/>
      <c r="ET48" s="143">
        <f t="shared" si="118"/>
        <v>0</v>
      </c>
      <c r="EU48" s="72"/>
      <c r="EV48" s="117">
        <f t="shared" si="119"/>
        <v>2582.63642175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20"/>
        <v>0</v>
      </c>
      <c r="GG48" s="118">
        <f t="shared" si="121"/>
        <v>0</v>
      </c>
      <c r="GH48" s="118">
        <f t="shared" si="122"/>
        <v>0</v>
      </c>
      <c r="GI48" s="118">
        <f t="shared" si="123"/>
        <v>0</v>
      </c>
      <c r="GJ48" s="119"/>
      <c r="GK48" s="143">
        <f t="shared" ca="1" si="124"/>
        <v>0</v>
      </c>
    </row>
    <row r="49" spans="1:193">
      <c r="A49" s="442" t="s">
        <v>401</v>
      </c>
      <c r="B49" s="144"/>
      <c r="C49" s="200"/>
      <c r="D49" s="201"/>
      <c r="E49" s="461">
        <f t="shared" si="0"/>
        <v>0</v>
      </c>
      <c r="F49" s="462">
        <f t="shared" si="77"/>
        <v>0</v>
      </c>
      <c r="G49" s="202" t="str">
        <f t="shared" si="125"/>
        <v/>
      </c>
      <c r="H49" s="471">
        <f t="shared" si="58"/>
        <v>0</v>
      </c>
      <c r="I49" s="472">
        <f t="shared" si="3"/>
        <v>0</v>
      </c>
      <c r="J49" s="62"/>
      <c r="K49" s="781" t="s">
        <v>455</v>
      </c>
      <c r="L49" s="778"/>
      <c r="M49" s="779"/>
      <c r="N49" s="162">
        <v>45401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6">
        <f t="shared" si="11"/>
        <v>0</v>
      </c>
      <c r="AY49" s="217">
        <f t="shared" si="12"/>
        <v>0</v>
      </c>
      <c r="AZ49" s="148" t="s">
        <v>402</v>
      </c>
      <c r="BA49" s="112"/>
      <c r="BB49" s="129"/>
      <c r="BC49" s="115"/>
      <c r="BD49" s="218">
        <f t="shared" si="13"/>
        <v>0</v>
      </c>
      <c r="BE49" s="220">
        <f t="shared" si="14"/>
        <v>0</v>
      </c>
      <c r="BF49" s="149" t="s">
        <v>403</v>
      </c>
      <c r="BG49" s="112"/>
      <c r="BH49" s="115"/>
      <c r="BI49" s="221">
        <f t="shared" si="15"/>
        <v>0</v>
      </c>
      <c r="BJ49" s="222">
        <f t="shared" si="16"/>
        <v>0</v>
      </c>
      <c r="DE49" s="117">
        <f t="shared" si="78"/>
        <v>2662.5117749999999</v>
      </c>
      <c r="DF49" s="118">
        <f t="shared" si="79"/>
        <v>0</v>
      </c>
      <c r="DG49" s="118">
        <f t="shared" si="80"/>
        <v>0</v>
      </c>
      <c r="DH49" s="118">
        <f t="shared" si="81"/>
        <v>0</v>
      </c>
      <c r="DI49" s="118">
        <f t="shared" si="82"/>
        <v>0</v>
      </c>
      <c r="DJ49" s="118">
        <f t="shared" si="83"/>
        <v>0</v>
      </c>
      <c r="DK49" s="118">
        <f t="shared" si="84"/>
        <v>0</v>
      </c>
      <c r="DL49" s="118">
        <f t="shared" si="85"/>
        <v>0</v>
      </c>
      <c r="DM49" s="118">
        <f t="shared" si="86"/>
        <v>0</v>
      </c>
      <c r="DN49" s="118">
        <f t="shared" si="87"/>
        <v>0</v>
      </c>
      <c r="DO49" s="118">
        <f t="shared" si="88"/>
        <v>0</v>
      </c>
      <c r="DP49" s="118">
        <f t="shared" si="89"/>
        <v>0</v>
      </c>
      <c r="DQ49" s="118">
        <f t="shared" si="90"/>
        <v>0</v>
      </c>
      <c r="DR49" s="118">
        <f t="shared" si="91"/>
        <v>0</v>
      </c>
      <c r="DS49" s="118">
        <f t="shared" si="92"/>
        <v>0</v>
      </c>
      <c r="DT49" s="118">
        <f t="shared" si="93"/>
        <v>0</v>
      </c>
      <c r="DU49" s="118">
        <f t="shared" si="94"/>
        <v>0</v>
      </c>
      <c r="DV49" s="118">
        <f t="shared" si="95"/>
        <v>0</v>
      </c>
      <c r="DW49" s="118">
        <f t="shared" si="96"/>
        <v>0</v>
      </c>
      <c r="DX49" s="118">
        <f t="shared" si="97"/>
        <v>0</v>
      </c>
      <c r="DY49" s="118">
        <f t="shared" si="98"/>
        <v>0</v>
      </c>
      <c r="DZ49" s="118">
        <f t="shared" si="99"/>
        <v>0</v>
      </c>
      <c r="EA49" s="118">
        <f t="shared" si="100"/>
        <v>0</v>
      </c>
      <c r="EB49" s="118">
        <f t="shared" si="101"/>
        <v>0</v>
      </c>
      <c r="EC49" s="118">
        <f t="shared" si="102"/>
        <v>0</v>
      </c>
      <c r="ED49" s="118">
        <f t="shared" si="103"/>
        <v>0</v>
      </c>
      <c r="EE49" s="118">
        <f t="shared" si="104"/>
        <v>0</v>
      </c>
      <c r="EF49" s="118">
        <f t="shared" si="105"/>
        <v>0</v>
      </c>
      <c r="EG49" s="118">
        <f t="shared" si="106"/>
        <v>0</v>
      </c>
      <c r="EH49" s="118">
        <f t="shared" si="107"/>
        <v>0</v>
      </c>
      <c r="EI49" s="118">
        <f t="shared" si="108"/>
        <v>0</v>
      </c>
      <c r="EJ49" s="118">
        <f t="shared" si="109"/>
        <v>0</v>
      </c>
      <c r="EK49" s="118">
        <f t="shared" si="110"/>
        <v>0</v>
      </c>
      <c r="EL49" s="118">
        <f t="shared" si="111"/>
        <v>0</v>
      </c>
      <c r="EM49" s="118">
        <f t="shared" si="112"/>
        <v>0</v>
      </c>
      <c r="EN49" s="118">
        <f t="shared" si="113"/>
        <v>0</v>
      </c>
      <c r="EO49" s="118">
        <f t="shared" si="114"/>
        <v>0</v>
      </c>
      <c r="EP49" s="118">
        <f t="shared" si="115"/>
        <v>0</v>
      </c>
      <c r="EQ49" s="118">
        <f t="shared" si="116"/>
        <v>0</v>
      </c>
      <c r="ER49" s="118">
        <f t="shared" si="117"/>
        <v>0</v>
      </c>
      <c r="ES49" s="119"/>
      <c r="ET49" s="143">
        <f t="shared" si="118"/>
        <v>0</v>
      </c>
      <c r="EU49" s="72"/>
      <c r="EV49" s="117">
        <f t="shared" si="119"/>
        <v>2662.5117749999999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20"/>
        <v>0</v>
      </c>
      <c r="GG49" s="118">
        <f t="shared" si="121"/>
        <v>0</v>
      </c>
      <c r="GH49" s="118">
        <f t="shared" si="122"/>
        <v>0</v>
      </c>
      <c r="GI49" s="118">
        <f t="shared" si="123"/>
        <v>0</v>
      </c>
      <c r="GJ49" s="119"/>
      <c r="GK49" s="143">
        <f t="shared" ca="1" si="124"/>
        <v>0</v>
      </c>
    </row>
    <row r="50" spans="1:193">
      <c r="A50" s="442" t="s">
        <v>401</v>
      </c>
      <c r="B50" s="144"/>
      <c r="C50" s="200"/>
      <c r="D50" s="201"/>
      <c r="E50" s="461">
        <f t="shared" si="0"/>
        <v>0</v>
      </c>
      <c r="F50" s="462">
        <f t="shared" si="77"/>
        <v>0</v>
      </c>
      <c r="G50" s="202" t="str">
        <f t="shared" si="125"/>
        <v/>
      </c>
      <c r="H50" s="471">
        <f t="shared" si="58"/>
        <v>0</v>
      </c>
      <c r="I50" s="472">
        <f t="shared" si="3"/>
        <v>0</v>
      </c>
      <c r="J50" s="62"/>
      <c r="K50" s="781" t="s">
        <v>456</v>
      </c>
      <c r="L50" s="778"/>
      <c r="M50" s="779"/>
      <c r="N50" s="163">
        <f ca="1">N49-TODAY()-N44</f>
        <v>20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6">
        <f t="shared" si="11"/>
        <v>0</v>
      </c>
      <c r="AY50" s="217">
        <f t="shared" si="12"/>
        <v>0</v>
      </c>
      <c r="AZ50" s="148" t="s">
        <v>402</v>
      </c>
      <c r="BA50" s="112"/>
      <c r="BB50" s="129"/>
      <c r="BC50" s="115"/>
      <c r="BD50" s="218">
        <f t="shared" si="13"/>
        <v>0</v>
      </c>
      <c r="BE50" s="220">
        <f t="shared" si="14"/>
        <v>0</v>
      </c>
      <c r="BF50" s="149" t="s">
        <v>403</v>
      </c>
      <c r="BG50" s="112"/>
      <c r="BH50" s="115"/>
      <c r="BI50" s="221">
        <f t="shared" si="15"/>
        <v>0</v>
      </c>
      <c r="BJ50" s="222">
        <f t="shared" si="16"/>
        <v>0</v>
      </c>
      <c r="DE50" s="117">
        <f t="shared" si="78"/>
        <v>2744.8575000000001</v>
      </c>
      <c r="DF50" s="118">
        <f t="shared" si="79"/>
        <v>0</v>
      </c>
      <c r="DG50" s="118">
        <f t="shared" si="80"/>
        <v>0</v>
      </c>
      <c r="DH50" s="118">
        <f t="shared" si="81"/>
        <v>0</v>
      </c>
      <c r="DI50" s="118">
        <f t="shared" si="82"/>
        <v>0</v>
      </c>
      <c r="DJ50" s="118">
        <f t="shared" si="83"/>
        <v>0</v>
      </c>
      <c r="DK50" s="118">
        <f t="shared" si="84"/>
        <v>0</v>
      </c>
      <c r="DL50" s="118">
        <f t="shared" si="85"/>
        <v>0</v>
      </c>
      <c r="DM50" s="118">
        <f t="shared" si="86"/>
        <v>0</v>
      </c>
      <c r="DN50" s="118">
        <f t="shared" si="87"/>
        <v>0</v>
      </c>
      <c r="DO50" s="118">
        <f t="shared" si="88"/>
        <v>0</v>
      </c>
      <c r="DP50" s="118">
        <f t="shared" si="89"/>
        <v>0</v>
      </c>
      <c r="DQ50" s="118">
        <f t="shared" si="90"/>
        <v>0</v>
      </c>
      <c r="DR50" s="118">
        <f t="shared" si="91"/>
        <v>0</v>
      </c>
      <c r="DS50" s="118">
        <f t="shared" si="92"/>
        <v>0</v>
      </c>
      <c r="DT50" s="118">
        <f t="shared" si="93"/>
        <v>0</v>
      </c>
      <c r="DU50" s="118">
        <f t="shared" si="94"/>
        <v>0</v>
      </c>
      <c r="DV50" s="118">
        <f t="shared" si="95"/>
        <v>0</v>
      </c>
      <c r="DW50" s="118">
        <f t="shared" si="96"/>
        <v>0</v>
      </c>
      <c r="DX50" s="118">
        <f t="shared" si="97"/>
        <v>0</v>
      </c>
      <c r="DY50" s="118">
        <f t="shared" si="98"/>
        <v>0</v>
      </c>
      <c r="DZ50" s="118">
        <f t="shared" si="99"/>
        <v>0</v>
      </c>
      <c r="EA50" s="118">
        <f t="shared" si="100"/>
        <v>0</v>
      </c>
      <c r="EB50" s="118">
        <f t="shared" si="101"/>
        <v>0</v>
      </c>
      <c r="EC50" s="118">
        <f t="shared" si="102"/>
        <v>0</v>
      </c>
      <c r="ED50" s="118">
        <f t="shared" si="103"/>
        <v>0</v>
      </c>
      <c r="EE50" s="118">
        <f t="shared" si="104"/>
        <v>0</v>
      </c>
      <c r="EF50" s="118">
        <f t="shared" si="105"/>
        <v>0</v>
      </c>
      <c r="EG50" s="118">
        <f t="shared" si="106"/>
        <v>0</v>
      </c>
      <c r="EH50" s="118">
        <f t="shared" si="107"/>
        <v>0</v>
      </c>
      <c r="EI50" s="118">
        <f t="shared" si="108"/>
        <v>0</v>
      </c>
      <c r="EJ50" s="118">
        <f t="shared" si="109"/>
        <v>0</v>
      </c>
      <c r="EK50" s="118">
        <f t="shared" si="110"/>
        <v>0</v>
      </c>
      <c r="EL50" s="118">
        <f t="shared" si="111"/>
        <v>0</v>
      </c>
      <c r="EM50" s="118">
        <f t="shared" si="112"/>
        <v>0</v>
      </c>
      <c r="EN50" s="118">
        <f t="shared" si="113"/>
        <v>0</v>
      </c>
      <c r="EO50" s="118">
        <f t="shared" si="114"/>
        <v>0</v>
      </c>
      <c r="EP50" s="118">
        <f t="shared" si="115"/>
        <v>0</v>
      </c>
      <c r="EQ50" s="118">
        <f t="shared" si="116"/>
        <v>0</v>
      </c>
      <c r="ER50" s="118">
        <f t="shared" si="117"/>
        <v>0</v>
      </c>
      <c r="ES50" s="119"/>
      <c r="ET50" s="143">
        <f t="shared" si="118"/>
        <v>0</v>
      </c>
      <c r="EU50" s="72"/>
      <c r="EV50" s="117">
        <f t="shared" si="119"/>
        <v>2744.8575000000001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20"/>
        <v>0</v>
      </c>
      <c r="GG50" s="118">
        <f t="shared" si="121"/>
        <v>0</v>
      </c>
      <c r="GH50" s="118">
        <f t="shared" si="122"/>
        <v>0</v>
      </c>
      <c r="GI50" s="118">
        <f t="shared" si="123"/>
        <v>0</v>
      </c>
      <c r="GJ50" s="119"/>
      <c r="GK50" s="143">
        <f t="shared" ca="1" si="124"/>
        <v>0</v>
      </c>
    </row>
    <row r="51" spans="1:193">
      <c r="A51" s="442" t="s">
        <v>401</v>
      </c>
      <c r="B51" s="144"/>
      <c r="C51" s="200"/>
      <c r="D51" s="201"/>
      <c r="E51" s="461">
        <f t="shared" si="0"/>
        <v>0</v>
      </c>
      <c r="F51" s="462">
        <f t="shared" si="77"/>
        <v>0</v>
      </c>
      <c r="G51" s="202" t="str">
        <f t="shared" si="125"/>
        <v/>
      </c>
      <c r="H51" s="471">
        <f t="shared" si="58"/>
        <v>0</v>
      </c>
      <c r="I51" s="472">
        <f t="shared" si="3"/>
        <v>0</v>
      </c>
      <c r="J51" s="62"/>
      <c r="K51" s="781" t="s">
        <v>457</v>
      </c>
      <c r="L51" s="778"/>
      <c r="M51" s="779"/>
      <c r="N51" s="164">
        <f ca="1">N50/365</f>
        <v>5.4794520547945202E-2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6">
        <f t="shared" si="11"/>
        <v>0</v>
      </c>
      <c r="AY51" s="217">
        <f t="shared" si="12"/>
        <v>0</v>
      </c>
      <c r="AZ51" s="148" t="s">
        <v>402</v>
      </c>
      <c r="BA51" s="112"/>
      <c r="BB51" s="129"/>
      <c r="BC51" s="115"/>
      <c r="BD51" s="218">
        <f t="shared" si="13"/>
        <v>0</v>
      </c>
      <c r="BE51" s="220">
        <f t="shared" si="14"/>
        <v>0</v>
      </c>
      <c r="BF51" s="149" t="s">
        <v>403</v>
      </c>
      <c r="BG51" s="112"/>
      <c r="BH51" s="115"/>
      <c r="BI51" s="221">
        <f t="shared" si="15"/>
        <v>0</v>
      </c>
      <c r="BJ51" s="222">
        <f t="shared" si="16"/>
        <v>0</v>
      </c>
      <c r="DE51" s="117">
        <f t="shared" si="78"/>
        <v>2829.75</v>
      </c>
      <c r="DF51" s="118">
        <f t="shared" si="79"/>
        <v>0</v>
      </c>
      <c r="DG51" s="118">
        <f t="shared" si="80"/>
        <v>0</v>
      </c>
      <c r="DH51" s="118">
        <f t="shared" si="81"/>
        <v>0</v>
      </c>
      <c r="DI51" s="118">
        <f t="shared" si="82"/>
        <v>0</v>
      </c>
      <c r="DJ51" s="118">
        <f t="shared" si="83"/>
        <v>0</v>
      </c>
      <c r="DK51" s="118">
        <f t="shared" si="84"/>
        <v>0</v>
      </c>
      <c r="DL51" s="118">
        <f t="shared" si="85"/>
        <v>0</v>
      </c>
      <c r="DM51" s="118">
        <f t="shared" si="86"/>
        <v>0</v>
      </c>
      <c r="DN51" s="118">
        <f t="shared" si="87"/>
        <v>0</v>
      </c>
      <c r="DO51" s="118">
        <f t="shared" si="88"/>
        <v>0</v>
      </c>
      <c r="DP51" s="118">
        <f t="shared" si="89"/>
        <v>0</v>
      </c>
      <c r="DQ51" s="118">
        <f t="shared" si="90"/>
        <v>0</v>
      </c>
      <c r="DR51" s="118">
        <f t="shared" si="91"/>
        <v>0</v>
      </c>
      <c r="DS51" s="118">
        <f t="shared" si="92"/>
        <v>0</v>
      </c>
      <c r="DT51" s="118">
        <f t="shared" si="93"/>
        <v>0</v>
      </c>
      <c r="DU51" s="118">
        <f t="shared" si="94"/>
        <v>0</v>
      </c>
      <c r="DV51" s="118">
        <f t="shared" si="95"/>
        <v>0</v>
      </c>
      <c r="DW51" s="118">
        <f t="shared" si="96"/>
        <v>0</v>
      </c>
      <c r="DX51" s="118">
        <f t="shared" si="97"/>
        <v>0</v>
      </c>
      <c r="DY51" s="118">
        <f t="shared" si="98"/>
        <v>0</v>
      </c>
      <c r="DZ51" s="118">
        <f t="shared" si="99"/>
        <v>0</v>
      </c>
      <c r="EA51" s="118">
        <f t="shared" si="100"/>
        <v>0</v>
      </c>
      <c r="EB51" s="118">
        <f t="shared" si="101"/>
        <v>0</v>
      </c>
      <c r="EC51" s="118">
        <f t="shared" si="102"/>
        <v>0</v>
      </c>
      <c r="ED51" s="118">
        <f t="shared" si="103"/>
        <v>0</v>
      </c>
      <c r="EE51" s="118">
        <f t="shared" si="104"/>
        <v>0</v>
      </c>
      <c r="EF51" s="118">
        <f t="shared" si="105"/>
        <v>0</v>
      </c>
      <c r="EG51" s="118">
        <f t="shared" si="106"/>
        <v>0</v>
      </c>
      <c r="EH51" s="118">
        <f t="shared" si="107"/>
        <v>0</v>
      </c>
      <c r="EI51" s="118">
        <f t="shared" si="108"/>
        <v>0</v>
      </c>
      <c r="EJ51" s="118">
        <f t="shared" si="109"/>
        <v>0</v>
      </c>
      <c r="EK51" s="118">
        <f t="shared" si="110"/>
        <v>0</v>
      </c>
      <c r="EL51" s="118">
        <f t="shared" si="111"/>
        <v>0</v>
      </c>
      <c r="EM51" s="118">
        <f t="shared" si="112"/>
        <v>0</v>
      </c>
      <c r="EN51" s="118">
        <f t="shared" si="113"/>
        <v>0</v>
      </c>
      <c r="EO51" s="118">
        <f t="shared" si="114"/>
        <v>0</v>
      </c>
      <c r="EP51" s="118">
        <f t="shared" si="115"/>
        <v>0</v>
      </c>
      <c r="EQ51" s="118">
        <f t="shared" si="116"/>
        <v>0</v>
      </c>
      <c r="ER51" s="118">
        <f t="shared" si="117"/>
        <v>0</v>
      </c>
      <c r="ES51" s="119"/>
      <c r="ET51" s="143">
        <f t="shared" si="118"/>
        <v>0</v>
      </c>
      <c r="EU51" s="72"/>
      <c r="EV51" s="117">
        <f t="shared" si="119"/>
        <v>2829.75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20"/>
        <v>0</v>
      </c>
      <c r="GG51" s="118">
        <f t="shared" si="121"/>
        <v>0</v>
      </c>
      <c r="GH51" s="118">
        <f t="shared" si="122"/>
        <v>0</v>
      </c>
      <c r="GI51" s="118">
        <f t="shared" si="123"/>
        <v>0</v>
      </c>
      <c r="GJ51" s="119"/>
      <c r="GK51" s="143">
        <f t="shared" ca="1" si="124"/>
        <v>0</v>
      </c>
    </row>
    <row r="52" spans="1:193">
      <c r="A52" s="442" t="s">
        <v>401</v>
      </c>
      <c r="B52" s="144"/>
      <c r="C52" s="200"/>
      <c r="D52" s="201"/>
      <c r="E52" s="461">
        <f t="shared" si="0"/>
        <v>0</v>
      </c>
      <c r="F52" s="462">
        <f t="shared" si="77"/>
        <v>0</v>
      </c>
      <c r="G52" s="202" t="str">
        <f t="shared" si="125"/>
        <v/>
      </c>
      <c r="H52" s="471">
        <f t="shared" si="58"/>
        <v>0</v>
      </c>
      <c r="I52" s="472">
        <f t="shared" si="3"/>
        <v>0</v>
      </c>
      <c r="J52" s="62"/>
      <c r="K52" s="782" t="s">
        <v>0</v>
      </c>
      <c r="L52" s="778"/>
      <c r="M52" s="779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6">
        <f t="shared" si="11"/>
        <v>0</v>
      </c>
      <c r="AY52" s="217">
        <f t="shared" si="12"/>
        <v>0</v>
      </c>
      <c r="AZ52" s="148" t="s">
        <v>402</v>
      </c>
      <c r="BA52" s="112"/>
      <c r="BB52" s="129"/>
      <c r="BC52" s="115"/>
      <c r="BD52" s="218">
        <f t="shared" si="13"/>
        <v>0</v>
      </c>
      <c r="BE52" s="220">
        <f t="shared" si="14"/>
        <v>0</v>
      </c>
      <c r="BF52" s="149" t="s">
        <v>403</v>
      </c>
      <c r="BG52" s="112"/>
      <c r="BH52" s="115"/>
      <c r="BI52" s="221">
        <f t="shared" si="15"/>
        <v>0</v>
      </c>
      <c r="BJ52" s="222">
        <f t="shared" si="16"/>
        <v>0</v>
      </c>
      <c r="DE52" s="117">
        <f t="shared" si="78"/>
        <v>2914.6424999999999</v>
      </c>
      <c r="DF52" s="118">
        <f t="shared" si="79"/>
        <v>0</v>
      </c>
      <c r="DG52" s="118">
        <f t="shared" si="80"/>
        <v>0</v>
      </c>
      <c r="DH52" s="118">
        <f t="shared" si="81"/>
        <v>0</v>
      </c>
      <c r="DI52" s="118">
        <f t="shared" si="82"/>
        <v>0</v>
      </c>
      <c r="DJ52" s="118">
        <f t="shared" si="83"/>
        <v>0</v>
      </c>
      <c r="DK52" s="118">
        <f t="shared" si="84"/>
        <v>0</v>
      </c>
      <c r="DL52" s="118">
        <f t="shared" si="85"/>
        <v>0</v>
      </c>
      <c r="DM52" s="118">
        <f t="shared" si="86"/>
        <v>0</v>
      </c>
      <c r="DN52" s="118">
        <f t="shared" si="87"/>
        <v>0</v>
      </c>
      <c r="DO52" s="118">
        <f t="shared" si="88"/>
        <v>0</v>
      </c>
      <c r="DP52" s="118">
        <f t="shared" si="89"/>
        <v>0</v>
      </c>
      <c r="DQ52" s="118">
        <f t="shared" si="90"/>
        <v>0</v>
      </c>
      <c r="DR52" s="118">
        <f t="shared" si="91"/>
        <v>0</v>
      </c>
      <c r="DS52" s="118">
        <f t="shared" si="92"/>
        <v>0</v>
      </c>
      <c r="DT52" s="118">
        <f t="shared" si="93"/>
        <v>0</v>
      </c>
      <c r="DU52" s="118">
        <f t="shared" si="94"/>
        <v>0</v>
      </c>
      <c r="DV52" s="118">
        <f t="shared" si="95"/>
        <v>0</v>
      </c>
      <c r="DW52" s="118">
        <f t="shared" si="96"/>
        <v>0</v>
      </c>
      <c r="DX52" s="118">
        <f t="shared" si="97"/>
        <v>0</v>
      </c>
      <c r="DY52" s="118">
        <f t="shared" si="98"/>
        <v>0</v>
      </c>
      <c r="DZ52" s="118">
        <f t="shared" si="99"/>
        <v>0</v>
      </c>
      <c r="EA52" s="118">
        <f t="shared" si="100"/>
        <v>0</v>
      </c>
      <c r="EB52" s="118">
        <f t="shared" si="101"/>
        <v>0</v>
      </c>
      <c r="EC52" s="118">
        <f t="shared" si="102"/>
        <v>0</v>
      </c>
      <c r="ED52" s="118">
        <f t="shared" si="103"/>
        <v>0</v>
      </c>
      <c r="EE52" s="118">
        <f t="shared" si="104"/>
        <v>0</v>
      </c>
      <c r="EF52" s="118">
        <f t="shared" si="105"/>
        <v>0</v>
      </c>
      <c r="EG52" s="118">
        <f t="shared" si="106"/>
        <v>0</v>
      </c>
      <c r="EH52" s="118">
        <f t="shared" si="107"/>
        <v>0</v>
      </c>
      <c r="EI52" s="118">
        <f t="shared" si="108"/>
        <v>0</v>
      </c>
      <c r="EJ52" s="118">
        <f t="shared" si="109"/>
        <v>0</v>
      </c>
      <c r="EK52" s="118">
        <f t="shared" si="110"/>
        <v>0</v>
      </c>
      <c r="EL52" s="118">
        <f t="shared" si="111"/>
        <v>0</v>
      </c>
      <c r="EM52" s="118">
        <f t="shared" si="112"/>
        <v>0</v>
      </c>
      <c r="EN52" s="118">
        <f t="shared" si="113"/>
        <v>0</v>
      </c>
      <c r="EO52" s="118">
        <f t="shared" si="114"/>
        <v>0</v>
      </c>
      <c r="EP52" s="118">
        <f t="shared" si="115"/>
        <v>0</v>
      </c>
      <c r="EQ52" s="118">
        <f t="shared" si="116"/>
        <v>0</v>
      </c>
      <c r="ER52" s="118">
        <f t="shared" si="117"/>
        <v>0</v>
      </c>
      <c r="ES52" s="119"/>
      <c r="ET52" s="143">
        <f t="shared" si="118"/>
        <v>0</v>
      </c>
      <c r="EU52" s="72"/>
      <c r="EV52" s="117">
        <f t="shared" si="119"/>
        <v>2914.6424999999999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20"/>
        <v>0</v>
      </c>
      <c r="GG52" s="118">
        <f t="shared" si="121"/>
        <v>0</v>
      </c>
      <c r="GH52" s="118">
        <f t="shared" si="122"/>
        <v>0</v>
      </c>
      <c r="GI52" s="118">
        <f t="shared" si="123"/>
        <v>0</v>
      </c>
      <c r="GJ52" s="119"/>
      <c r="GK52" s="143">
        <f t="shared" ca="1" si="124"/>
        <v>0</v>
      </c>
    </row>
    <row r="53" spans="1:193">
      <c r="A53" s="442" t="s">
        <v>401</v>
      </c>
      <c r="B53" s="144"/>
      <c r="C53" s="200"/>
      <c r="D53" s="201"/>
      <c r="E53" s="461">
        <f t="shared" si="0"/>
        <v>0</v>
      </c>
      <c r="F53" s="462">
        <f t="shared" si="77"/>
        <v>0</v>
      </c>
      <c r="G53" s="202" t="str">
        <f t="shared" si="125"/>
        <v/>
      </c>
      <c r="H53" s="471">
        <f t="shared" si="58"/>
        <v>0</v>
      </c>
      <c r="I53" s="472">
        <f t="shared" si="3"/>
        <v>0</v>
      </c>
      <c r="J53" s="62"/>
      <c r="K53" s="794" t="s">
        <v>1</v>
      </c>
      <c r="L53" s="795"/>
      <c r="M53" s="796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6">
        <f t="shared" si="11"/>
        <v>0</v>
      </c>
      <c r="AY53" s="217">
        <f t="shared" si="12"/>
        <v>0</v>
      </c>
      <c r="AZ53" s="148" t="s">
        <v>402</v>
      </c>
      <c r="BA53" s="112"/>
      <c r="BB53" s="129"/>
      <c r="BC53" s="115"/>
      <c r="BD53" s="218">
        <f t="shared" si="13"/>
        <v>0</v>
      </c>
      <c r="BE53" s="220">
        <f t="shared" si="14"/>
        <v>0</v>
      </c>
      <c r="BF53" s="149" t="s">
        <v>403</v>
      </c>
      <c r="BG53" s="112"/>
      <c r="BH53" s="115"/>
      <c r="BI53" s="221">
        <f t="shared" si="15"/>
        <v>0</v>
      </c>
      <c r="BJ53" s="222">
        <f t="shared" si="16"/>
        <v>0</v>
      </c>
      <c r="DE53" s="117">
        <f t="shared" si="78"/>
        <v>3002.0817750000001</v>
      </c>
      <c r="DF53" s="118">
        <f t="shared" si="79"/>
        <v>0</v>
      </c>
      <c r="DG53" s="118">
        <f t="shared" si="80"/>
        <v>0</v>
      </c>
      <c r="DH53" s="118">
        <f t="shared" si="81"/>
        <v>0</v>
      </c>
      <c r="DI53" s="118">
        <f t="shared" si="82"/>
        <v>0</v>
      </c>
      <c r="DJ53" s="118">
        <f t="shared" si="83"/>
        <v>0</v>
      </c>
      <c r="DK53" s="118">
        <f t="shared" si="84"/>
        <v>0</v>
      </c>
      <c r="DL53" s="118">
        <f t="shared" si="85"/>
        <v>0</v>
      </c>
      <c r="DM53" s="118">
        <f t="shared" si="86"/>
        <v>0</v>
      </c>
      <c r="DN53" s="118">
        <f t="shared" si="87"/>
        <v>0</v>
      </c>
      <c r="DO53" s="118">
        <f t="shared" si="88"/>
        <v>0</v>
      </c>
      <c r="DP53" s="118">
        <f t="shared" si="89"/>
        <v>0</v>
      </c>
      <c r="DQ53" s="118">
        <f t="shared" si="90"/>
        <v>0</v>
      </c>
      <c r="DR53" s="118">
        <f t="shared" si="91"/>
        <v>0</v>
      </c>
      <c r="DS53" s="118">
        <f t="shared" si="92"/>
        <v>0</v>
      </c>
      <c r="DT53" s="118">
        <f t="shared" si="93"/>
        <v>0</v>
      </c>
      <c r="DU53" s="118">
        <f t="shared" si="94"/>
        <v>0</v>
      </c>
      <c r="DV53" s="118">
        <f t="shared" si="95"/>
        <v>0</v>
      </c>
      <c r="DW53" s="118">
        <f t="shared" si="96"/>
        <v>0</v>
      </c>
      <c r="DX53" s="118">
        <f t="shared" si="97"/>
        <v>0</v>
      </c>
      <c r="DY53" s="118">
        <f t="shared" si="98"/>
        <v>0</v>
      </c>
      <c r="DZ53" s="118">
        <f t="shared" si="99"/>
        <v>0</v>
      </c>
      <c r="EA53" s="118">
        <f t="shared" si="100"/>
        <v>0</v>
      </c>
      <c r="EB53" s="118">
        <f t="shared" si="101"/>
        <v>0</v>
      </c>
      <c r="EC53" s="118">
        <f t="shared" si="102"/>
        <v>0</v>
      </c>
      <c r="ED53" s="118">
        <f t="shared" si="103"/>
        <v>0</v>
      </c>
      <c r="EE53" s="118">
        <f t="shared" si="104"/>
        <v>0</v>
      </c>
      <c r="EF53" s="118">
        <f t="shared" si="105"/>
        <v>0</v>
      </c>
      <c r="EG53" s="118">
        <f t="shared" si="106"/>
        <v>0</v>
      </c>
      <c r="EH53" s="118">
        <f t="shared" si="107"/>
        <v>0</v>
      </c>
      <c r="EI53" s="118">
        <f t="shared" si="108"/>
        <v>0</v>
      </c>
      <c r="EJ53" s="118">
        <f t="shared" si="109"/>
        <v>0</v>
      </c>
      <c r="EK53" s="118">
        <f t="shared" si="110"/>
        <v>0</v>
      </c>
      <c r="EL53" s="118">
        <f t="shared" si="111"/>
        <v>0</v>
      </c>
      <c r="EM53" s="118">
        <f t="shared" si="112"/>
        <v>0</v>
      </c>
      <c r="EN53" s="118">
        <f t="shared" si="113"/>
        <v>0</v>
      </c>
      <c r="EO53" s="118">
        <f t="shared" si="114"/>
        <v>0</v>
      </c>
      <c r="EP53" s="118">
        <f t="shared" si="115"/>
        <v>0</v>
      </c>
      <c r="EQ53" s="118">
        <f t="shared" si="116"/>
        <v>0</v>
      </c>
      <c r="ER53" s="118">
        <f t="shared" si="117"/>
        <v>0</v>
      </c>
      <c r="ES53" s="119"/>
      <c r="ET53" s="143">
        <f t="shared" si="118"/>
        <v>0</v>
      </c>
      <c r="EU53" s="72"/>
      <c r="EV53" s="117">
        <f t="shared" si="119"/>
        <v>3002.0817750000001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20"/>
        <v>0</v>
      </c>
      <c r="GG53" s="118">
        <f t="shared" si="121"/>
        <v>0</v>
      </c>
      <c r="GH53" s="118">
        <f t="shared" si="122"/>
        <v>0</v>
      </c>
      <c r="GI53" s="118">
        <f t="shared" si="123"/>
        <v>0</v>
      </c>
      <c r="GJ53" s="119"/>
      <c r="GK53" s="143">
        <f t="shared" ca="1" si="124"/>
        <v>0</v>
      </c>
    </row>
    <row r="54" spans="1:193">
      <c r="A54" s="442" t="s">
        <v>401</v>
      </c>
      <c r="B54" s="144"/>
      <c r="C54" s="200"/>
      <c r="D54" s="201"/>
      <c r="E54" s="461">
        <f t="shared" si="0"/>
        <v>0</v>
      </c>
      <c r="F54" s="462">
        <f t="shared" si="77"/>
        <v>0</v>
      </c>
      <c r="G54" s="202" t="str">
        <f t="shared" si="125"/>
        <v/>
      </c>
      <c r="H54" s="471">
        <f t="shared" si="58"/>
        <v>0</v>
      </c>
      <c r="I54" s="472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6">
        <f t="shared" si="11"/>
        <v>0</v>
      </c>
      <c r="AY54" s="217">
        <f t="shared" si="12"/>
        <v>0</v>
      </c>
      <c r="AZ54" s="148" t="s">
        <v>402</v>
      </c>
      <c r="BA54" s="112"/>
      <c r="BB54" s="129"/>
      <c r="BC54" s="115"/>
      <c r="BD54" s="218">
        <f t="shared" si="13"/>
        <v>0</v>
      </c>
      <c r="BE54" s="220">
        <f t="shared" si="14"/>
        <v>0</v>
      </c>
      <c r="BF54" s="149" t="s">
        <v>403</v>
      </c>
      <c r="BG54" s="112"/>
      <c r="BH54" s="115"/>
      <c r="BI54" s="221">
        <f t="shared" si="15"/>
        <v>0</v>
      </c>
      <c r="BJ54" s="222">
        <f t="shared" si="16"/>
        <v>0</v>
      </c>
      <c r="DE54" s="117">
        <f t="shared" si="78"/>
        <v>3092.1442282500002</v>
      </c>
      <c r="DF54" s="118">
        <f t="shared" si="79"/>
        <v>0</v>
      </c>
      <c r="DG54" s="118">
        <f t="shared" si="80"/>
        <v>0</v>
      </c>
      <c r="DH54" s="118">
        <f t="shared" si="81"/>
        <v>0</v>
      </c>
      <c r="DI54" s="118">
        <f t="shared" si="82"/>
        <v>0</v>
      </c>
      <c r="DJ54" s="118">
        <f t="shared" si="83"/>
        <v>0</v>
      </c>
      <c r="DK54" s="118">
        <f t="shared" si="84"/>
        <v>0</v>
      </c>
      <c r="DL54" s="118">
        <f t="shared" si="85"/>
        <v>0</v>
      </c>
      <c r="DM54" s="118">
        <f t="shared" si="86"/>
        <v>0</v>
      </c>
      <c r="DN54" s="118">
        <f t="shared" si="87"/>
        <v>0</v>
      </c>
      <c r="DO54" s="118">
        <f t="shared" si="88"/>
        <v>0</v>
      </c>
      <c r="DP54" s="118">
        <f t="shared" si="89"/>
        <v>0</v>
      </c>
      <c r="DQ54" s="118">
        <f t="shared" si="90"/>
        <v>0</v>
      </c>
      <c r="DR54" s="118">
        <f t="shared" si="91"/>
        <v>0</v>
      </c>
      <c r="DS54" s="118">
        <f t="shared" si="92"/>
        <v>0</v>
      </c>
      <c r="DT54" s="118">
        <f t="shared" si="93"/>
        <v>0</v>
      </c>
      <c r="DU54" s="118">
        <f t="shared" si="94"/>
        <v>0</v>
      </c>
      <c r="DV54" s="118">
        <f t="shared" si="95"/>
        <v>0</v>
      </c>
      <c r="DW54" s="118">
        <f t="shared" si="96"/>
        <v>0</v>
      </c>
      <c r="DX54" s="118">
        <f t="shared" si="97"/>
        <v>0</v>
      </c>
      <c r="DY54" s="118">
        <f t="shared" si="98"/>
        <v>0</v>
      </c>
      <c r="DZ54" s="118">
        <f t="shared" si="99"/>
        <v>0</v>
      </c>
      <c r="EA54" s="118">
        <f t="shared" si="100"/>
        <v>0</v>
      </c>
      <c r="EB54" s="118">
        <f t="shared" si="101"/>
        <v>0</v>
      </c>
      <c r="EC54" s="118">
        <f t="shared" si="102"/>
        <v>0</v>
      </c>
      <c r="ED54" s="118">
        <f t="shared" si="103"/>
        <v>0</v>
      </c>
      <c r="EE54" s="118">
        <f t="shared" si="104"/>
        <v>0</v>
      </c>
      <c r="EF54" s="118">
        <f t="shared" si="105"/>
        <v>0</v>
      </c>
      <c r="EG54" s="118">
        <f t="shared" si="106"/>
        <v>0</v>
      </c>
      <c r="EH54" s="118">
        <f t="shared" si="107"/>
        <v>0</v>
      </c>
      <c r="EI54" s="118">
        <f t="shared" si="108"/>
        <v>0</v>
      </c>
      <c r="EJ54" s="118">
        <f t="shared" si="109"/>
        <v>0</v>
      </c>
      <c r="EK54" s="118">
        <f t="shared" si="110"/>
        <v>0</v>
      </c>
      <c r="EL54" s="118">
        <f t="shared" si="111"/>
        <v>0</v>
      </c>
      <c r="EM54" s="118">
        <f t="shared" si="112"/>
        <v>0</v>
      </c>
      <c r="EN54" s="118">
        <f t="shared" si="113"/>
        <v>0</v>
      </c>
      <c r="EO54" s="118">
        <f t="shared" si="114"/>
        <v>0</v>
      </c>
      <c r="EP54" s="118">
        <f t="shared" si="115"/>
        <v>0</v>
      </c>
      <c r="EQ54" s="118">
        <f t="shared" si="116"/>
        <v>0</v>
      </c>
      <c r="ER54" s="118">
        <f t="shared" si="117"/>
        <v>0</v>
      </c>
      <c r="ES54" s="119"/>
      <c r="ET54" s="143">
        <f t="shared" si="118"/>
        <v>0</v>
      </c>
      <c r="EU54" s="72"/>
      <c r="EV54" s="117">
        <f t="shared" si="119"/>
        <v>3092.1442282500002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20"/>
        <v>0</v>
      </c>
      <c r="GG54" s="118">
        <f t="shared" si="121"/>
        <v>0</v>
      </c>
      <c r="GH54" s="118">
        <f t="shared" si="122"/>
        <v>0</v>
      </c>
      <c r="GI54" s="118">
        <f t="shared" si="123"/>
        <v>0</v>
      </c>
      <c r="GJ54" s="119"/>
      <c r="GK54" s="143">
        <f t="shared" ca="1" si="124"/>
        <v>0</v>
      </c>
    </row>
    <row r="55" spans="1:193">
      <c r="A55" s="442" t="s">
        <v>401</v>
      </c>
      <c r="B55" s="144"/>
      <c r="C55" s="200"/>
      <c r="D55" s="201"/>
      <c r="E55" s="461">
        <f t="shared" si="0"/>
        <v>0</v>
      </c>
      <c r="F55" s="462">
        <f t="shared" si="77"/>
        <v>0</v>
      </c>
      <c r="G55" s="202" t="str">
        <f t="shared" si="125"/>
        <v/>
      </c>
      <c r="H55" s="471">
        <f t="shared" si="58"/>
        <v>0</v>
      </c>
      <c r="I55" s="472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6">
        <f t="shared" si="11"/>
        <v>0</v>
      </c>
      <c r="AY55" s="217">
        <f t="shared" si="12"/>
        <v>0</v>
      </c>
      <c r="AZ55" s="148" t="s">
        <v>402</v>
      </c>
      <c r="BA55" s="112"/>
      <c r="BB55" s="129"/>
      <c r="BC55" s="115"/>
      <c r="BD55" s="218">
        <f t="shared" si="13"/>
        <v>0</v>
      </c>
      <c r="BE55" s="220">
        <f t="shared" si="14"/>
        <v>0</v>
      </c>
      <c r="BF55" s="149" t="s">
        <v>403</v>
      </c>
      <c r="BG55" s="112"/>
      <c r="BH55" s="115"/>
      <c r="BI55" s="221">
        <f t="shared" si="15"/>
        <v>0</v>
      </c>
      <c r="BJ55" s="222">
        <f t="shared" si="16"/>
        <v>0</v>
      </c>
      <c r="DE55" s="117">
        <f t="shared" si="78"/>
        <v>3184.9085550975001</v>
      </c>
      <c r="DF55" s="118">
        <f t="shared" si="79"/>
        <v>0</v>
      </c>
      <c r="DG55" s="118">
        <f t="shared" si="80"/>
        <v>0</v>
      </c>
      <c r="DH55" s="118">
        <f t="shared" si="81"/>
        <v>0</v>
      </c>
      <c r="DI55" s="118">
        <f t="shared" si="82"/>
        <v>0</v>
      </c>
      <c r="DJ55" s="118">
        <f t="shared" si="83"/>
        <v>0</v>
      </c>
      <c r="DK55" s="118">
        <f t="shared" si="84"/>
        <v>0</v>
      </c>
      <c r="DL55" s="118">
        <f t="shared" si="85"/>
        <v>0</v>
      </c>
      <c r="DM55" s="118">
        <f t="shared" si="86"/>
        <v>0</v>
      </c>
      <c r="DN55" s="118">
        <f t="shared" si="87"/>
        <v>0</v>
      </c>
      <c r="DO55" s="118">
        <f t="shared" si="88"/>
        <v>0</v>
      </c>
      <c r="DP55" s="118">
        <f t="shared" si="89"/>
        <v>0</v>
      </c>
      <c r="DQ55" s="118">
        <f t="shared" si="90"/>
        <v>0</v>
      </c>
      <c r="DR55" s="118">
        <f t="shared" si="91"/>
        <v>0</v>
      </c>
      <c r="DS55" s="118">
        <f t="shared" si="92"/>
        <v>0</v>
      </c>
      <c r="DT55" s="118">
        <f t="shared" si="93"/>
        <v>0</v>
      </c>
      <c r="DU55" s="118">
        <f t="shared" si="94"/>
        <v>0</v>
      </c>
      <c r="DV55" s="118">
        <f t="shared" si="95"/>
        <v>0</v>
      </c>
      <c r="DW55" s="118">
        <f t="shared" si="96"/>
        <v>0</v>
      </c>
      <c r="DX55" s="118">
        <f t="shared" si="97"/>
        <v>0</v>
      </c>
      <c r="DY55" s="118">
        <f t="shared" si="98"/>
        <v>0</v>
      </c>
      <c r="DZ55" s="118">
        <f t="shared" si="99"/>
        <v>0</v>
      </c>
      <c r="EA55" s="118">
        <f t="shared" si="100"/>
        <v>0</v>
      </c>
      <c r="EB55" s="118">
        <f t="shared" si="101"/>
        <v>0</v>
      </c>
      <c r="EC55" s="118">
        <f t="shared" si="102"/>
        <v>0</v>
      </c>
      <c r="ED55" s="118">
        <f t="shared" si="103"/>
        <v>0</v>
      </c>
      <c r="EE55" s="118">
        <f t="shared" si="104"/>
        <v>0</v>
      </c>
      <c r="EF55" s="118">
        <f t="shared" si="105"/>
        <v>0</v>
      </c>
      <c r="EG55" s="118">
        <f t="shared" si="106"/>
        <v>0</v>
      </c>
      <c r="EH55" s="118">
        <f t="shared" si="107"/>
        <v>0</v>
      </c>
      <c r="EI55" s="118">
        <f t="shared" si="108"/>
        <v>0</v>
      </c>
      <c r="EJ55" s="118">
        <f t="shared" si="109"/>
        <v>0</v>
      </c>
      <c r="EK55" s="118">
        <f t="shared" si="110"/>
        <v>0</v>
      </c>
      <c r="EL55" s="118">
        <f t="shared" si="111"/>
        <v>0</v>
      </c>
      <c r="EM55" s="118">
        <f t="shared" si="112"/>
        <v>0</v>
      </c>
      <c r="EN55" s="118">
        <f t="shared" si="113"/>
        <v>0</v>
      </c>
      <c r="EO55" s="118">
        <f t="shared" si="114"/>
        <v>0</v>
      </c>
      <c r="EP55" s="118">
        <f t="shared" si="115"/>
        <v>0</v>
      </c>
      <c r="EQ55" s="118">
        <f t="shared" si="116"/>
        <v>0</v>
      </c>
      <c r="ER55" s="118">
        <f t="shared" si="117"/>
        <v>0</v>
      </c>
      <c r="ES55" s="119"/>
      <c r="ET55" s="143">
        <f t="shared" si="118"/>
        <v>0</v>
      </c>
      <c r="EU55" s="72"/>
      <c r="EV55" s="117">
        <f t="shared" si="119"/>
        <v>3184.9085550975001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20"/>
        <v>0</v>
      </c>
      <c r="GG55" s="118">
        <f t="shared" si="121"/>
        <v>0</v>
      </c>
      <c r="GH55" s="118">
        <f t="shared" si="122"/>
        <v>0</v>
      </c>
      <c r="GI55" s="118">
        <f t="shared" si="123"/>
        <v>0</v>
      </c>
      <c r="GJ55" s="119"/>
      <c r="GK55" s="143">
        <f t="shared" ca="1" si="124"/>
        <v>0</v>
      </c>
    </row>
    <row r="56" spans="1:193">
      <c r="A56" s="442" t="s">
        <v>401</v>
      </c>
      <c r="B56" s="144"/>
      <c r="C56" s="200"/>
      <c r="D56" s="201"/>
      <c r="E56" s="461">
        <f t="shared" si="0"/>
        <v>0</v>
      </c>
      <c r="F56" s="462">
        <f t="shared" si="77"/>
        <v>0</v>
      </c>
      <c r="G56" s="202" t="str">
        <f t="shared" si="125"/>
        <v/>
      </c>
      <c r="H56" s="471">
        <f t="shared" si="58"/>
        <v>0</v>
      </c>
      <c r="I56" s="472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6">
        <f t="shared" si="11"/>
        <v>0</v>
      </c>
      <c r="AY56" s="217">
        <f t="shared" si="12"/>
        <v>0</v>
      </c>
      <c r="AZ56" s="148" t="s">
        <v>402</v>
      </c>
      <c r="BA56" s="112"/>
      <c r="BB56" s="129"/>
      <c r="BC56" s="115"/>
      <c r="BD56" s="218">
        <f t="shared" si="13"/>
        <v>0</v>
      </c>
      <c r="BE56" s="220">
        <f t="shared" si="14"/>
        <v>0</v>
      </c>
      <c r="BF56" s="149" t="s">
        <v>403</v>
      </c>
      <c r="BG56" s="112"/>
      <c r="BH56" s="115"/>
      <c r="BI56" s="221">
        <f t="shared" si="15"/>
        <v>0</v>
      </c>
      <c r="BJ56" s="222">
        <f t="shared" si="16"/>
        <v>0</v>
      </c>
      <c r="DE56" s="117">
        <f t="shared" si="78"/>
        <v>3280.4558117504253</v>
      </c>
      <c r="DF56" s="118">
        <f t="shared" si="79"/>
        <v>0</v>
      </c>
      <c r="DG56" s="118">
        <f t="shared" si="80"/>
        <v>0</v>
      </c>
      <c r="DH56" s="118">
        <f t="shared" si="81"/>
        <v>0</v>
      </c>
      <c r="DI56" s="118">
        <f t="shared" si="82"/>
        <v>0</v>
      </c>
      <c r="DJ56" s="118">
        <f t="shared" si="83"/>
        <v>0</v>
      </c>
      <c r="DK56" s="118">
        <f t="shared" si="84"/>
        <v>0</v>
      </c>
      <c r="DL56" s="118">
        <f t="shared" si="85"/>
        <v>0</v>
      </c>
      <c r="DM56" s="118">
        <f t="shared" si="86"/>
        <v>0</v>
      </c>
      <c r="DN56" s="118">
        <f t="shared" si="87"/>
        <v>0</v>
      </c>
      <c r="DO56" s="118">
        <f t="shared" si="88"/>
        <v>0</v>
      </c>
      <c r="DP56" s="118">
        <f t="shared" si="89"/>
        <v>0</v>
      </c>
      <c r="DQ56" s="118">
        <f t="shared" si="90"/>
        <v>0</v>
      </c>
      <c r="DR56" s="118">
        <f t="shared" si="91"/>
        <v>0</v>
      </c>
      <c r="DS56" s="118">
        <f t="shared" si="92"/>
        <v>0</v>
      </c>
      <c r="DT56" s="118">
        <f t="shared" si="93"/>
        <v>0</v>
      </c>
      <c r="DU56" s="118">
        <f t="shared" si="94"/>
        <v>0</v>
      </c>
      <c r="DV56" s="118">
        <f t="shared" si="95"/>
        <v>0</v>
      </c>
      <c r="DW56" s="118">
        <f t="shared" si="96"/>
        <v>0</v>
      </c>
      <c r="DX56" s="118">
        <f t="shared" si="97"/>
        <v>0</v>
      </c>
      <c r="DY56" s="118">
        <f t="shared" si="98"/>
        <v>0</v>
      </c>
      <c r="DZ56" s="118">
        <f t="shared" si="99"/>
        <v>0</v>
      </c>
      <c r="EA56" s="118">
        <f t="shared" si="100"/>
        <v>0</v>
      </c>
      <c r="EB56" s="118">
        <f t="shared" si="101"/>
        <v>0</v>
      </c>
      <c r="EC56" s="118">
        <f t="shared" si="102"/>
        <v>0</v>
      </c>
      <c r="ED56" s="118">
        <f t="shared" si="103"/>
        <v>0</v>
      </c>
      <c r="EE56" s="118">
        <f t="shared" si="104"/>
        <v>0</v>
      </c>
      <c r="EF56" s="118">
        <f t="shared" si="105"/>
        <v>0</v>
      </c>
      <c r="EG56" s="118">
        <f t="shared" si="106"/>
        <v>0</v>
      </c>
      <c r="EH56" s="118">
        <f t="shared" si="107"/>
        <v>0</v>
      </c>
      <c r="EI56" s="118">
        <f t="shared" si="108"/>
        <v>0</v>
      </c>
      <c r="EJ56" s="118">
        <f t="shared" si="109"/>
        <v>0</v>
      </c>
      <c r="EK56" s="118">
        <f t="shared" si="110"/>
        <v>0</v>
      </c>
      <c r="EL56" s="118">
        <f t="shared" si="111"/>
        <v>0</v>
      </c>
      <c r="EM56" s="118">
        <f t="shared" si="112"/>
        <v>0</v>
      </c>
      <c r="EN56" s="118">
        <f t="shared" si="113"/>
        <v>0</v>
      </c>
      <c r="EO56" s="118">
        <f t="shared" si="114"/>
        <v>0</v>
      </c>
      <c r="EP56" s="118">
        <f t="shared" si="115"/>
        <v>0</v>
      </c>
      <c r="EQ56" s="118">
        <f t="shared" si="116"/>
        <v>0</v>
      </c>
      <c r="ER56" s="118">
        <f t="shared" si="117"/>
        <v>0</v>
      </c>
      <c r="ES56" s="119"/>
      <c r="ET56" s="143">
        <f t="shared" si="118"/>
        <v>0</v>
      </c>
      <c r="EU56" s="72"/>
      <c r="EV56" s="117">
        <f t="shared" si="119"/>
        <v>3280.4558117504253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20"/>
        <v>0</v>
      </c>
      <c r="GG56" s="118">
        <f t="shared" si="121"/>
        <v>0</v>
      </c>
      <c r="GH56" s="118">
        <f t="shared" si="122"/>
        <v>0</v>
      </c>
      <c r="GI56" s="118">
        <f t="shared" si="123"/>
        <v>0</v>
      </c>
      <c r="GJ56" s="119"/>
      <c r="GK56" s="143">
        <f t="shared" ca="1" si="124"/>
        <v>0</v>
      </c>
    </row>
    <row r="57" spans="1:193">
      <c r="A57" s="442" t="s">
        <v>401</v>
      </c>
      <c r="B57" s="144"/>
      <c r="C57" s="200"/>
      <c r="D57" s="201"/>
      <c r="E57" s="461">
        <f t="shared" si="0"/>
        <v>0</v>
      </c>
      <c r="F57" s="462">
        <f t="shared" si="77"/>
        <v>0</v>
      </c>
      <c r="G57" s="202" t="str">
        <f t="shared" si="125"/>
        <v/>
      </c>
      <c r="H57" s="471">
        <f t="shared" si="58"/>
        <v>0</v>
      </c>
      <c r="I57" s="472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6">
        <f t="shared" si="11"/>
        <v>0</v>
      </c>
      <c r="AY57" s="217">
        <f t="shared" si="12"/>
        <v>0</v>
      </c>
      <c r="AZ57" s="148" t="s">
        <v>402</v>
      </c>
      <c r="BA57" s="112"/>
      <c r="BB57" s="129"/>
      <c r="BC57" s="115"/>
      <c r="BD57" s="218">
        <f t="shared" si="13"/>
        <v>0</v>
      </c>
      <c r="BE57" s="220">
        <f t="shared" si="14"/>
        <v>0</v>
      </c>
      <c r="BF57" s="149" t="s">
        <v>403</v>
      </c>
      <c r="BG57" s="112"/>
      <c r="BH57" s="115"/>
      <c r="BI57" s="221">
        <f t="shared" si="15"/>
        <v>0</v>
      </c>
      <c r="BJ57" s="222">
        <f t="shared" si="16"/>
        <v>0</v>
      </c>
      <c r="DE57" s="117">
        <f t="shared" si="78"/>
        <v>3378.869486102938</v>
      </c>
      <c r="DF57" s="118">
        <f t="shared" si="79"/>
        <v>0</v>
      </c>
      <c r="DG57" s="118">
        <f t="shared" si="80"/>
        <v>0</v>
      </c>
      <c r="DH57" s="118">
        <f t="shared" si="81"/>
        <v>0</v>
      </c>
      <c r="DI57" s="118">
        <f t="shared" si="82"/>
        <v>0</v>
      </c>
      <c r="DJ57" s="118">
        <f t="shared" si="83"/>
        <v>0</v>
      </c>
      <c r="DK57" s="118">
        <f t="shared" si="84"/>
        <v>0</v>
      </c>
      <c r="DL57" s="118">
        <f t="shared" si="85"/>
        <v>0</v>
      </c>
      <c r="DM57" s="118">
        <f t="shared" si="86"/>
        <v>0</v>
      </c>
      <c r="DN57" s="118">
        <f t="shared" si="87"/>
        <v>0</v>
      </c>
      <c r="DO57" s="118">
        <f t="shared" si="88"/>
        <v>0</v>
      </c>
      <c r="DP57" s="118">
        <f t="shared" si="89"/>
        <v>0</v>
      </c>
      <c r="DQ57" s="118">
        <f t="shared" si="90"/>
        <v>0</v>
      </c>
      <c r="DR57" s="118">
        <f t="shared" si="91"/>
        <v>0</v>
      </c>
      <c r="DS57" s="118">
        <f t="shared" si="92"/>
        <v>0</v>
      </c>
      <c r="DT57" s="118">
        <f t="shared" si="93"/>
        <v>0</v>
      </c>
      <c r="DU57" s="118">
        <f t="shared" si="94"/>
        <v>0</v>
      </c>
      <c r="DV57" s="118">
        <f t="shared" si="95"/>
        <v>0</v>
      </c>
      <c r="DW57" s="118">
        <f t="shared" si="96"/>
        <v>0</v>
      </c>
      <c r="DX57" s="118">
        <f t="shared" si="97"/>
        <v>0</v>
      </c>
      <c r="DY57" s="118">
        <f t="shared" si="98"/>
        <v>0</v>
      </c>
      <c r="DZ57" s="118">
        <f t="shared" si="99"/>
        <v>0</v>
      </c>
      <c r="EA57" s="118">
        <f t="shared" si="100"/>
        <v>0</v>
      </c>
      <c r="EB57" s="118">
        <f t="shared" si="101"/>
        <v>0</v>
      </c>
      <c r="EC57" s="118">
        <f t="shared" si="102"/>
        <v>0</v>
      </c>
      <c r="ED57" s="118">
        <f t="shared" si="103"/>
        <v>0</v>
      </c>
      <c r="EE57" s="118">
        <f t="shared" si="104"/>
        <v>0</v>
      </c>
      <c r="EF57" s="118">
        <f t="shared" si="105"/>
        <v>0</v>
      </c>
      <c r="EG57" s="118">
        <f t="shared" si="106"/>
        <v>0</v>
      </c>
      <c r="EH57" s="118">
        <f t="shared" si="107"/>
        <v>0</v>
      </c>
      <c r="EI57" s="118">
        <f t="shared" si="108"/>
        <v>0</v>
      </c>
      <c r="EJ57" s="118">
        <f t="shared" si="109"/>
        <v>0</v>
      </c>
      <c r="EK57" s="118">
        <f t="shared" si="110"/>
        <v>0</v>
      </c>
      <c r="EL57" s="118">
        <f t="shared" si="111"/>
        <v>0</v>
      </c>
      <c r="EM57" s="118">
        <f t="shared" si="112"/>
        <v>0</v>
      </c>
      <c r="EN57" s="118">
        <f t="shared" si="113"/>
        <v>0</v>
      </c>
      <c r="EO57" s="118">
        <f t="shared" si="114"/>
        <v>0</v>
      </c>
      <c r="EP57" s="118">
        <f t="shared" si="115"/>
        <v>0</v>
      </c>
      <c r="EQ57" s="118">
        <f t="shared" si="116"/>
        <v>0</v>
      </c>
      <c r="ER57" s="118">
        <f t="shared" si="117"/>
        <v>0</v>
      </c>
      <c r="ES57" s="119"/>
      <c r="ET57" s="143">
        <f t="shared" si="118"/>
        <v>0</v>
      </c>
      <c r="EU57" s="72"/>
      <c r="EV57" s="117">
        <f t="shared" si="119"/>
        <v>3378.869486102938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20"/>
        <v>0</v>
      </c>
      <c r="GG57" s="118">
        <f t="shared" si="121"/>
        <v>0</v>
      </c>
      <c r="GH57" s="118">
        <f t="shared" si="122"/>
        <v>0</v>
      </c>
      <c r="GI57" s="118">
        <f t="shared" si="123"/>
        <v>0</v>
      </c>
      <c r="GJ57" s="119"/>
      <c r="GK57" s="143">
        <f t="shared" ca="1" si="124"/>
        <v>0</v>
      </c>
    </row>
    <row r="58" spans="1:193">
      <c r="A58" s="442" t="s">
        <v>401</v>
      </c>
      <c r="B58" s="144"/>
      <c r="C58" s="200"/>
      <c r="D58" s="201"/>
      <c r="E58" s="461">
        <f t="shared" si="0"/>
        <v>0</v>
      </c>
      <c r="F58" s="462">
        <f t="shared" si="77"/>
        <v>0</v>
      </c>
      <c r="G58" s="202" t="str">
        <f t="shared" si="125"/>
        <v/>
      </c>
      <c r="H58" s="471">
        <f t="shared" si="58"/>
        <v>0</v>
      </c>
      <c r="I58" s="472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6">
        <f t="shared" si="11"/>
        <v>0</v>
      </c>
      <c r="AY58" s="217">
        <f t="shared" si="12"/>
        <v>0</v>
      </c>
      <c r="AZ58" s="148" t="s">
        <v>402</v>
      </c>
      <c r="BA58" s="112"/>
      <c r="BB58" s="129"/>
      <c r="BC58" s="115"/>
      <c r="BD58" s="218">
        <f t="shared" si="13"/>
        <v>0</v>
      </c>
      <c r="BE58" s="220">
        <f t="shared" si="14"/>
        <v>0</v>
      </c>
      <c r="BF58" s="149" t="s">
        <v>403</v>
      </c>
      <c r="BG58" s="112"/>
      <c r="BH58" s="115"/>
      <c r="BI58" s="221">
        <f t="shared" si="15"/>
        <v>0</v>
      </c>
      <c r="BJ58" s="222">
        <f t="shared" si="16"/>
        <v>0</v>
      </c>
      <c r="DE58" s="117">
        <f t="shared" si="78"/>
        <v>3480.2355706860262</v>
      </c>
      <c r="DF58" s="118">
        <f t="shared" si="79"/>
        <v>0</v>
      </c>
      <c r="DG58" s="118">
        <f t="shared" si="80"/>
        <v>0</v>
      </c>
      <c r="DH58" s="118">
        <f t="shared" si="81"/>
        <v>0</v>
      </c>
      <c r="DI58" s="118">
        <f t="shared" si="82"/>
        <v>0</v>
      </c>
      <c r="DJ58" s="118">
        <f t="shared" si="83"/>
        <v>0</v>
      </c>
      <c r="DK58" s="118">
        <f t="shared" si="84"/>
        <v>0</v>
      </c>
      <c r="DL58" s="118">
        <f t="shared" si="85"/>
        <v>0</v>
      </c>
      <c r="DM58" s="118">
        <f t="shared" si="86"/>
        <v>0</v>
      </c>
      <c r="DN58" s="118">
        <f t="shared" si="87"/>
        <v>0</v>
      </c>
      <c r="DO58" s="118">
        <f t="shared" si="88"/>
        <v>0</v>
      </c>
      <c r="DP58" s="118">
        <f t="shared" si="89"/>
        <v>0</v>
      </c>
      <c r="DQ58" s="118">
        <f t="shared" si="90"/>
        <v>0</v>
      </c>
      <c r="DR58" s="118">
        <f t="shared" si="91"/>
        <v>0</v>
      </c>
      <c r="DS58" s="118">
        <f t="shared" si="92"/>
        <v>0</v>
      </c>
      <c r="DT58" s="118">
        <f t="shared" si="93"/>
        <v>0</v>
      </c>
      <c r="DU58" s="118">
        <f t="shared" si="94"/>
        <v>0</v>
      </c>
      <c r="DV58" s="118">
        <f t="shared" si="95"/>
        <v>0</v>
      </c>
      <c r="DW58" s="118">
        <f t="shared" si="96"/>
        <v>0</v>
      </c>
      <c r="DX58" s="118">
        <f t="shared" si="97"/>
        <v>0</v>
      </c>
      <c r="DY58" s="118">
        <f t="shared" si="98"/>
        <v>0</v>
      </c>
      <c r="DZ58" s="118">
        <f t="shared" si="99"/>
        <v>0</v>
      </c>
      <c r="EA58" s="118">
        <f t="shared" si="100"/>
        <v>0</v>
      </c>
      <c r="EB58" s="118">
        <f t="shared" si="101"/>
        <v>0</v>
      </c>
      <c r="EC58" s="118">
        <f t="shared" si="102"/>
        <v>0</v>
      </c>
      <c r="ED58" s="118">
        <f t="shared" si="103"/>
        <v>0</v>
      </c>
      <c r="EE58" s="118">
        <f t="shared" si="104"/>
        <v>0</v>
      </c>
      <c r="EF58" s="118">
        <f t="shared" si="105"/>
        <v>0</v>
      </c>
      <c r="EG58" s="118">
        <f t="shared" si="106"/>
        <v>0</v>
      </c>
      <c r="EH58" s="118">
        <f t="shared" si="107"/>
        <v>0</v>
      </c>
      <c r="EI58" s="118">
        <f t="shared" si="108"/>
        <v>0</v>
      </c>
      <c r="EJ58" s="118">
        <f t="shared" si="109"/>
        <v>0</v>
      </c>
      <c r="EK58" s="118">
        <f t="shared" si="110"/>
        <v>0</v>
      </c>
      <c r="EL58" s="118">
        <f t="shared" si="111"/>
        <v>0</v>
      </c>
      <c r="EM58" s="118">
        <f t="shared" si="112"/>
        <v>0</v>
      </c>
      <c r="EN58" s="118">
        <f t="shared" si="113"/>
        <v>0</v>
      </c>
      <c r="EO58" s="118">
        <f t="shared" si="114"/>
        <v>0</v>
      </c>
      <c r="EP58" s="118">
        <f t="shared" si="115"/>
        <v>0</v>
      </c>
      <c r="EQ58" s="118">
        <f t="shared" si="116"/>
        <v>0</v>
      </c>
      <c r="ER58" s="118">
        <f t="shared" si="117"/>
        <v>0</v>
      </c>
      <c r="ES58" s="119"/>
      <c r="ET58" s="143">
        <f t="shared" si="118"/>
        <v>0</v>
      </c>
      <c r="EU58" s="72"/>
      <c r="EV58" s="117">
        <f t="shared" si="119"/>
        <v>3480.2355706860262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20"/>
        <v>0</v>
      </c>
      <c r="GG58" s="118">
        <f t="shared" si="121"/>
        <v>0</v>
      </c>
      <c r="GH58" s="118">
        <f t="shared" si="122"/>
        <v>0</v>
      </c>
      <c r="GI58" s="118">
        <f t="shared" si="123"/>
        <v>0</v>
      </c>
      <c r="GJ58" s="119"/>
      <c r="GK58" s="143">
        <f t="shared" ca="1" si="124"/>
        <v>0</v>
      </c>
    </row>
    <row r="59" spans="1:193">
      <c r="A59" s="442" t="s">
        <v>401</v>
      </c>
      <c r="B59" s="144"/>
      <c r="C59" s="200"/>
      <c r="D59" s="201"/>
      <c r="E59" s="461">
        <f t="shared" si="0"/>
        <v>0</v>
      </c>
      <c r="F59" s="462">
        <f t="shared" si="77"/>
        <v>0</v>
      </c>
      <c r="G59" s="202" t="str">
        <f t="shared" si="125"/>
        <v/>
      </c>
      <c r="H59" s="471">
        <f t="shared" si="58"/>
        <v>0</v>
      </c>
      <c r="I59" s="472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6">
        <f t="shared" si="11"/>
        <v>0</v>
      </c>
      <c r="AY59" s="217">
        <f t="shared" si="12"/>
        <v>0</v>
      </c>
      <c r="AZ59" s="148" t="s">
        <v>402</v>
      </c>
      <c r="BA59" s="112"/>
      <c r="BB59" s="129"/>
      <c r="BC59" s="115"/>
      <c r="BD59" s="218">
        <f t="shared" si="13"/>
        <v>0</v>
      </c>
      <c r="BE59" s="220">
        <f t="shared" si="14"/>
        <v>0</v>
      </c>
      <c r="BF59" s="149" t="s">
        <v>403</v>
      </c>
      <c r="BG59" s="112"/>
      <c r="BH59" s="115"/>
      <c r="BI59" s="221">
        <f t="shared" si="15"/>
        <v>0</v>
      </c>
      <c r="BJ59" s="222">
        <f t="shared" si="16"/>
        <v>0</v>
      </c>
      <c r="DE59" s="117">
        <f t="shared" si="78"/>
        <v>3584.6426378066071</v>
      </c>
      <c r="DF59" s="118">
        <f t="shared" si="79"/>
        <v>0</v>
      </c>
      <c r="DG59" s="118">
        <f t="shared" si="80"/>
        <v>0</v>
      </c>
      <c r="DH59" s="118">
        <f t="shared" si="81"/>
        <v>0</v>
      </c>
      <c r="DI59" s="118">
        <f t="shared" si="82"/>
        <v>0</v>
      </c>
      <c r="DJ59" s="118">
        <f t="shared" si="83"/>
        <v>0</v>
      </c>
      <c r="DK59" s="118">
        <f t="shared" si="84"/>
        <v>0</v>
      </c>
      <c r="DL59" s="118">
        <f t="shared" si="85"/>
        <v>0</v>
      </c>
      <c r="DM59" s="118">
        <f t="shared" si="86"/>
        <v>0</v>
      </c>
      <c r="DN59" s="118">
        <f t="shared" si="87"/>
        <v>0</v>
      </c>
      <c r="DO59" s="118">
        <f t="shared" si="88"/>
        <v>0</v>
      </c>
      <c r="DP59" s="118">
        <f t="shared" si="89"/>
        <v>0</v>
      </c>
      <c r="DQ59" s="118">
        <f t="shared" si="90"/>
        <v>0</v>
      </c>
      <c r="DR59" s="118">
        <f t="shared" si="91"/>
        <v>0</v>
      </c>
      <c r="DS59" s="118">
        <f t="shared" si="92"/>
        <v>0</v>
      </c>
      <c r="DT59" s="118">
        <f t="shared" si="93"/>
        <v>0</v>
      </c>
      <c r="DU59" s="118">
        <f t="shared" si="94"/>
        <v>0</v>
      </c>
      <c r="DV59" s="118">
        <f t="shared" si="95"/>
        <v>0</v>
      </c>
      <c r="DW59" s="118">
        <f t="shared" si="96"/>
        <v>0</v>
      </c>
      <c r="DX59" s="118">
        <f t="shared" si="97"/>
        <v>0</v>
      </c>
      <c r="DY59" s="118">
        <f t="shared" si="98"/>
        <v>0</v>
      </c>
      <c r="DZ59" s="118">
        <f t="shared" si="99"/>
        <v>0</v>
      </c>
      <c r="EA59" s="118">
        <f t="shared" si="100"/>
        <v>0</v>
      </c>
      <c r="EB59" s="118">
        <f t="shared" si="101"/>
        <v>0</v>
      </c>
      <c r="EC59" s="118">
        <f t="shared" si="102"/>
        <v>0</v>
      </c>
      <c r="ED59" s="118">
        <f t="shared" si="103"/>
        <v>0</v>
      </c>
      <c r="EE59" s="118">
        <f t="shared" si="104"/>
        <v>0</v>
      </c>
      <c r="EF59" s="118">
        <f t="shared" si="105"/>
        <v>0</v>
      </c>
      <c r="EG59" s="118">
        <f t="shared" si="106"/>
        <v>0</v>
      </c>
      <c r="EH59" s="118">
        <f t="shared" si="107"/>
        <v>0</v>
      </c>
      <c r="EI59" s="118">
        <f t="shared" si="108"/>
        <v>0</v>
      </c>
      <c r="EJ59" s="118">
        <f t="shared" si="109"/>
        <v>0</v>
      </c>
      <c r="EK59" s="118">
        <f t="shared" si="110"/>
        <v>0</v>
      </c>
      <c r="EL59" s="118">
        <f t="shared" si="111"/>
        <v>0</v>
      </c>
      <c r="EM59" s="118">
        <f t="shared" si="112"/>
        <v>0</v>
      </c>
      <c r="EN59" s="118">
        <f t="shared" si="113"/>
        <v>0</v>
      </c>
      <c r="EO59" s="118">
        <f t="shared" si="114"/>
        <v>0</v>
      </c>
      <c r="EP59" s="118">
        <f t="shared" si="115"/>
        <v>0</v>
      </c>
      <c r="EQ59" s="118">
        <f t="shared" si="116"/>
        <v>0</v>
      </c>
      <c r="ER59" s="118">
        <f t="shared" si="117"/>
        <v>0</v>
      </c>
      <c r="ES59" s="119"/>
      <c r="ET59" s="143">
        <f t="shared" si="118"/>
        <v>0</v>
      </c>
      <c r="EU59" s="72"/>
      <c r="EV59" s="117">
        <f t="shared" si="119"/>
        <v>3584.6426378066071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20"/>
        <v>0</v>
      </c>
      <c r="GG59" s="118">
        <f t="shared" si="121"/>
        <v>0</v>
      </c>
      <c r="GH59" s="118">
        <f t="shared" si="122"/>
        <v>0</v>
      </c>
      <c r="GI59" s="118">
        <f t="shared" si="123"/>
        <v>0</v>
      </c>
      <c r="GJ59" s="119"/>
      <c r="GK59" s="143">
        <f t="shared" ca="1" si="124"/>
        <v>0</v>
      </c>
    </row>
    <row r="60" spans="1:193">
      <c r="A60" s="442" t="s">
        <v>401</v>
      </c>
      <c r="B60" s="144"/>
      <c r="C60" s="200"/>
      <c r="D60" s="201"/>
      <c r="E60" s="461">
        <f t="shared" si="0"/>
        <v>0</v>
      </c>
      <c r="F60" s="462">
        <f t="shared" si="77"/>
        <v>0</v>
      </c>
      <c r="G60" s="202" t="str">
        <f t="shared" si="125"/>
        <v/>
      </c>
      <c r="H60" s="471">
        <f t="shared" si="58"/>
        <v>0</v>
      </c>
      <c r="I60" s="472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6">
        <f t="shared" si="11"/>
        <v>0</v>
      </c>
      <c r="AY60" s="217">
        <f t="shared" si="12"/>
        <v>0</v>
      </c>
      <c r="AZ60" s="148" t="s">
        <v>402</v>
      </c>
      <c r="BA60" s="112"/>
      <c r="BB60" s="129"/>
      <c r="BC60" s="115"/>
      <c r="BD60" s="218">
        <f t="shared" si="13"/>
        <v>0</v>
      </c>
      <c r="BE60" s="220">
        <f t="shared" si="14"/>
        <v>0</v>
      </c>
      <c r="BF60" s="149" t="s">
        <v>403</v>
      </c>
      <c r="BG60" s="112"/>
      <c r="BH60" s="115"/>
      <c r="BI60" s="221">
        <f t="shared" si="15"/>
        <v>0</v>
      </c>
      <c r="BJ60" s="222">
        <f t="shared" si="16"/>
        <v>0</v>
      </c>
      <c r="DE60" s="117">
        <f t="shared" si="78"/>
        <v>3692.1819169408054</v>
      </c>
      <c r="DF60" s="118">
        <f t="shared" si="79"/>
        <v>0</v>
      </c>
      <c r="DG60" s="118">
        <f t="shared" si="80"/>
        <v>0</v>
      </c>
      <c r="DH60" s="118">
        <f t="shared" si="81"/>
        <v>0</v>
      </c>
      <c r="DI60" s="118">
        <f t="shared" si="82"/>
        <v>0</v>
      </c>
      <c r="DJ60" s="118">
        <f t="shared" si="83"/>
        <v>0</v>
      </c>
      <c r="DK60" s="118">
        <f t="shared" si="84"/>
        <v>0</v>
      </c>
      <c r="DL60" s="118">
        <f t="shared" si="85"/>
        <v>0</v>
      </c>
      <c r="DM60" s="118">
        <f t="shared" si="86"/>
        <v>0</v>
      </c>
      <c r="DN60" s="118">
        <f t="shared" si="87"/>
        <v>0</v>
      </c>
      <c r="DO60" s="118">
        <f t="shared" si="88"/>
        <v>0</v>
      </c>
      <c r="DP60" s="118">
        <f t="shared" si="89"/>
        <v>0</v>
      </c>
      <c r="DQ60" s="118">
        <f t="shared" si="90"/>
        <v>0</v>
      </c>
      <c r="DR60" s="118">
        <f t="shared" si="91"/>
        <v>0</v>
      </c>
      <c r="DS60" s="118">
        <f t="shared" si="92"/>
        <v>0</v>
      </c>
      <c r="DT60" s="118">
        <f t="shared" si="93"/>
        <v>0</v>
      </c>
      <c r="DU60" s="118">
        <f t="shared" si="94"/>
        <v>0</v>
      </c>
      <c r="DV60" s="118">
        <f t="shared" si="95"/>
        <v>0</v>
      </c>
      <c r="DW60" s="118">
        <f t="shared" si="96"/>
        <v>0</v>
      </c>
      <c r="DX60" s="118">
        <f t="shared" si="97"/>
        <v>0</v>
      </c>
      <c r="DY60" s="118">
        <f t="shared" si="98"/>
        <v>0</v>
      </c>
      <c r="DZ60" s="118">
        <f t="shared" si="99"/>
        <v>0</v>
      </c>
      <c r="EA60" s="118">
        <f t="shared" si="100"/>
        <v>0</v>
      </c>
      <c r="EB60" s="118">
        <f t="shared" si="101"/>
        <v>0</v>
      </c>
      <c r="EC60" s="118">
        <f t="shared" si="102"/>
        <v>0</v>
      </c>
      <c r="ED60" s="118">
        <f t="shared" si="103"/>
        <v>0</v>
      </c>
      <c r="EE60" s="118">
        <f t="shared" si="104"/>
        <v>0</v>
      </c>
      <c r="EF60" s="118">
        <f t="shared" si="105"/>
        <v>0</v>
      </c>
      <c r="EG60" s="118">
        <f t="shared" si="106"/>
        <v>0</v>
      </c>
      <c r="EH60" s="118">
        <f t="shared" si="107"/>
        <v>0</v>
      </c>
      <c r="EI60" s="118">
        <f t="shared" si="108"/>
        <v>0</v>
      </c>
      <c r="EJ60" s="118">
        <f t="shared" si="109"/>
        <v>0</v>
      </c>
      <c r="EK60" s="118">
        <f t="shared" si="110"/>
        <v>0</v>
      </c>
      <c r="EL60" s="118">
        <f t="shared" si="111"/>
        <v>0</v>
      </c>
      <c r="EM60" s="118">
        <f t="shared" si="112"/>
        <v>0</v>
      </c>
      <c r="EN60" s="118">
        <f t="shared" si="113"/>
        <v>0</v>
      </c>
      <c r="EO60" s="118">
        <f t="shared" si="114"/>
        <v>0</v>
      </c>
      <c r="EP60" s="118">
        <f t="shared" si="115"/>
        <v>0</v>
      </c>
      <c r="EQ60" s="118">
        <f t="shared" si="116"/>
        <v>0</v>
      </c>
      <c r="ER60" s="118">
        <f t="shared" si="117"/>
        <v>0</v>
      </c>
      <c r="ES60" s="119"/>
      <c r="ET60" s="143">
        <f t="shared" si="118"/>
        <v>0</v>
      </c>
      <c r="EU60" s="72"/>
      <c r="EV60" s="117">
        <f t="shared" si="119"/>
        <v>3692.1819169408054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20"/>
        <v>0</v>
      </c>
      <c r="GG60" s="118">
        <f t="shared" si="121"/>
        <v>0</v>
      </c>
      <c r="GH60" s="118">
        <f t="shared" si="122"/>
        <v>0</v>
      </c>
      <c r="GI60" s="118">
        <f t="shared" si="123"/>
        <v>0</v>
      </c>
      <c r="GJ60" s="119"/>
      <c r="GK60" s="143">
        <f t="shared" ca="1" si="124"/>
        <v>0</v>
      </c>
    </row>
    <row r="61" spans="1:193">
      <c r="A61" s="442" t="s">
        <v>401</v>
      </c>
      <c r="B61" s="144"/>
      <c r="C61" s="200"/>
      <c r="D61" s="201"/>
      <c r="E61" s="461">
        <f t="shared" si="0"/>
        <v>0</v>
      </c>
      <c r="F61" s="462">
        <f t="shared" si="77"/>
        <v>0</v>
      </c>
      <c r="G61" s="202" t="str">
        <f t="shared" si="125"/>
        <v/>
      </c>
      <c r="H61" s="471">
        <f t="shared" si="58"/>
        <v>0</v>
      </c>
      <c r="I61" s="472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6">
        <f t="shared" si="11"/>
        <v>0</v>
      </c>
      <c r="AY61" s="217">
        <f t="shared" si="12"/>
        <v>0</v>
      </c>
      <c r="AZ61" s="148" t="s">
        <v>402</v>
      </c>
      <c r="BA61" s="112"/>
      <c r="BB61" s="129"/>
      <c r="BC61" s="115"/>
      <c r="BD61" s="218">
        <f t="shared" si="13"/>
        <v>0</v>
      </c>
      <c r="BE61" s="220">
        <f t="shared" si="14"/>
        <v>0</v>
      </c>
      <c r="BF61" s="149" t="s">
        <v>403</v>
      </c>
      <c r="BG61" s="112"/>
      <c r="BH61" s="115"/>
      <c r="BI61" s="221">
        <f t="shared" si="15"/>
        <v>0</v>
      </c>
      <c r="BJ61" s="222">
        <f t="shared" si="16"/>
        <v>0</v>
      </c>
      <c r="DE61" s="117">
        <f t="shared" si="78"/>
        <v>3802.9473744490297</v>
      </c>
      <c r="DF61" s="118">
        <f t="shared" si="79"/>
        <v>0</v>
      </c>
      <c r="DG61" s="118">
        <f t="shared" si="80"/>
        <v>0</v>
      </c>
      <c r="DH61" s="118">
        <f t="shared" si="81"/>
        <v>0</v>
      </c>
      <c r="DI61" s="118">
        <f t="shared" si="82"/>
        <v>0</v>
      </c>
      <c r="DJ61" s="118">
        <f t="shared" si="83"/>
        <v>0</v>
      </c>
      <c r="DK61" s="118">
        <f t="shared" si="84"/>
        <v>0</v>
      </c>
      <c r="DL61" s="118">
        <f t="shared" si="85"/>
        <v>0</v>
      </c>
      <c r="DM61" s="118">
        <f t="shared" si="86"/>
        <v>0</v>
      </c>
      <c r="DN61" s="118">
        <f t="shared" si="87"/>
        <v>0</v>
      </c>
      <c r="DO61" s="118">
        <f t="shared" si="88"/>
        <v>0</v>
      </c>
      <c r="DP61" s="118">
        <f t="shared" si="89"/>
        <v>0</v>
      </c>
      <c r="DQ61" s="118">
        <f t="shared" si="90"/>
        <v>0</v>
      </c>
      <c r="DR61" s="118">
        <f t="shared" si="91"/>
        <v>0</v>
      </c>
      <c r="DS61" s="118">
        <f t="shared" si="92"/>
        <v>0</v>
      </c>
      <c r="DT61" s="118">
        <f t="shared" si="93"/>
        <v>0</v>
      </c>
      <c r="DU61" s="118">
        <f t="shared" si="94"/>
        <v>0</v>
      </c>
      <c r="DV61" s="118">
        <f t="shared" si="95"/>
        <v>0</v>
      </c>
      <c r="DW61" s="118">
        <f t="shared" si="96"/>
        <v>0</v>
      </c>
      <c r="DX61" s="118">
        <f t="shared" si="97"/>
        <v>0</v>
      </c>
      <c r="DY61" s="118">
        <f t="shared" si="98"/>
        <v>0</v>
      </c>
      <c r="DZ61" s="118">
        <f t="shared" si="99"/>
        <v>0</v>
      </c>
      <c r="EA61" s="118">
        <f t="shared" si="100"/>
        <v>0</v>
      </c>
      <c r="EB61" s="118">
        <f t="shared" si="101"/>
        <v>0</v>
      </c>
      <c r="EC61" s="118">
        <f t="shared" si="102"/>
        <v>0</v>
      </c>
      <c r="ED61" s="118">
        <f t="shared" si="103"/>
        <v>0</v>
      </c>
      <c r="EE61" s="118">
        <f t="shared" si="104"/>
        <v>0</v>
      </c>
      <c r="EF61" s="118">
        <f t="shared" si="105"/>
        <v>0</v>
      </c>
      <c r="EG61" s="118">
        <f t="shared" si="106"/>
        <v>0</v>
      </c>
      <c r="EH61" s="118">
        <f t="shared" si="107"/>
        <v>0</v>
      </c>
      <c r="EI61" s="118">
        <f t="shared" si="108"/>
        <v>0</v>
      </c>
      <c r="EJ61" s="118">
        <f t="shared" si="109"/>
        <v>0</v>
      </c>
      <c r="EK61" s="118">
        <f t="shared" si="110"/>
        <v>0</v>
      </c>
      <c r="EL61" s="118">
        <f t="shared" si="111"/>
        <v>0</v>
      </c>
      <c r="EM61" s="118">
        <f t="shared" si="112"/>
        <v>0</v>
      </c>
      <c r="EN61" s="118">
        <f t="shared" si="113"/>
        <v>0</v>
      </c>
      <c r="EO61" s="118">
        <f t="shared" si="114"/>
        <v>0</v>
      </c>
      <c r="EP61" s="118">
        <f t="shared" si="115"/>
        <v>0</v>
      </c>
      <c r="EQ61" s="118">
        <f t="shared" si="116"/>
        <v>0</v>
      </c>
      <c r="ER61" s="118">
        <f t="shared" si="117"/>
        <v>0</v>
      </c>
      <c r="ES61" s="119"/>
      <c r="ET61" s="143">
        <f t="shared" si="118"/>
        <v>0</v>
      </c>
      <c r="EU61" s="72"/>
      <c r="EV61" s="117">
        <f t="shared" si="119"/>
        <v>3802.9473744490297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20"/>
        <v>0</v>
      </c>
      <c r="GG61" s="118">
        <f t="shared" si="121"/>
        <v>0</v>
      </c>
      <c r="GH61" s="118">
        <f t="shared" si="122"/>
        <v>0</v>
      </c>
      <c r="GI61" s="118">
        <f t="shared" si="123"/>
        <v>0</v>
      </c>
      <c r="GJ61" s="119"/>
      <c r="GK61" s="143">
        <f t="shared" ca="1" si="124"/>
        <v>0</v>
      </c>
    </row>
    <row r="62" spans="1:193">
      <c r="A62" s="442" t="s">
        <v>401</v>
      </c>
      <c r="B62" s="144"/>
      <c r="C62" s="200"/>
      <c r="D62" s="201"/>
      <c r="E62" s="461">
        <f t="shared" si="0"/>
        <v>0</v>
      </c>
      <c r="F62" s="462">
        <f t="shared" si="77"/>
        <v>0</v>
      </c>
      <c r="G62" s="202" t="str">
        <f t="shared" si="125"/>
        <v/>
      </c>
      <c r="H62" s="471">
        <f t="shared" si="58"/>
        <v>0</v>
      </c>
      <c r="I62" s="472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6">
        <f t="shared" si="11"/>
        <v>0</v>
      </c>
      <c r="AY62" s="217">
        <f t="shared" si="12"/>
        <v>0</v>
      </c>
      <c r="AZ62" s="148" t="s">
        <v>402</v>
      </c>
      <c r="BA62" s="112"/>
      <c r="BB62" s="129"/>
      <c r="BC62" s="115"/>
      <c r="BD62" s="218">
        <f t="shared" si="13"/>
        <v>0</v>
      </c>
      <c r="BE62" s="220">
        <f t="shared" si="14"/>
        <v>0</v>
      </c>
      <c r="BF62" s="149" t="s">
        <v>403</v>
      </c>
      <c r="BG62" s="112"/>
      <c r="BH62" s="115"/>
      <c r="BI62" s="221">
        <f t="shared" si="15"/>
        <v>0</v>
      </c>
      <c r="BJ62" s="222">
        <f t="shared" si="16"/>
        <v>0</v>
      </c>
      <c r="DE62" s="117">
        <f t="shared" si="78"/>
        <v>3917.0357956825005</v>
      </c>
      <c r="DF62" s="118">
        <f t="shared" si="79"/>
        <v>0</v>
      </c>
      <c r="DG62" s="118">
        <f t="shared" si="80"/>
        <v>0</v>
      </c>
      <c r="DH62" s="118">
        <f t="shared" si="81"/>
        <v>0</v>
      </c>
      <c r="DI62" s="118">
        <f t="shared" si="82"/>
        <v>0</v>
      </c>
      <c r="DJ62" s="118">
        <f t="shared" si="83"/>
        <v>0</v>
      </c>
      <c r="DK62" s="118">
        <f t="shared" si="84"/>
        <v>0</v>
      </c>
      <c r="DL62" s="118">
        <f t="shared" si="85"/>
        <v>0</v>
      </c>
      <c r="DM62" s="118">
        <f t="shared" si="86"/>
        <v>0</v>
      </c>
      <c r="DN62" s="118">
        <f t="shared" si="87"/>
        <v>0</v>
      </c>
      <c r="DO62" s="118">
        <f t="shared" si="88"/>
        <v>0</v>
      </c>
      <c r="DP62" s="118">
        <f t="shared" si="89"/>
        <v>0</v>
      </c>
      <c r="DQ62" s="118">
        <f t="shared" si="90"/>
        <v>0</v>
      </c>
      <c r="DR62" s="118">
        <f t="shared" si="91"/>
        <v>0</v>
      </c>
      <c r="DS62" s="118">
        <f t="shared" si="92"/>
        <v>0</v>
      </c>
      <c r="DT62" s="118">
        <f t="shared" si="93"/>
        <v>0</v>
      </c>
      <c r="DU62" s="118">
        <f t="shared" si="94"/>
        <v>0</v>
      </c>
      <c r="DV62" s="118">
        <f t="shared" si="95"/>
        <v>0</v>
      </c>
      <c r="DW62" s="118">
        <f t="shared" si="96"/>
        <v>0</v>
      </c>
      <c r="DX62" s="118">
        <f t="shared" si="97"/>
        <v>0</v>
      </c>
      <c r="DY62" s="118">
        <f t="shared" si="98"/>
        <v>0</v>
      </c>
      <c r="DZ62" s="118">
        <f t="shared" si="99"/>
        <v>0</v>
      </c>
      <c r="EA62" s="118">
        <f t="shared" si="100"/>
        <v>0</v>
      </c>
      <c r="EB62" s="118">
        <f t="shared" si="101"/>
        <v>0</v>
      </c>
      <c r="EC62" s="118">
        <f t="shared" si="102"/>
        <v>0</v>
      </c>
      <c r="ED62" s="118">
        <f t="shared" si="103"/>
        <v>0</v>
      </c>
      <c r="EE62" s="118">
        <f t="shared" si="104"/>
        <v>0</v>
      </c>
      <c r="EF62" s="118">
        <f t="shared" si="105"/>
        <v>0</v>
      </c>
      <c r="EG62" s="118">
        <f t="shared" si="106"/>
        <v>0</v>
      </c>
      <c r="EH62" s="118">
        <f t="shared" si="107"/>
        <v>0</v>
      </c>
      <c r="EI62" s="118">
        <f t="shared" si="108"/>
        <v>0</v>
      </c>
      <c r="EJ62" s="118">
        <f t="shared" si="109"/>
        <v>0</v>
      </c>
      <c r="EK62" s="118">
        <f t="shared" si="110"/>
        <v>0</v>
      </c>
      <c r="EL62" s="118">
        <f t="shared" si="111"/>
        <v>0</v>
      </c>
      <c r="EM62" s="118">
        <f t="shared" si="112"/>
        <v>0</v>
      </c>
      <c r="EN62" s="118">
        <f t="shared" si="113"/>
        <v>0</v>
      </c>
      <c r="EO62" s="118">
        <f t="shared" si="114"/>
        <v>0</v>
      </c>
      <c r="EP62" s="118">
        <f t="shared" si="115"/>
        <v>0</v>
      </c>
      <c r="EQ62" s="118">
        <f t="shared" si="116"/>
        <v>0</v>
      </c>
      <c r="ER62" s="118">
        <f t="shared" si="117"/>
        <v>0</v>
      </c>
      <c r="ES62" s="119"/>
      <c r="ET62" s="143">
        <f t="shared" si="118"/>
        <v>0</v>
      </c>
      <c r="EU62" s="72"/>
      <c r="EV62" s="117">
        <f t="shared" si="119"/>
        <v>3917.0357956825005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20"/>
        <v>0</v>
      </c>
      <c r="GG62" s="118">
        <f t="shared" si="121"/>
        <v>0</v>
      </c>
      <c r="GH62" s="118">
        <f t="shared" si="122"/>
        <v>0</v>
      </c>
      <c r="GI62" s="118">
        <f t="shared" si="123"/>
        <v>0</v>
      </c>
      <c r="GJ62" s="119"/>
      <c r="GK62" s="143">
        <f t="shared" ca="1" si="124"/>
        <v>0</v>
      </c>
    </row>
    <row r="63" spans="1:193">
      <c r="A63" s="442" t="s">
        <v>401</v>
      </c>
      <c r="B63" s="144"/>
      <c r="C63" s="200"/>
      <c r="D63" s="201"/>
      <c r="E63" s="461">
        <f t="shared" si="0"/>
        <v>0</v>
      </c>
      <c r="F63" s="462">
        <f t="shared" si="77"/>
        <v>0</v>
      </c>
      <c r="G63" s="202" t="str">
        <f t="shared" si="125"/>
        <v/>
      </c>
      <c r="H63" s="471">
        <f t="shared" si="58"/>
        <v>0</v>
      </c>
      <c r="I63" s="472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6">
        <f t="shared" si="11"/>
        <v>0</v>
      </c>
      <c r="AY63" s="217">
        <f t="shared" si="12"/>
        <v>0</v>
      </c>
      <c r="AZ63" s="148" t="s">
        <v>402</v>
      </c>
      <c r="BA63" s="112"/>
      <c r="BB63" s="129"/>
      <c r="BC63" s="115"/>
      <c r="BD63" s="218">
        <f t="shared" si="13"/>
        <v>0</v>
      </c>
      <c r="BE63" s="220">
        <f t="shared" si="14"/>
        <v>0</v>
      </c>
      <c r="BF63" s="149" t="s">
        <v>403</v>
      </c>
      <c r="BG63" s="112"/>
      <c r="BH63" s="115"/>
      <c r="BI63" s="221">
        <f t="shared" si="15"/>
        <v>0</v>
      </c>
      <c r="BJ63" s="222">
        <f t="shared" si="16"/>
        <v>0</v>
      </c>
      <c r="DE63" s="117">
        <f t="shared" si="78"/>
        <v>4034.5468695529757</v>
      </c>
      <c r="DF63" s="118">
        <f t="shared" si="79"/>
        <v>0</v>
      </c>
      <c r="DG63" s="118">
        <f t="shared" si="80"/>
        <v>0</v>
      </c>
      <c r="DH63" s="118">
        <f t="shared" si="81"/>
        <v>0</v>
      </c>
      <c r="DI63" s="118">
        <f t="shared" si="82"/>
        <v>0</v>
      </c>
      <c r="DJ63" s="118">
        <f t="shared" si="83"/>
        <v>0</v>
      </c>
      <c r="DK63" s="118">
        <f t="shared" si="84"/>
        <v>0</v>
      </c>
      <c r="DL63" s="118">
        <f t="shared" si="85"/>
        <v>0</v>
      </c>
      <c r="DM63" s="118">
        <f t="shared" si="86"/>
        <v>0</v>
      </c>
      <c r="DN63" s="118">
        <f t="shared" si="87"/>
        <v>0</v>
      </c>
      <c r="DO63" s="118">
        <f t="shared" si="88"/>
        <v>0</v>
      </c>
      <c r="DP63" s="118">
        <f t="shared" si="89"/>
        <v>0</v>
      </c>
      <c r="DQ63" s="118">
        <f t="shared" si="90"/>
        <v>0</v>
      </c>
      <c r="DR63" s="118">
        <f t="shared" si="91"/>
        <v>0</v>
      </c>
      <c r="DS63" s="118">
        <f t="shared" si="92"/>
        <v>0</v>
      </c>
      <c r="DT63" s="118">
        <f t="shared" si="93"/>
        <v>0</v>
      </c>
      <c r="DU63" s="118">
        <f t="shared" si="94"/>
        <v>0</v>
      </c>
      <c r="DV63" s="118">
        <f t="shared" si="95"/>
        <v>0</v>
      </c>
      <c r="DW63" s="118">
        <f t="shared" si="96"/>
        <v>0</v>
      </c>
      <c r="DX63" s="118">
        <f t="shared" si="97"/>
        <v>0</v>
      </c>
      <c r="DY63" s="118">
        <f t="shared" si="98"/>
        <v>0</v>
      </c>
      <c r="DZ63" s="118">
        <f t="shared" si="99"/>
        <v>0</v>
      </c>
      <c r="EA63" s="118">
        <f t="shared" si="100"/>
        <v>0</v>
      </c>
      <c r="EB63" s="118">
        <f t="shared" si="101"/>
        <v>0</v>
      </c>
      <c r="EC63" s="118">
        <f t="shared" si="102"/>
        <v>0</v>
      </c>
      <c r="ED63" s="118">
        <f t="shared" si="103"/>
        <v>0</v>
      </c>
      <c r="EE63" s="118">
        <f t="shared" si="104"/>
        <v>0</v>
      </c>
      <c r="EF63" s="118">
        <f t="shared" si="105"/>
        <v>0</v>
      </c>
      <c r="EG63" s="118">
        <f t="shared" si="106"/>
        <v>0</v>
      </c>
      <c r="EH63" s="118">
        <f t="shared" si="107"/>
        <v>0</v>
      </c>
      <c r="EI63" s="118">
        <f t="shared" si="108"/>
        <v>0</v>
      </c>
      <c r="EJ63" s="118">
        <f t="shared" si="109"/>
        <v>0</v>
      </c>
      <c r="EK63" s="118">
        <f t="shared" si="110"/>
        <v>0</v>
      </c>
      <c r="EL63" s="118">
        <f t="shared" si="111"/>
        <v>0</v>
      </c>
      <c r="EM63" s="118">
        <f t="shared" si="112"/>
        <v>0</v>
      </c>
      <c r="EN63" s="118">
        <f t="shared" si="113"/>
        <v>0</v>
      </c>
      <c r="EO63" s="118">
        <f t="shared" si="114"/>
        <v>0</v>
      </c>
      <c r="EP63" s="118">
        <f t="shared" si="115"/>
        <v>0</v>
      </c>
      <c r="EQ63" s="118">
        <f t="shared" si="116"/>
        <v>0</v>
      </c>
      <c r="ER63" s="118">
        <f t="shared" si="117"/>
        <v>0</v>
      </c>
      <c r="ES63" s="119"/>
      <c r="ET63" s="143">
        <f t="shared" si="118"/>
        <v>0</v>
      </c>
      <c r="EU63" s="72"/>
      <c r="EV63" s="117">
        <f t="shared" si="119"/>
        <v>4034.5468695529757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20"/>
        <v>0</v>
      </c>
      <c r="GG63" s="118">
        <f t="shared" si="121"/>
        <v>0</v>
      </c>
      <c r="GH63" s="118">
        <f t="shared" si="122"/>
        <v>0</v>
      </c>
      <c r="GI63" s="118">
        <f t="shared" si="123"/>
        <v>0</v>
      </c>
      <c r="GJ63" s="119"/>
      <c r="GK63" s="143">
        <f t="shared" ca="1" si="124"/>
        <v>0</v>
      </c>
    </row>
    <row r="64" spans="1:193">
      <c r="A64" s="442" t="s">
        <v>401</v>
      </c>
      <c r="B64" s="144"/>
      <c r="C64" s="200"/>
      <c r="D64" s="201"/>
      <c r="E64" s="461">
        <f t="shared" si="0"/>
        <v>0</v>
      </c>
      <c r="F64" s="462">
        <f t="shared" si="77"/>
        <v>0</v>
      </c>
      <c r="G64" s="202" t="str">
        <f t="shared" si="125"/>
        <v/>
      </c>
      <c r="H64" s="471">
        <f t="shared" si="58"/>
        <v>0</v>
      </c>
      <c r="I64" s="472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6">
        <f t="shared" si="11"/>
        <v>0</v>
      </c>
      <c r="AY64" s="217">
        <f t="shared" si="12"/>
        <v>0</v>
      </c>
      <c r="AZ64" s="148" t="s">
        <v>402</v>
      </c>
      <c r="BA64" s="112"/>
      <c r="BB64" s="129"/>
      <c r="BC64" s="115"/>
      <c r="BD64" s="218">
        <f t="shared" si="13"/>
        <v>0</v>
      </c>
      <c r="BE64" s="220">
        <f t="shared" si="14"/>
        <v>0</v>
      </c>
      <c r="BF64" s="149" t="s">
        <v>403</v>
      </c>
      <c r="BG64" s="112"/>
      <c r="BH64" s="115"/>
      <c r="BI64" s="221">
        <f t="shared" si="15"/>
        <v>0</v>
      </c>
      <c r="BJ64" s="222">
        <f t="shared" si="16"/>
        <v>0</v>
      </c>
      <c r="DE64" s="117">
        <f t="shared" si="78"/>
        <v>4155.5832756395648</v>
      </c>
      <c r="DF64" s="118">
        <f t="shared" si="79"/>
        <v>0</v>
      </c>
      <c r="DG64" s="118">
        <f t="shared" si="80"/>
        <v>0</v>
      </c>
      <c r="DH64" s="118">
        <f t="shared" si="81"/>
        <v>0</v>
      </c>
      <c r="DI64" s="118">
        <f t="shared" si="82"/>
        <v>0</v>
      </c>
      <c r="DJ64" s="118">
        <f t="shared" si="83"/>
        <v>0</v>
      </c>
      <c r="DK64" s="118">
        <f t="shared" si="84"/>
        <v>0</v>
      </c>
      <c r="DL64" s="118">
        <f t="shared" si="85"/>
        <v>0</v>
      </c>
      <c r="DM64" s="118">
        <f t="shared" si="86"/>
        <v>0</v>
      </c>
      <c r="DN64" s="118">
        <f t="shared" si="87"/>
        <v>0</v>
      </c>
      <c r="DO64" s="118">
        <f t="shared" si="88"/>
        <v>0</v>
      </c>
      <c r="DP64" s="118">
        <f t="shared" si="89"/>
        <v>0</v>
      </c>
      <c r="DQ64" s="118">
        <f t="shared" si="90"/>
        <v>0</v>
      </c>
      <c r="DR64" s="118">
        <f t="shared" si="91"/>
        <v>0</v>
      </c>
      <c r="DS64" s="118">
        <f t="shared" si="92"/>
        <v>0</v>
      </c>
      <c r="DT64" s="118">
        <f t="shared" si="93"/>
        <v>0</v>
      </c>
      <c r="DU64" s="118">
        <f t="shared" si="94"/>
        <v>0</v>
      </c>
      <c r="DV64" s="118">
        <f t="shared" si="95"/>
        <v>0</v>
      </c>
      <c r="DW64" s="118">
        <f t="shared" si="96"/>
        <v>0</v>
      </c>
      <c r="DX64" s="118">
        <f t="shared" si="97"/>
        <v>0</v>
      </c>
      <c r="DY64" s="118">
        <f t="shared" si="98"/>
        <v>0</v>
      </c>
      <c r="DZ64" s="118">
        <f t="shared" si="99"/>
        <v>0</v>
      </c>
      <c r="EA64" s="118">
        <f t="shared" si="100"/>
        <v>0</v>
      </c>
      <c r="EB64" s="118">
        <f t="shared" si="101"/>
        <v>0</v>
      </c>
      <c r="EC64" s="118">
        <f t="shared" si="102"/>
        <v>0</v>
      </c>
      <c r="ED64" s="118">
        <f t="shared" si="103"/>
        <v>0</v>
      </c>
      <c r="EE64" s="118">
        <f t="shared" si="104"/>
        <v>0</v>
      </c>
      <c r="EF64" s="118">
        <f t="shared" si="105"/>
        <v>0</v>
      </c>
      <c r="EG64" s="118">
        <f t="shared" si="106"/>
        <v>0</v>
      </c>
      <c r="EH64" s="118">
        <f t="shared" si="107"/>
        <v>0</v>
      </c>
      <c r="EI64" s="118">
        <f t="shared" si="108"/>
        <v>0</v>
      </c>
      <c r="EJ64" s="118">
        <f t="shared" si="109"/>
        <v>0</v>
      </c>
      <c r="EK64" s="118">
        <f t="shared" si="110"/>
        <v>0</v>
      </c>
      <c r="EL64" s="118">
        <f t="shared" si="111"/>
        <v>0</v>
      </c>
      <c r="EM64" s="118">
        <f t="shared" si="112"/>
        <v>0</v>
      </c>
      <c r="EN64" s="118">
        <f t="shared" si="113"/>
        <v>0</v>
      </c>
      <c r="EO64" s="118">
        <f t="shared" si="114"/>
        <v>0</v>
      </c>
      <c r="EP64" s="118">
        <f t="shared" si="115"/>
        <v>0</v>
      </c>
      <c r="EQ64" s="118">
        <f t="shared" si="116"/>
        <v>0</v>
      </c>
      <c r="ER64" s="118">
        <f t="shared" si="117"/>
        <v>0</v>
      </c>
      <c r="ES64" s="119"/>
      <c r="ET64" s="143">
        <f t="shared" si="118"/>
        <v>0</v>
      </c>
      <c r="EU64" s="72"/>
      <c r="EV64" s="117">
        <f t="shared" si="119"/>
        <v>4155.5832756395648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20"/>
        <v>0</v>
      </c>
      <c r="GG64" s="118">
        <f t="shared" si="121"/>
        <v>0</v>
      </c>
      <c r="GH64" s="118">
        <f t="shared" si="122"/>
        <v>0</v>
      </c>
      <c r="GI64" s="118">
        <f t="shared" si="123"/>
        <v>0</v>
      </c>
      <c r="GJ64" s="119"/>
      <c r="GK64" s="143">
        <f t="shared" ca="1" si="124"/>
        <v>0</v>
      </c>
    </row>
    <row r="65" spans="1:193">
      <c r="A65" s="442" t="s">
        <v>401</v>
      </c>
      <c r="B65" s="144"/>
      <c r="C65" s="200"/>
      <c r="D65" s="201"/>
      <c r="E65" s="461">
        <f t="shared" si="0"/>
        <v>0</v>
      </c>
      <c r="F65" s="462">
        <f t="shared" si="77"/>
        <v>0</v>
      </c>
      <c r="G65" s="202" t="str">
        <f t="shared" si="125"/>
        <v/>
      </c>
      <c r="H65" s="471">
        <f t="shared" si="58"/>
        <v>0</v>
      </c>
      <c r="I65" s="472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6">
        <f t="shared" si="11"/>
        <v>0</v>
      </c>
      <c r="AY65" s="217">
        <f t="shared" si="12"/>
        <v>0</v>
      </c>
      <c r="AZ65" s="148" t="s">
        <v>402</v>
      </c>
      <c r="BA65" s="112"/>
      <c r="BB65" s="129"/>
      <c r="BC65" s="115"/>
      <c r="BD65" s="218">
        <f t="shared" si="13"/>
        <v>0</v>
      </c>
      <c r="BE65" s="220">
        <f t="shared" si="14"/>
        <v>0</v>
      </c>
      <c r="BF65" s="149" t="s">
        <v>403</v>
      </c>
      <c r="BG65" s="112"/>
      <c r="BH65" s="115"/>
      <c r="BI65" s="221">
        <f t="shared" si="15"/>
        <v>0</v>
      </c>
      <c r="BJ65" s="222">
        <f t="shared" si="16"/>
        <v>0</v>
      </c>
      <c r="DE65" s="117">
        <f t="shared" si="78"/>
        <v>4280.2507739087523</v>
      </c>
      <c r="DF65" s="118">
        <f t="shared" si="79"/>
        <v>0</v>
      </c>
      <c r="DG65" s="118">
        <f t="shared" si="80"/>
        <v>0</v>
      </c>
      <c r="DH65" s="118">
        <f t="shared" si="81"/>
        <v>0</v>
      </c>
      <c r="DI65" s="118">
        <f t="shared" si="82"/>
        <v>0</v>
      </c>
      <c r="DJ65" s="118">
        <f t="shared" si="83"/>
        <v>0</v>
      </c>
      <c r="DK65" s="118">
        <f t="shared" si="84"/>
        <v>0</v>
      </c>
      <c r="DL65" s="118">
        <f t="shared" si="85"/>
        <v>0</v>
      </c>
      <c r="DM65" s="118">
        <f t="shared" si="86"/>
        <v>0</v>
      </c>
      <c r="DN65" s="118">
        <f t="shared" si="87"/>
        <v>0</v>
      </c>
      <c r="DO65" s="118">
        <f t="shared" si="88"/>
        <v>0</v>
      </c>
      <c r="DP65" s="118">
        <f t="shared" si="89"/>
        <v>0</v>
      </c>
      <c r="DQ65" s="118">
        <f t="shared" si="90"/>
        <v>0</v>
      </c>
      <c r="DR65" s="118">
        <f t="shared" si="91"/>
        <v>0</v>
      </c>
      <c r="DS65" s="118">
        <f t="shared" si="92"/>
        <v>0</v>
      </c>
      <c r="DT65" s="118">
        <f t="shared" si="93"/>
        <v>0</v>
      </c>
      <c r="DU65" s="118">
        <f t="shared" si="94"/>
        <v>0</v>
      </c>
      <c r="DV65" s="118">
        <f t="shared" si="95"/>
        <v>0</v>
      </c>
      <c r="DW65" s="118">
        <f t="shared" si="96"/>
        <v>0</v>
      </c>
      <c r="DX65" s="118">
        <f t="shared" si="97"/>
        <v>0</v>
      </c>
      <c r="DY65" s="118">
        <f t="shared" si="98"/>
        <v>0</v>
      </c>
      <c r="DZ65" s="118">
        <f t="shared" si="99"/>
        <v>0</v>
      </c>
      <c r="EA65" s="118">
        <f t="shared" si="100"/>
        <v>0</v>
      </c>
      <c r="EB65" s="118">
        <f t="shared" si="101"/>
        <v>0</v>
      </c>
      <c r="EC65" s="118">
        <f t="shared" si="102"/>
        <v>0</v>
      </c>
      <c r="ED65" s="118">
        <f t="shared" si="103"/>
        <v>0</v>
      </c>
      <c r="EE65" s="118">
        <f t="shared" si="104"/>
        <v>0</v>
      </c>
      <c r="EF65" s="118">
        <f t="shared" si="105"/>
        <v>0</v>
      </c>
      <c r="EG65" s="118">
        <f t="shared" si="106"/>
        <v>0</v>
      </c>
      <c r="EH65" s="118">
        <f t="shared" si="107"/>
        <v>0</v>
      </c>
      <c r="EI65" s="118">
        <f t="shared" si="108"/>
        <v>0</v>
      </c>
      <c r="EJ65" s="118">
        <f t="shared" si="109"/>
        <v>0</v>
      </c>
      <c r="EK65" s="118">
        <f t="shared" si="110"/>
        <v>0</v>
      </c>
      <c r="EL65" s="118">
        <f t="shared" si="111"/>
        <v>0</v>
      </c>
      <c r="EM65" s="118">
        <f t="shared" si="112"/>
        <v>0</v>
      </c>
      <c r="EN65" s="118">
        <f t="shared" si="113"/>
        <v>0</v>
      </c>
      <c r="EO65" s="118">
        <f t="shared" si="114"/>
        <v>0</v>
      </c>
      <c r="EP65" s="118">
        <f t="shared" si="115"/>
        <v>0</v>
      </c>
      <c r="EQ65" s="118">
        <f t="shared" si="116"/>
        <v>0</v>
      </c>
      <c r="ER65" s="118">
        <f t="shared" si="117"/>
        <v>0</v>
      </c>
      <c r="ES65" s="119"/>
      <c r="ET65" s="143">
        <f t="shared" si="118"/>
        <v>0</v>
      </c>
      <c r="EU65" s="72"/>
      <c r="EV65" s="117">
        <f t="shared" si="119"/>
        <v>4280.2507739087523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20"/>
        <v>0</v>
      </c>
      <c r="GG65" s="118">
        <f t="shared" si="121"/>
        <v>0</v>
      </c>
      <c r="GH65" s="118">
        <f t="shared" si="122"/>
        <v>0</v>
      </c>
      <c r="GI65" s="118">
        <f t="shared" si="123"/>
        <v>0</v>
      </c>
      <c r="GJ65" s="119"/>
      <c r="GK65" s="143">
        <f t="shared" ca="1" si="124"/>
        <v>0</v>
      </c>
    </row>
    <row r="66" spans="1:193">
      <c r="A66" s="442" t="s">
        <v>401</v>
      </c>
      <c r="B66" s="144"/>
      <c r="C66" s="200"/>
      <c r="D66" s="201"/>
      <c r="E66" s="461">
        <f t="shared" si="0"/>
        <v>0</v>
      </c>
      <c r="F66" s="462">
        <f t="shared" si="77"/>
        <v>0</v>
      </c>
      <c r="G66" s="202" t="str">
        <f t="shared" si="125"/>
        <v/>
      </c>
      <c r="H66" s="471">
        <f t="shared" si="58"/>
        <v>0</v>
      </c>
      <c r="I66" s="472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6">
        <f t="shared" si="11"/>
        <v>0</v>
      </c>
      <c r="AY66" s="217">
        <f t="shared" si="12"/>
        <v>0</v>
      </c>
      <c r="AZ66" s="148" t="s">
        <v>402</v>
      </c>
      <c r="BA66" s="112"/>
      <c r="BB66" s="129"/>
      <c r="BC66" s="115"/>
      <c r="BD66" s="218">
        <f t="shared" si="13"/>
        <v>0</v>
      </c>
      <c r="BE66" s="220">
        <f t="shared" si="14"/>
        <v>0</v>
      </c>
      <c r="BF66" s="149" t="s">
        <v>403</v>
      </c>
      <c r="BG66" s="112"/>
      <c r="BH66" s="115"/>
      <c r="BI66" s="221">
        <f t="shared" si="15"/>
        <v>0</v>
      </c>
      <c r="BJ66" s="222">
        <f t="shared" si="16"/>
        <v>0</v>
      </c>
      <c r="DE66" s="117">
        <f t="shared" si="78"/>
        <v>4408.658297126015</v>
      </c>
      <c r="DF66" s="118">
        <f t="shared" si="79"/>
        <v>0</v>
      </c>
      <c r="DG66" s="118">
        <f t="shared" si="80"/>
        <v>0</v>
      </c>
      <c r="DH66" s="118">
        <f t="shared" si="81"/>
        <v>0</v>
      </c>
      <c r="DI66" s="118">
        <f t="shared" si="82"/>
        <v>0</v>
      </c>
      <c r="DJ66" s="118">
        <f t="shared" si="83"/>
        <v>0</v>
      </c>
      <c r="DK66" s="118">
        <f t="shared" si="84"/>
        <v>0</v>
      </c>
      <c r="DL66" s="118">
        <f t="shared" si="85"/>
        <v>0</v>
      </c>
      <c r="DM66" s="118">
        <f t="shared" si="86"/>
        <v>0</v>
      </c>
      <c r="DN66" s="118">
        <f t="shared" si="87"/>
        <v>0</v>
      </c>
      <c r="DO66" s="118">
        <f t="shared" si="88"/>
        <v>0</v>
      </c>
      <c r="DP66" s="118">
        <f t="shared" si="89"/>
        <v>0</v>
      </c>
      <c r="DQ66" s="118">
        <f t="shared" si="90"/>
        <v>0</v>
      </c>
      <c r="DR66" s="118">
        <f t="shared" si="91"/>
        <v>0</v>
      </c>
      <c r="DS66" s="118">
        <f t="shared" si="92"/>
        <v>0</v>
      </c>
      <c r="DT66" s="118">
        <f t="shared" si="93"/>
        <v>0</v>
      </c>
      <c r="DU66" s="118">
        <f t="shared" si="94"/>
        <v>0</v>
      </c>
      <c r="DV66" s="118">
        <f t="shared" si="95"/>
        <v>0</v>
      </c>
      <c r="DW66" s="118">
        <f t="shared" si="96"/>
        <v>0</v>
      </c>
      <c r="DX66" s="118">
        <f t="shared" si="97"/>
        <v>0</v>
      </c>
      <c r="DY66" s="118">
        <f t="shared" si="98"/>
        <v>0</v>
      </c>
      <c r="DZ66" s="118">
        <f t="shared" si="99"/>
        <v>0</v>
      </c>
      <c r="EA66" s="118">
        <f t="shared" si="100"/>
        <v>0</v>
      </c>
      <c r="EB66" s="118">
        <f t="shared" si="101"/>
        <v>0</v>
      </c>
      <c r="EC66" s="118">
        <f t="shared" si="102"/>
        <v>0</v>
      </c>
      <c r="ED66" s="118">
        <f t="shared" si="103"/>
        <v>0</v>
      </c>
      <c r="EE66" s="118">
        <f t="shared" si="104"/>
        <v>0</v>
      </c>
      <c r="EF66" s="118">
        <f t="shared" si="105"/>
        <v>0</v>
      </c>
      <c r="EG66" s="118">
        <f t="shared" si="106"/>
        <v>0</v>
      </c>
      <c r="EH66" s="118">
        <f t="shared" si="107"/>
        <v>0</v>
      </c>
      <c r="EI66" s="118">
        <f t="shared" si="108"/>
        <v>0</v>
      </c>
      <c r="EJ66" s="118">
        <f t="shared" si="109"/>
        <v>0</v>
      </c>
      <c r="EK66" s="118">
        <f t="shared" si="110"/>
        <v>0</v>
      </c>
      <c r="EL66" s="118">
        <f t="shared" si="111"/>
        <v>0</v>
      </c>
      <c r="EM66" s="118">
        <f t="shared" si="112"/>
        <v>0</v>
      </c>
      <c r="EN66" s="118">
        <f t="shared" si="113"/>
        <v>0</v>
      </c>
      <c r="EO66" s="118">
        <f t="shared" si="114"/>
        <v>0</v>
      </c>
      <c r="EP66" s="118">
        <f t="shared" si="115"/>
        <v>0</v>
      </c>
      <c r="EQ66" s="118">
        <f t="shared" si="116"/>
        <v>0</v>
      </c>
      <c r="ER66" s="118">
        <f t="shared" si="117"/>
        <v>0</v>
      </c>
      <c r="ES66" s="119"/>
      <c r="ET66" s="143">
        <f t="shared" si="118"/>
        <v>0</v>
      </c>
      <c r="EU66" s="72"/>
      <c r="EV66" s="117">
        <f t="shared" si="119"/>
        <v>4408.658297126015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20"/>
        <v>0</v>
      </c>
      <c r="GG66" s="118">
        <f t="shared" si="121"/>
        <v>0</v>
      </c>
      <c r="GH66" s="118">
        <f t="shared" si="122"/>
        <v>0</v>
      </c>
      <c r="GI66" s="118">
        <f t="shared" si="123"/>
        <v>0</v>
      </c>
      <c r="GJ66" s="119"/>
      <c r="GK66" s="143">
        <f t="shared" ca="1" si="124"/>
        <v>0</v>
      </c>
    </row>
    <row r="67" spans="1:193">
      <c r="A67" s="442" t="s">
        <v>401</v>
      </c>
      <c r="B67" s="144"/>
      <c r="C67" s="200"/>
      <c r="D67" s="201"/>
      <c r="E67" s="461">
        <f t="shared" si="0"/>
        <v>0</v>
      </c>
      <c r="F67" s="462">
        <f t="shared" ref="F67:F72" si="126">IF(B67&gt;0,+B67*D67*(1+($N$53+0.002)*1.21)*-100,B67*D67*(1-($N$53+0.002)*1.21)*-100)</f>
        <v>0</v>
      </c>
      <c r="G67" s="202" t="str">
        <f t="shared" si="125"/>
        <v/>
      </c>
      <c r="H67" s="471">
        <f t="shared" si="58"/>
        <v>0</v>
      </c>
      <c r="I67" s="472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6">
        <f t="shared" si="11"/>
        <v>0</v>
      </c>
      <c r="AY67" s="217">
        <f t="shared" si="12"/>
        <v>0</v>
      </c>
      <c r="AZ67" s="148" t="s">
        <v>402</v>
      </c>
      <c r="BA67" s="112"/>
      <c r="BB67" s="129"/>
      <c r="BC67" s="115"/>
      <c r="BD67" s="218">
        <f t="shared" si="13"/>
        <v>0</v>
      </c>
      <c r="BE67" s="220">
        <f t="shared" si="14"/>
        <v>0</v>
      </c>
      <c r="BF67" s="149" t="s">
        <v>403</v>
      </c>
      <c r="BG67" s="112"/>
      <c r="BH67" s="115"/>
      <c r="BI67" s="221">
        <f t="shared" si="15"/>
        <v>0</v>
      </c>
      <c r="BJ67" s="222">
        <f t="shared" si="16"/>
        <v>0</v>
      </c>
      <c r="DE67" s="167">
        <f t="shared" si="78"/>
        <v>4540.9180460397956</v>
      </c>
      <c r="DF67" s="168">
        <f t="shared" si="79"/>
        <v>0</v>
      </c>
      <c r="DG67" s="168">
        <f t="shared" si="80"/>
        <v>0</v>
      </c>
      <c r="DH67" s="168">
        <f t="shared" si="81"/>
        <v>0</v>
      </c>
      <c r="DI67" s="168">
        <f t="shared" si="82"/>
        <v>0</v>
      </c>
      <c r="DJ67" s="168">
        <f t="shared" si="83"/>
        <v>0</v>
      </c>
      <c r="DK67" s="168">
        <f t="shared" si="84"/>
        <v>0</v>
      </c>
      <c r="DL67" s="168">
        <f t="shared" si="85"/>
        <v>0</v>
      </c>
      <c r="DM67" s="168">
        <f t="shared" si="86"/>
        <v>0</v>
      </c>
      <c r="DN67" s="168">
        <f t="shared" si="87"/>
        <v>0</v>
      </c>
      <c r="DO67" s="168">
        <f t="shared" si="88"/>
        <v>0</v>
      </c>
      <c r="DP67" s="168">
        <f t="shared" si="89"/>
        <v>0</v>
      </c>
      <c r="DQ67" s="168">
        <f t="shared" si="90"/>
        <v>0</v>
      </c>
      <c r="DR67" s="168">
        <f t="shared" si="91"/>
        <v>0</v>
      </c>
      <c r="DS67" s="168">
        <f t="shared" si="92"/>
        <v>0</v>
      </c>
      <c r="DT67" s="168">
        <f t="shared" si="93"/>
        <v>0</v>
      </c>
      <c r="DU67" s="168">
        <f t="shared" si="94"/>
        <v>0</v>
      </c>
      <c r="DV67" s="168">
        <f t="shared" si="95"/>
        <v>0</v>
      </c>
      <c r="DW67" s="168">
        <f t="shared" si="96"/>
        <v>0</v>
      </c>
      <c r="DX67" s="168">
        <f t="shared" si="97"/>
        <v>0</v>
      </c>
      <c r="DY67" s="168">
        <f t="shared" si="98"/>
        <v>0</v>
      </c>
      <c r="DZ67" s="168">
        <f t="shared" si="99"/>
        <v>0</v>
      </c>
      <c r="EA67" s="168">
        <f t="shared" si="100"/>
        <v>0</v>
      </c>
      <c r="EB67" s="168">
        <f t="shared" si="101"/>
        <v>0</v>
      </c>
      <c r="EC67" s="168">
        <f t="shared" si="102"/>
        <v>0</v>
      </c>
      <c r="ED67" s="168">
        <f t="shared" si="103"/>
        <v>0</v>
      </c>
      <c r="EE67" s="168">
        <f t="shared" si="104"/>
        <v>0</v>
      </c>
      <c r="EF67" s="168">
        <f t="shared" si="105"/>
        <v>0</v>
      </c>
      <c r="EG67" s="168">
        <f t="shared" si="106"/>
        <v>0</v>
      </c>
      <c r="EH67" s="168">
        <f t="shared" si="107"/>
        <v>0</v>
      </c>
      <c r="EI67" s="168">
        <f t="shared" si="108"/>
        <v>0</v>
      </c>
      <c r="EJ67" s="168">
        <f t="shared" si="109"/>
        <v>0</v>
      </c>
      <c r="EK67" s="168">
        <f t="shared" si="110"/>
        <v>0</v>
      </c>
      <c r="EL67" s="168">
        <f t="shared" si="111"/>
        <v>0</v>
      </c>
      <c r="EM67" s="168">
        <f t="shared" si="112"/>
        <v>0</v>
      </c>
      <c r="EN67" s="168">
        <f t="shared" si="113"/>
        <v>0</v>
      </c>
      <c r="EO67" s="168">
        <f t="shared" si="114"/>
        <v>0</v>
      </c>
      <c r="EP67" s="168">
        <f t="shared" si="115"/>
        <v>0</v>
      </c>
      <c r="EQ67" s="168">
        <f t="shared" si="116"/>
        <v>0</v>
      </c>
      <c r="ER67" s="168">
        <f t="shared" si="117"/>
        <v>0</v>
      </c>
      <c r="ES67" s="169"/>
      <c r="ET67" s="170">
        <f t="shared" si="118"/>
        <v>0</v>
      </c>
      <c r="EU67" s="72"/>
      <c r="EV67" s="167">
        <f t="shared" si="119"/>
        <v>4540.9180460397956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20"/>
        <v>0</v>
      </c>
      <c r="GG67" s="168">
        <f t="shared" si="121"/>
        <v>0</v>
      </c>
      <c r="GH67" s="168">
        <f t="shared" si="122"/>
        <v>0</v>
      </c>
      <c r="GI67" s="168">
        <f t="shared" si="123"/>
        <v>0</v>
      </c>
      <c r="GJ67" s="169"/>
      <c r="GK67" s="170">
        <f t="shared" ca="1" si="124"/>
        <v>0</v>
      </c>
    </row>
    <row r="68" spans="1:193">
      <c r="A68" s="442" t="s">
        <v>401</v>
      </c>
      <c r="B68" s="144"/>
      <c r="C68" s="200"/>
      <c r="D68" s="201"/>
      <c r="E68" s="461">
        <f t="shared" si="0"/>
        <v>0</v>
      </c>
      <c r="F68" s="462">
        <f t="shared" si="126"/>
        <v>0</v>
      </c>
      <c r="G68" s="202" t="str">
        <f t="shared" si="125"/>
        <v/>
      </c>
      <c r="H68" s="471">
        <f>IFERROR(+G68*B68*-100,0)</f>
        <v>0</v>
      </c>
      <c r="I68" s="472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6">
        <f t="shared" si="11"/>
        <v>0</v>
      </c>
      <c r="AY68" s="217">
        <f t="shared" si="12"/>
        <v>0</v>
      </c>
      <c r="AZ68" s="148" t="s">
        <v>402</v>
      </c>
      <c r="BA68" s="112"/>
      <c r="BB68" s="129"/>
      <c r="BC68" s="115"/>
      <c r="BD68" s="218">
        <f t="shared" si="13"/>
        <v>0</v>
      </c>
      <c r="BE68" s="220">
        <f t="shared" si="14"/>
        <v>0</v>
      </c>
      <c r="BF68" s="149" t="s">
        <v>403</v>
      </c>
      <c r="BG68" s="112"/>
      <c r="BH68" s="115"/>
      <c r="BI68" s="221">
        <f t="shared" si="15"/>
        <v>0</v>
      </c>
      <c r="BJ68" s="222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42" t="s">
        <v>401</v>
      </c>
      <c r="B69" s="144"/>
      <c r="C69" s="200"/>
      <c r="D69" s="201"/>
      <c r="E69" s="461">
        <f t="shared" si="0"/>
        <v>0</v>
      </c>
      <c r="F69" s="462">
        <f t="shared" si="126"/>
        <v>0</v>
      </c>
      <c r="G69" s="202" t="str">
        <f t="shared" si="125"/>
        <v/>
      </c>
      <c r="H69" s="471">
        <f>IFERROR(+G69*B69*-100,0)</f>
        <v>0</v>
      </c>
      <c r="I69" s="472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6">
        <f t="shared" si="11"/>
        <v>0</v>
      </c>
      <c r="AY69" s="217">
        <f t="shared" si="12"/>
        <v>0</v>
      </c>
      <c r="AZ69" s="148" t="s">
        <v>402</v>
      </c>
      <c r="BA69" s="112"/>
      <c r="BB69" s="129"/>
      <c r="BC69" s="115"/>
      <c r="BD69" s="218">
        <f t="shared" si="13"/>
        <v>0</v>
      </c>
      <c r="BE69" s="220">
        <f t="shared" si="14"/>
        <v>0</v>
      </c>
      <c r="BF69" s="149" t="s">
        <v>403</v>
      </c>
      <c r="BG69" s="112"/>
      <c r="BH69" s="115"/>
      <c r="BI69" s="221">
        <f t="shared" si="15"/>
        <v>0</v>
      </c>
      <c r="BJ69" s="222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42" t="s">
        <v>401</v>
      </c>
      <c r="B70" s="144"/>
      <c r="C70" s="200"/>
      <c r="D70" s="201"/>
      <c r="E70" s="461">
        <f t="shared" si="0"/>
        <v>0</v>
      </c>
      <c r="F70" s="462">
        <f t="shared" si="126"/>
        <v>0</v>
      </c>
      <c r="G70" s="202" t="str">
        <f t="shared" si="125"/>
        <v/>
      </c>
      <c r="H70" s="471">
        <f>IFERROR(+G70*B70*-100,0)</f>
        <v>0</v>
      </c>
      <c r="I70" s="472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6">
        <f t="shared" si="11"/>
        <v>0</v>
      </c>
      <c r="AY70" s="217">
        <f t="shared" si="12"/>
        <v>0</v>
      </c>
      <c r="AZ70" s="148" t="s">
        <v>402</v>
      </c>
      <c r="BA70" s="112"/>
      <c r="BB70" s="129"/>
      <c r="BC70" s="115"/>
      <c r="BD70" s="218">
        <f t="shared" si="13"/>
        <v>0</v>
      </c>
      <c r="BE70" s="220">
        <f t="shared" si="14"/>
        <v>0</v>
      </c>
      <c r="BF70" s="149" t="s">
        <v>403</v>
      </c>
      <c r="BG70" s="112"/>
      <c r="BH70" s="115"/>
      <c r="BI70" s="221">
        <f t="shared" si="15"/>
        <v>0</v>
      </c>
      <c r="BJ70" s="222">
        <f t="shared" si="16"/>
        <v>0</v>
      </c>
      <c r="DE70" s="117">
        <f t="shared" ref="DE70:DE101" si="127">DE3</f>
        <v>1791.9425524598291</v>
      </c>
      <c r="DF70" s="118">
        <f t="shared" ref="DF70:DF101" si="128">IF($DE70&gt;$R$3,$Q$3*100*($DE70-$R$3),0)</f>
        <v>0</v>
      </c>
      <c r="DG70" s="118">
        <f t="shared" ref="DG70:DG101" si="129">IF($DE70&gt;$R$4,$Q$4*100*($DE70-$R$4),0)</f>
        <v>0</v>
      </c>
      <c r="DH70" s="118">
        <f t="shared" ref="DH70:DH101" si="130">IF($DE70&gt;$R$5,$Q$5*100*($DE70-$R$5),0)</f>
        <v>0</v>
      </c>
      <c r="DI70" s="118">
        <f t="shared" ref="DI70:DI101" si="131">IF($DE70&gt;$R$6,$Q$6*100*($DE70-$R$6),0)</f>
        <v>0</v>
      </c>
      <c r="DJ70" s="118">
        <f t="shared" ref="DJ70:DJ101" si="132">IF($DE70&gt;$R$7,$Q$7*100*($DE70-$R$7),0)</f>
        <v>0</v>
      </c>
      <c r="DK70" s="118">
        <f t="shared" ref="DK70:DK101" si="133">IF($DE70&gt;$R$8,$Q$8*100*($DE70-$R$8),0)</f>
        <v>0</v>
      </c>
      <c r="DL70" s="118">
        <f t="shared" ref="DL70:DL101" si="134">IF($DE70&gt;$R$9,$Q$9*100*($DE70-$R$9),0)</f>
        <v>0</v>
      </c>
      <c r="DM70" s="118">
        <f t="shared" ref="DM70:DM101" si="135">IF($DE70&gt;$R$10,$Q$10*100*($DE70-$R$10),0)</f>
        <v>0</v>
      </c>
      <c r="DN70" s="118">
        <f t="shared" ref="DN70:DN101" si="136">IF($DE70&gt;$R$11,$Q$11*100*($DE70-$R$11),0)</f>
        <v>0</v>
      </c>
      <c r="DO70" s="118">
        <f t="shared" ref="DO70:DO101" si="137">IF($DE70&gt;$R$12,$Q$12*100*($DE70-$R$12),0)</f>
        <v>0</v>
      </c>
      <c r="DP70" s="118">
        <f t="shared" ref="DP70:DP101" si="138">IF($DE70&gt;$R$13,$Q$13*100*($DE70-$R$13),0)</f>
        <v>0</v>
      </c>
      <c r="DQ70" s="118">
        <f t="shared" ref="DQ70:DQ101" si="139">IF($DE70&gt;$R$14,$Q$14*100*($DE70-$R$14),0)</f>
        <v>0</v>
      </c>
      <c r="DR70" s="118">
        <f t="shared" ref="DR70:DR101" si="140">IF($DE70&gt;$R$15,$Q$15*100*($DE70-$R$15),0)</f>
        <v>0</v>
      </c>
      <c r="DS70" s="118">
        <f t="shared" ref="DS70:DS101" si="141">IF($DE70&gt;$R$16,$Q$16*100*($DE70-$R$16),0)</f>
        <v>0</v>
      </c>
      <c r="DT70" s="118">
        <f t="shared" ref="DT70:DT101" si="142">IF($DE70&gt;$R$17,$Q$17*100*($DE70-$R$17),0)</f>
        <v>0</v>
      </c>
      <c r="DU70" s="118">
        <f t="shared" ref="DU70:DU101" si="143">IF($DE70&gt;$R$18,$Q$18*100*($DE70-$R$18),0)</f>
        <v>0</v>
      </c>
      <c r="DV70" s="118">
        <f t="shared" ref="DV70:DV101" si="144">IF($DE70&gt;$R$19,$Q$19*100*($DE70-$R$19),0)</f>
        <v>0</v>
      </c>
      <c r="DW70" s="118">
        <f t="shared" ref="DW70:DW101" si="145">IF($DE70&gt;$R$20,$Q$20*100*($DE70-$R$20),0)</f>
        <v>0</v>
      </c>
      <c r="DX70" s="118">
        <f t="shared" ref="DX70:DX101" si="146">IF($DE70&gt;$R$21,$Q$21*100*($DE70-$R$21),0)</f>
        <v>0</v>
      </c>
      <c r="DY70" s="118">
        <f t="shared" ref="DY70:DY101" si="147">IF($DE70&gt;$R$22,$Q$22*100*($DE70-$R$22),0)</f>
        <v>0</v>
      </c>
      <c r="DZ70" s="118">
        <f t="shared" ref="DZ70:DZ101" si="148">IF($DE70&gt;$R$23,$Q$23*100*($DE70-$R$23),0)</f>
        <v>0</v>
      </c>
      <c r="EA70" s="118">
        <f t="shared" ref="EA70:EA101" si="149">IF($DE70&gt;$R$24,$Q$24*100*($DE70-$R$24),0)</f>
        <v>0</v>
      </c>
      <c r="EB70" s="118">
        <f t="shared" ref="EB70:EB101" si="150">IF($DE70&gt;$R$25,$Q$25*100*($DE70-$R$25),0)</f>
        <v>0</v>
      </c>
      <c r="EC70" s="118">
        <f t="shared" ref="EC70:EC101" si="151">IF($DE70&gt;$R$26,$Q$26*100*($DE70-$R$26),0)</f>
        <v>0</v>
      </c>
      <c r="ED70" s="118">
        <f t="shared" ref="ED70:ED101" si="152">IF($DE70&gt;$R$27,$Q$27*100*($DE70-$R$27),0)</f>
        <v>0</v>
      </c>
      <c r="EE70" s="118">
        <f t="shared" ref="EE70:EE101" si="153">IF($DE70&gt;$R$28,$Q$28*100*($DE70-$R$28),0)</f>
        <v>0</v>
      </c>
      <c r="EF70" s="118">
        <f t="shared" ref="EF70:EF101" si="154">IF($DE70&gt;$R$29,$Q$29*100*($DE70-$R$29),0)</f>
        <v>0</v>
      </c>
      <c r="EG70" s="118">
        <f t="shared" ref="EG70:EG101" si="155">IF($DE70&gt;$R$30,$Q$30*100*($DE70-$R$30),0)</f>
        <v>0</v>
      </c>
      <c r="EH70" s="118">
        <f t="shared" ref="EH70:EH101" si="156">IF($DE70&gt;$R$31,$Q$31*100*($DE70-$R$31),0)</f>
        <v>0</v>
      </c>
      <c r="EI70" s="118">
        <f t="shared" ref="EI70:EI101" si="157">IF($DE70&gt;$R$32,$Q$32*100*($DE70-$R$32),0)</f>
        <v>0</v>
      </c>
      <c r="EJ70" s="118">
        <f t="shared" ref="EJ70:EJ101" si="158">IF($DE70&gt;$R$33,$Q$33*100*($DE70-$R$33),0)</f>
        <v>0</v>
      </c>
      <c r="EK70" s="118">
        <f t="shared" ref="EK70:EK101" si="159">IF($DE70&gt;$R$34,$Q$34*100*($DE70-$R$34),0)</f>
        <v>0</v>
      </c>
      <c r="EL70" s="118">
        <f t="shared" ref="EL70:EL101" si="160">IF($DE70&gt;$R$35,$Q$35*100*($DE70-$R$35),0)</f>
        <v>0</v>
      </c>
      <c r="EM70" s="118">
        <f t="shared" ref="EM70:EM101" si="161">IF($DE70&gt;$R$36,$Q$36*100*($DE70-$R$36),0)</f>
        <v>0</v>
      </c>
      <c r="EN70" s="118">
        <f t="shared" ref="EN70:EN101" si="162">IF($DE70&gt;$R$37,$Q$37*100*($DE70-$R$37),0)</f>
        <v>0</v>
      </c>
      <c r="EO70" s="118">
        <f t="shared" ref="EO70:EO101" si="163">IF($DE70&gt;$R$38,$Q$38*100*($DE70-$R$38),0)</f>
        <v>0</v>
      </c>
      <c r="EP70" s="118">
        <f t="shared" ref="EP70:EP101" si="164">IF($DE70&gt;$R$39,$Q$39*100*($DE70-$R$39),0)</f>
        <v>0</v>
      </c>
      <c r="EQ70" s="118">
        <f t="shared" ref="EQ70:EQ101" si="165">IF($DE70&gt;$R$40,$Q$40*100*($DE70-$R$40),0)</f>
        <v>0</v>
      </c>
      <c r="ER70" s="118">
        <f t="shared" ref="ER70:ER101" si="166">IF($DE70&gt;$R$41,$Q$41*100*($DE70-$R$41),0)</f>
        <v>0</v>
      </c>
      <c r="ES70" s="118">
        <f t="shared" ref="ES70:ES101" si="167">IF($DE70&gt;$R$42,$Q$42*100*($DE70-$R$42),0)</f>
        <v>0</v>
      </c>
      <c r="ET70" s="177">
        <f t="shared" ref="ET70:ET101" si="168">SUM(DF70:ES70)</f>
        <v>0</v>
      </c>
      <c r="EU70" s="72"/>
      <c r="EV70" s="117">
        <f t="shared" ref="EV70:EV101" si="169">EV3</f>
        <v>1791.9425524598291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70">SUM(EW70:GJ70)</f>
        <v>0</v>
      </c>
    </row>
    <row r="71" spans="1:193">
      <c r="A71" s="442" t="s">
        <v>401</v>
      </c>
      <c r="B71" s="144"/>
      <c r="C71" s="200"/>
      <c r="D71" s="201"/>
      <c r="E71" s="461">
        <f t="shared" si="0"/>
        <v>0</v>
      </c>
      <c r="F71" s="462">
        <f t="shared" si="126"/>
        <v>0</v>
      </c>
      <c r="G71" s="202" t="str">
        <f t="shared" si="125"/>
        <v/>
      </c>
      <c r="H71" s="471">
        <f>IFERROR(+G71*B71*-100,0)</f>
        <v>0</v>
      </c>
      <c r="I71" s="472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6">
        <f t="shared" si="11"/>
        <v>0</v>
      </c>
      <c r="AY71" s="217">
        <f t="shared" si="12"/>
        <v>0</v>
      </c>
      <c r="AZ71" s="148" t="s">
        <v>402</v>
      </c>
      <c r="BA71" s="112"/>
      <c r="BB71" s="129"/>
      <c r="BC71" s="115"/>
      <c r="BD71" s="218">
        <f t="shared" si="13"/>
        <v>0</v>
      </c>
      <c r="BE71" s="220">
        <f t="shared" si="14"/>
        <v>0</v>
      </c>
      <c r="BF71" s="149" t="s">
        <v>403</v>
      </c>
      <c r="BG71" s="112"/>
      <c r="BH71" s="115"/>
      <c r="BI71" s="221">
        <f t="shared" si="15"/>
        <v>0</v>
      </c>
      <c r="BJ71" s="222">
        <f t="shared" si="16"/>
        <v>0</v>
      </c>
      <c r="DE71" s="117">
        <f t="shared" si="127"/>
        <v>1847.3634561441538</v>
      </c>
      <c r="DF71" s="118">
        <f t="shared" si="128"/>
        <v>0</v>
      </c>
      <c r="DG71" s="118">
        <f t="shared" si="129"/>
        <v>0</v>
      </c>
      <c r="DH71" s="118">
        <f t="shared" si="130"/>
        <v>0</v>
      </c>
      <c r="DI71" s="118">
        <f t="shared" si="131"/>
        <v>0</v>
      </c>
      <c r="DJ71" s="118">
        <f t="shared" si="132"/>
        <v>0</v>
      </c>
      <c r="DK71" s="118">
        <f t="shared" si="133"/>
        <v>0</v>
      </c>
      <c r="DL71" s="118">
        <f t="shared" si="134"/>
        <v>0</v>
      </c>
      <c r="DM71" s="118">
        <f t="shared" si="135"/>
        <v>0</v>
      </c>
      <c r="DN71" s="118">
        <f t="shared" si="136"/>
        <v>0</v>
      </c>
      <c r="DO71" s="118">
        <f t="shared" si="137"/>
        <v>0</v>
      </c>
      <c r="DP71" s="118">
        <f t="shared" si="138"/>
        <v>0</v>
      </c>
      <c r="DQ71" s="118">
        <f t="shared" si="139"/>
        <v>0</v>
      </c>
      <c r="DR71" s="118">
        <f t="shared" si="140"/>
        <v>0</v>
      </c>
      <c r="DS71" s="118">
        <f t="shared" si="141"/>
        <v>0</v>
      </c>
      <c r="DT71" s="118">
        <f t="shared" si="142"/>
        <v>0</v>
      </c>
      <c r="DU71" s="118">
        <f t="shared" si="143"/>
        <v>0</v>
      </c>
      <c r="DV71" s="118">
        <f t="shared" si="144"/>
        <v>0</v>
      </c>
      <c r="DW71" s="118">
        <f t="shared" si="145"/>
        <v>0</v>
      </c>
      <c r="DX71" s="118">
        <f t="shared" si="146"/>
        <v>0</v>
      </c>
      <c r="DY71" s="118">
        <f t="shared" si="147"/>
        <v>0</v>
      </c>
      <c r="DZ71" s="118">
        <f t="shared" si="148"/>
        <v>0</v>
      </c>
      <c r="EA71" s="118">
        <f t="shared" si="149"/>
        <v>0</v>
      </c>
      <c r="EB71" s="118">
        <f t="shared" si="150"/>
        <v>0</v>
      </c>
      <c r="EC71" s="118">
        <f t="shared" si="151"/>
        <v>0</v>
      </c>
      <c r="ED71" s="118">
        <f t="shared" si="152"/>
        <v>0</v>
      </c>
      <c r="EE71" s="118">
        <f t="shared" si="153"/>
        <v>0</v>
      </c>
      <c r="EF71" s="118">
        <f t="shared" si="154"/>
        <v>0</v>
      </c>
      <c r="EG71" s="118">
        <f t="shared" si="155"/>
        <v>0</v>
      </c>
      <c r="EH71" s="118">
        <f t="shared" si="156"/>
        <v>0</v>
      </c>
      <c r="EI71" s="118">
        <f t="shared" si="157"/>
        <v>0</v>
      </c>
      <c r="EJ71" s="118">
        <f t="shared" si="158"/>
        <v>0</v>
      </c>
      <c r="EK71" s="118">
        <f t="shared" si="159"/>
        <v>0</v>
      </c>
      <c r="EL71" s="118">
        <f t="shared" si="160"/>
        <v>0</v>
      </c>
      <c r="EM71" s="118">
        <f t="shared" si="161"/>
        <v>0</v>
      </c>
      <c r="EN71" s="118">
        <f t="shared" si="162"/>
        <v>0</v>
      </c>
      <c r="EO71" s="118">
        <f t="shared" si="163"/>
        <v>0</v>
      </c>
      <c r="EP71" s="118">
        <f t="shared" si="164"/>
        <v>0</v>
      </c>
      <c r="EQ71" s="118">
        <f t="shared" si="165"/>
        <v>0</v>
      </c>
      <c r="ER71" s="118">
        <f t="shared" si="166"/>
        <v>0</v>
      </c>
      <c r="ES71" s="118">
        <f t="shared" si="167"/>
        <v>0</v>
      </c>
      <c r="ET71" s="177">
        <f t="shared" si="168"/>
        <v>0</v>
      </c>
      <c r="EU71" s="72"/>
      <c r="EV71" s="117">
        <f t="shared" si="169"/>
        <v>1847.3634561441538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70"/>
        <v>0</v>
      </c>
    </row>
    <row r="72" spans="1:193" ht="13.5" thickBot="1">
      <c r="A72" s="442" t="s">
        <v>401</v>
      </c>
      <c r="B72" s="178"/>
      <c r="C72" s="207"/>
      <c r="D72" s="208"/>
      <c r="E72" s="463">
        <f t="shared" si="0"/>
        <v>0</v>
      </c>
      <c r="F72" s="464">
        <f t="shared" si="126"/>
        <v>0</v>
      </c>
      <c r="G72" s="206" t="str">
        <f t="shared" si="125"/>
        <v/>
      </c>
      <c r="H72" s="473">
        <f>IFERROR(+G72*B72*-100,0)</f>
        <v>0</v>
      </c>
      <c r="I72" s="474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6">
        <f t="shared" si="11"/>
        <v>0</v>
      </c>
      <c r="AY72" s="217">
        <f t="shared" si="12"/>
        <v>0</v>
      </c>
      <c r="AZ72" s="148" t="s">
        <v>402</v>
      </c>
      <c r="BA72" s="112"/>
      <c r="BB72" s="129"/>
      <c r="BC72" s="115"/>
      <c r="BD72" s="218">
        <f t="shared" si="13"/>
        <v>0</v>
      </c>
      <c r="BE72" s="220">
        <f t="shared" si="14"/>
        <v>0</v>
      </c>
      <c r="BF72" s="149" t="s">
        <v>403</v>
      </c>
      <c r="BG72" s="112"/>
      <c r="BH72" s="115"/>
      <c r="BI72" s="221">
        <f t="shared" si="15"/>
        <v>0</v>
      </c>
      <c r="BJ72" s="222">
        <f t="shared" si="16"/>
        <v>0</v>
      </c>
      <c r="DE72" s="117">
        <f t="shared" si="127"/>
        <v>1904.4984083960348</v>
      </c>
      <c r="DF72" s="118">
        <f t="shared" si="128"/>
        <v>0</v>
      </c>
      <c r="DG72" s="118">
        <f t="shared" si="129"/>
        <v>0</v>
      </c>
      <c r="DH72" s="118">
        <f t="shared" si="130"/>
        <v>0</v>
      </c>
      <c r="DI72" s="118">
        <f t="shared" si="131"/>
        <v>0</v>
      </c>
      <c r="DJ72" s="118">
        <f t="shared" si="132"/>
        <v>0</v>
      </c>
      <c r="DK72" s="118">
        <f t="shared" si="133"/>
        <v>0</v>
      </c>
      <c r="DL72" s="118">
        <f t="shared" si="134"/>
        <v>0</v>
      </c>
      <c r="DM72" s="118">
        <f t="shared" si="135"/>
        <v>0</v>
      </c>
      <c r="DN72" s="118">
        <f t="shared" si="136"/>
        <v>0</v>
      </c>
      <c r="DO72" s="118">
        <f t="shared" si="137"/>
        <v>0</v>
      </c>
      <c r="DP72" s="118">
        <f t="shared" si="138"/>
        <v>0</v>
      </c>
      <c r="DQ72" s="118">
        <f t="shared" si="139"/>
        <v>0</v>
      </c>
      <c r="DR72" s="118">
        <f t="shared" si="140"/>
        <v>0</v>
      </c>
      <c r="DS72" s="118">
        <f t="shared" si="141"/>
        <v>0</v>
      </c>
      <c r="DT72" s="118">
        <f t="shared" si="142"/>
        <v>0</v>
      </c>
      <c r="DU72" s="118">
        <f t="shared" si="143"/>
        <v>0</v>
      </c>
      <c r="DV72" s="118">
        <f t="shared" si="144"/>
        <v>0</v>
      </c>
      <c r="DW72" s="118">
        <f t="shared" si="145"/>
        <v>0</v>
      </c>
      <c r="DX72" s="118">
        <f t="shared" si="146"/>
        <v>0</v>
      </c>
      <c r="DY72" s="118">
        <f t="shared" si="147"/>
        <v>0</v>
      </c>
      <c r="DZ72" s="118">
        <f t="shared" si="148"/>
        <v>0</v>
      </c>
      <c r="EA72" s="118">
        <f t="shared" si="149"/>
        <v>0</v>
      </c>
      <c r="EB72" s="118">
        <f t="shared" si="150"/>
        <v>0</v>
      </c>
      <c r="EC72" s="118">
        <f t="shared" si="151"/>
        <v>0</v>
      </c>
      <c r="ED72" s="118">
        <f t="shared" si="152"/>
        <v>0</v>
      </c>
      <c r="EE72" s="118">
        <f t="shared" si="153"/>
        <v>0</v>
      </c>
      <c r="EF72" s="118">
        <f t="shared" si="154"/>
        <v>0</v>
      </c>
      <c r="EG72" s="118">
        <f t="shared" si="155"/>
        <v>0</v>
      </c>
      <c r="EH72" s="118">
        <f t="shared" si="156"/>
        <v>0</v>
      </c>
      <c r="EI72" s="118">
        <f t="shared" si="157"/>
        <v>0</v>
      </c>
      <c r="EJ72" s="118">
        <f t="shared" si="158"/>
        <v>0</v>
      </c>
      <c r="EK72" s="118">
        <f t="shared" si="159"/>
        <v>0</v>
      </c>
      <c r="EL72" s="118">
        <f t="shared" si="160"/>
        <v>0</v>
      </c>
      <c r="EM72" s="118">
        <f t="shared" si="161"/>
        <v>0</v>
      </c>
      <c r="EN72" s="118">
        <f t="shared" si="162"/>
        <v>0</v>
      </c>
      <c r="EO72" s="118">
        <f t="shared" si="163"/>
        <v>0</v>
      </c>
      <c r="EP72" s="118">
        <f t="shared" si="164"/>
        <v>0</v>
      </c>
      <c r="EQ72" s="118">
        <f t="shared" si="165"/>
        <v>0</v>
      </c>
      <c r="ER72" s="118">
        <f t="shared" si="166"/>
        <v>0</v>
      </c>
      <c r="ES72" s="118">
        <f t="shared" si="167"/>
        <v>0</v>
      </c>
      <c r="ET72" s="177">
        <f t="shared" si="168"/>
        <v>0</v>
      </c>
      <c r="EU72" s="72"/>
      <c r="EV72" s="117">
        <f t="shared" si="169"/>
        <v>1904.4984083960348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70"/>
        <v>0</v>
      </c>
    </row>
    <row r="73" spans="1:193">
      <c r="A73" s="774" t="s">
        <v>403</v>
      </c>
      <c r="B73" s="179"/>
      <c r="C73" s="180"/>
      <c r="D73" s="181"/>
      <c r="E73" s="465">
        <f>-C73*B73</f>
        <v>0</v>
      </c>
      <c r="F73" s="466">
        <f>IF(B73&gt;0,-C73*(1+($N$52+0.0008)*1.21)*B73,-C73*(1-($N$52+0.0008)*1.21)*B73)</f>
        <v>0</v>
      </c>
      <c r="G73" s="212">
        <f>B76</f>
        <v>2829.75</v>
      </c>
      <c r="H73" s="475">
        <f>-G73*B73</f>
        <v>0</v>
      </c>
      <c r="I73" s="476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6">
        <f t="shared" si="11"/>
        <v>0</v>
      </c>
      <c r="AY73" s="217">
        <f t="shared" si="12"/>
        <v>0</v>
      </c>
      <c r="AZ73" s="148" t="s">
        <v>402</v>
      </c>
      <c r="BA73" s="112"/>
      <c r="BB73" s="129"/>
      <c r="BC73" s="115"/>
      <c r="BD73" s="218">
        <f t="shared" si="13"/>
        <v>0</v>
      </c>
      <c r="BE73" s="220">
        <f t="shared" si="14"/>
        <v>0</v>
      </c>
      <c r="BF73" s="149" t="s">
        <v>403</v>
      </c>
      <c r="BG73" s="112"/>
      <c r="BH73" s="115"/>
      <c r="BI73" s="221">
        <f t="shared" si="15"/>
        <v>0</v>
      </c>
      <c r="BJ73" s="222">
        <f t="shared" si="16"/>
        <v>0</v>
      </c>
      <c r="DE73" s="117">
        <f t="shared" si="127"/>
        <v>1963.4004210268401</v>
      </c>
      <c r="DF73" s="118">
        <f t="shared" si="128"/>
        <v>0</v>
      </c>
      <c r="DG73" s="118">
        <f t="shared" si="129"/>
        <v>0</v>
      </c>
      <c r="DH73" s="118">
        <f t="shared" si="130"/>
        <v>0</v>
      </c>
      <c r="DI73" s="118">
        <f t="shared" si="131"/>
        <v>0</v>
      </c>
      <c r="DJ73" s="118">
        <f t="shared" si="132"/>
        <v>0</v>
      </c>
      <c r="DK73" s="118">
        <f t="shared" si="133"/>
        <v>0</v>
      </c>
      <c r="DL73" s="118">
        <f t="shared" si="134"/>
        <v>0</v>
      </c>
      <c r="DM73" s="118">
        <f t="shared" si="135"/>
        <v>0</v>
      </c>
      <c r="DN73" s="118">
        <f t="shared" si="136"/>
        <v>0</v>
      </c>
      <c r="DO73" s="118">
        <f t="shared" si="137"/>
        <v>0</v>
      </c>
      <c r="DP73" s="118">
        <f t="shared" si="138"/>
        <v>0</v>
      </c>
      <c r="DQ73" s="118">
        <f t="shared" si="139"/>
        <v>0</v>
      </c>
      <c r="DR73" s="118">
        <f t="shared" si="140"/>
        <v>0</v>
      </c>
      <c r="DS73" s="118">
        <f t="shared" si="141"/>
        <v>0</v>
      </c>
      <c r="DT73" s="118">
        <f t="shared" si="142"/>
        <v>0</v>
      </c>
      <c r="DU73" s="118">
        <f t="shared" si="143"/>
        <v>0</v>
      </c>
      <c r="DV73" s="118">
        <f t="shared" si="144"/>
        <v>0</v>
      </c>
      <c r="DW73" s="118">
        <f t="shared" si="145"/>
        <v>0</v>
      </c>
      <c r="DX73" s="118">
        <f t="shared" si="146"/>
        <v>0</v>
      </c>
      <c r="DY73" s="118">
        <f t="shared" si="147"/>
        <v>0</v>
      </c>
      <c r="DZ73" s="118">
        <f t="shared" si="148"/>
        <v>0</v>
      </c>
      <c r="EA73" s="118">
        <f t="shared" si="149"/>
        <v>0</v>
      </c>
      <c r="EB73" s="118">
        <f t="shared" si="150"/>
        <v>0</v>
      </c>
      <c r="EC73" s="118">
        <f t="shared" si="151"/>
        <v>0</v>
      </c>
      <c r="ED73" s="118">
        <f t="shared" si="152"/>
        <v>0</v>
      </c>
      <c r="EE73" s="118">
        <f t="shared" si="153"/>
        <v>0</v>
      </c>
      <c r="EF73" s="118">
        <f t="shared" si="154"/>
        <v>0</v>
      </c>
      <c r="EG73" s="118">
        <f t="shared" si="155"/>
        <v>0</v>
      </c>
      <c r="EH73" s="118">
        <f t="shared" si="156"/>
        <v>0</v>
      </c>
      <c r="EI73" s="118">
        <f t="shared" si="157"/>
        <v>0</v>
      </c>
      <c r="EJ73" s="118">
        <f t="shared" si="158"/>
        <v>0</v>
      </c>
      <c r="EK73" s="118">
        <f t="shared" si="159"/>
        <v>0</v>
      </c>
      <c r="EL73" s="118">
        <f t="shared" si="160"/>
        <v>0</v>
      </c>
      <c r="EM73" s="118">
        <f t="shared" si="161"/>
        <v>0</v>
      </c>
      <c r="EN73" s="118">
        <f t="shared" si="162"/>
        <v>0</v>
      </c>
      <c r="EO73" s="118">
        <f t="shared" si="163"/>
        <v>0</v>
      </c>
      <c r="EP73" s="118">
        <f t="shared" si="164"/>
        <v>0</v>
      </c>
      <c r="EQ73" s="118">
        <f t="shared" si="165"/>
        <v>0</v>
      </c>
      <c r="ER73" s="118">
        <f t="shared" si="166"/>
        <v>0</v>
      </c>
      <c r="ES73" s="118">
        <f t="shared" si="167"/>
        <v>0</v>
      </c>
      <c r="ET73" s="177">
        <f t="shared" si="168"/>
        <v>0</v>
      </c>
      <c r="EU73" s="72"/>
      <c r="EV73" s="117">
        <f t="shared" si="169"/>
        <v>1963.4004210268401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70"/>
        <v>0</v>
      </c>
    </row>
    <row r="74" spans="1:193">
      <c r="A74" s="775"/>
      <c r="B74" s="144"/>
      <c r="C74" s="125"/>
      <c r="D74" s="182"/>
      <c r="E74" s="467">
        <f>-C74*B74</f>
        <v>0</v>
      </c>
      <c r="F74" s="468">
        <f>IF(B74&gt;0,-C74*(1+($N$52+0.0008)*1.21)*B74,-C74*(1-($N$52+0.0008)*1.21)*B74)</f>
        <v>0</v>
      </c>
      <c r="G74" s="212">
        <f>G73</f>
        <v>2829.75</v>
      </c>
      <c r="H74" s="475">
        <f>-G74*B74</f>
        <v>0</v>
      </c>
      <c r="I74" s="476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6">
        <f t="shared" si="11"/>
        <v>0</v>
      </c>
      <c r="AY74" s="217">
        <f t="shared" si="12"/>
        <v>0</v>
      </c>
      <c r="AZ74" s="148" t="s">
        <v>402</v>
      </c>
      <c r="BA74" s="112"/>
      <c r="BB74" s="129"/>
      <c r="BC74" s="115"/>
      <c r="BD74" s="218">
        <f t="shared" si="13"/>
        <v>0</v>
      </c>
      <c r="BE74" s="220">
        <f t="shared" si="14"/>
        <v>0</v>
      </c>
      <c r="BF74" s="149" t="s">
        <v>403</v>
      </c>
      <c r="BG74" s="112"/>
      <c r="BH74" s="115"/>
      <c r="BI74" s="221">
        <f t="shared" si="15"/>
        <v>0</v>
      </c>
      <c r="BJ74" s="222">
        <f t="shared" si="16"/>
        <v>0</v>
      </c>
      <c r="DE74" s="117">
        <f t="shared" si="127"/>
        <v>2024.124145388495</v>
      </c>
      <c r="DF74" s="118">
        <f t="shared" si="128"/>
        <v>0</v>
      </c>
      <c r="DG74" s="118">
        <f t="shared" si="129"/>
        <v>0</v>
      </c>
      <c r="DH74" s="118">
        <f t="shared" si="130"/>
        <v>0</v>
      </c>
      <c r="DI74" s="118">
        <f t="shared" si="131"/>
        <v>0</v>
      </c>
      <c r="DJ74" s="118">
        <f t="shared" si="132"/>
        <v>0</v>
      </c>
      <c r="DK74" s="118">
        <f t="shared" si="133"/>
        <v>0</v>
      </c>
      <c r="DL74" s="118">
        <f t="shared" si="134"/>
        <v>0</v>
      </c>
      <c r="DM74" s="118">
        <f t="shared" si="135"/>
        <v>0</v>
      </c>
      <c r="DN74" s="118">
        <f t="shared" si="136"/>
        <v>0</v>
      </c>
      <c r="DO74" s="118">
        <f t="shared" si="137"/>
        <v>0</v>
      </c>
      <c r="DP74" s="118">
        <f t="shared" si="138"/>
        <v>0</v>
      </c>
      <c r="DQ74" s="118">
        <f t="shared" si="139"/>
        <v>0</v>
      </c>
      <c r="DR74" s="118">
        <f t="shared" si="140"/>
        <v>0</v>
      </c>
      <c r="DS74" s="118">
        <f t="shared" si="141"/>
        <v>0</v>
      </c>
      <c r="DT74" s="118">
        <f t="shared" si="142"/>
        <v>0</v>
      </c>
      <c r="DU74" s="118">
        <f t="shared" si="143"/>
        <v>0</v>
      </c>
      <c r="DV74" s="118">
        <f t="shared" si="144"/>
        <v>0</v>
      </c>
      <c r="DW74" s="118">
        <f t="shared" si="145"/>
        <v>0</v>
      </c>
      <c r="DX74" s="118">
        <f t="shared" si="146"/>
        <v>0</v>
      </c>
      <c r="DY74" s="118">
        <f t="shared" si="147"/>
        <v>0</v>
      </c>
      <c r="DZ74" s="118">
        <f t="shared" si="148"/>
        <v>0</v>
      </c>
      <c r="EA74" s="118">
        <f t="shared" si="149"/>
        <v>0</v>
      </c>
      <c r="EB74" s="118">
        <f t="shared" si="150"/>
        <v>0</v>
      </c>
      <c r="EC74" s="118">
        <f t="shared" si="151"/>
        <v>0</v>
      </c>
      <c r="ED74" s="118">
        <f t="shared" si="152"/>
        <v>0</v>
      </c>
      <c r="EE74" s="118">
        <f t="shared" si="153"/>
        <v>0</v>
      </c>
      <c r="EF74" s="118">
        <f t="shared" si="154"/>
        <v>0</v>
      </c>
      <c r="EG74" s="118">
        <f t="shared" si="155"/>
        <v>0</v>
      </c>
      <c r="EH74" s="118">
        <f t="shared" si="156"/>
        <v>0</v>
      </c>
      <c r="EI74" s="118">
        <f t="shared" si="157"/>
        <v>0</v>
      </c>
      <c r="EJ74" s="118">
        <f t="shared" si="158"/>
        <v>0</v>
      </c>
      <c r="EK74" s="118">
        <f t="shared" si="159"/>
        <v>0</v>
      </c>
      <c r="EL74" s="118">
        <f t="shared" si="160"/>
        <v>0</v>
      </c>
      <c r="EM74" s="118">
        <f t="shared" si="161"/>
        <v>0</v>
      </c>
      <c r="EN74" s="118">
        <f t="shared" si="162"/>
        <v>0</v>
      </c>
      <c r="EO74" s="118">
        <f t="shared" si="163"/>
        <v>0</v>
      </c>
      <c r="EP74" s="118">
        <f t="shared" si="164"/>
        <v>0</v>
      </c>
      <c r="EQ74" s="118">
        <f t="shared" si="165"/>
        <v>0</v>
      </c>
      <c r="ER74" s="118">
        <f t="shared" si="166"/>
        <v>0</v>
      </c>
      <c r="ES74" s="118">
        <f t="shared" si="167"/>
        <v>0</v>
      </c>
      <c r="ET74" s="177">
        <f t="shared" si="168"/>
        <v>0</v>
      </c>
      <c r="EU74" s="72"/>
      <c r="EV74" s="117">
        <f t="shared" si="169"/>
        <v>2024.124145388495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70"/>
        <v>0</v>
      </c>
    </row>
    <row r="75" spans="1:193" ht="13.5" thickBot="1">
      <c r="A75" s="776"/>
      <c r="B75" s="178"/>
      <c r="C75" s="183"/>
      <c r="D75" s="184"/>
      <c r="E75" s="469">
        <f>-C75*B75</f>
        <v>0</v>
      </c>
      <c r="F75" s="470">
        <f>IF(B75&gt;0,-C75*(1+($N$52+0.0008)*1.21)*B75,-C75*(1-($N$52+0.0008)*1.21)*B75)</f>
        <v>0</v>
      </c>
      <c r="G75" s="213">
        <f>G74</f>
        <v>2829.75</v>
      </c>
      <c r="H75" s="477">
        <f>-G75*B75</f>
        <v>0</v>
      </c>
      <c r="I75" s="478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6">
        <f t="shared" si="11"/>
        <v>0</v>
      </c>
      <c r="AY75" s="217">
        <f t="shared" si="12"/>
        <v>0</v>
      </c>
      <c r="AZ75" s="148" t="s">
        <v>402</v>
      </c>
      <c r="BA75" s="112"/>
      <c r="BB75" s="129"/>
      <c r="BC75" s="115"/>
      <c r="BD75" s="218">
        <f t="shared" si="13"/>
        <v>0</v>
      </c>
      <c r="BE75" s="220">
        <f t="shared" si="14"/>
        <v>0</v>
      </c>
      <c r="BF75" s="149" t="s">
        <v>403</v>
      </c>
      <c r="BG75" s="112"/>
      <c r="BH75" s="115"/>
      <c r="BI75" s="221">
        <f t="shared" si="15"/>
        <v>0</v>
      </c>
      <c r="BJ75" s="222">
        <f t="shared" si="16"/>
        <v>0</v>
      </c>
      <c r="DE75" s="117">
        <f t="shared" si="127"/>
        <v>2086.7259230809227</v>
      </c>
      <c r="DF75" s="118">
        <f t="shared" si="128"/>
        <v>0</v>
      </c>
      <c r="DG75" s="118">
        <f t="shared" si="129"/>
        <v>0</v>
      </c>
      <c r="DH75" s="118">
        <f t="shared" si="130"/>
        <v>0</v>
      </c>
      <c r="DI75" s="118">
        <f t="shared" si="131"/>
        <v>0</v>
      </c>
      <c r="DJ75" s="118">
        <f t="shared" si="132"/>
        <v>0</v>
      </c>
      <c r="DK75" s="118">
        <f t="shared" si="133"/>
        <v>0</v>
      </c>
      <c r="DL75" s="118">
        <f t="shared" si="134"/>
        <v>0</v>
      </c>
      <c r="DM75" s="118">
        <f t="shared" si="135"/>
        <v>0</v>
      </c>
      <c r="DN75" s="118">
        <f t="shared" si="136"/>
        <v>0</v>
      </c>
      <c r="DO75" s="118">
        <f t="shared" si="137"/>
        <v>0</v>
      </c>
      <c r="DP75" s="118">
        <f t="shared" si="138"/>
        <v>0</v>
      </c>
      <c r="DQ75" s="118">
        <f t="shared" si="139"/>
        <v>0</v>
      </c>
      <c r="DR75" s="118">
        <f t="shared" si="140"/>
        <v>0</v>
      </c>
      <c r="DS75" s="118">
        <f t="shared" si="141"/>
        <v>0</v>
      </c>
      <c r="DT75" s="118">
        <f t="shared" si="142"/>
        <v>0</v>
      </c>
      <c r="DU75" s="118">
        <f t="shared" si="143"/>
        <v>0</v>
      </c>
      <c r="DV75" s="118">
        <f t="shared" si="144"/>
        <v>0</v>
      </c>
      <c r="DW75" s="118">
        <f t="shared" si="145"/>
        <v>0</v>
      </c>
      <c r="DX75" s="118">
        <f t="shared" si="146"/>
        <v>0</v>
      </c>
      <c r="DY75" s="118">
        <f t="shared" si="147"/>
        <v>0</v>
      </c>
      <c r="DZ75" s="118">
        <f t="shared" si="148"/>
        <v>0</v>
      </c>
      <c r="EA75" s="118">
        <f t="shared" si="149"/>
        <v>0</v>
      </c>
      <c r="EB75" s="118">
        <f t="shared" si="150"/>
        <v>0</v>
      </c>
      <c r="EC75" s="118">
        <f t="shared" si="151"/>
        <v>0</v>
      </c>
      <c r="ED75" s="118">
        <f t="shared" si="152"/>
        <v>0</v>
      </c>
      <c r="EE75" s="118">
        <f t="shared" si="153"/>
        <v>0</v>
      </c>
      <c r="EF75" s="118">
        <f t="shared" si="154"/>
        <v>0</v>
      </c>
      <c r="EG75" s="118">
        <f t="shared" si="155"/>
        <v>0</v>
      </c>
      <c r="EH75" s="118">
        <f t="shared" si="156"/>
        <v>0</v>
      </c>
      <c r="EI75" s="118">
        <f t="shared" si="157"/>
        <v>0</v>
      </c>
      <c r="EJ75" s="118">
        <f t="shared" si="158"/>
        <v>0</v>
      </c>
      <c r="EK75" s="118">
        <f t="shared" si="159"/>
        <v>0</v>
      </c>
      <c r="EL75" s="118">
        <f t="shared" si="160"/>
        <v>0</v>
      </c>
      <c r="EM75" s="118">
        <f t="shared" si="161"/>
        <v>0</v>
      </c>
      <c r="EN75" s="118">
        <f t="shared" si="162"/>
        <v>0</v>
      </c>
      <c r="EO75" s="118">
        <f t="shared" si="163"/>
        <v>0</v>
      </c>
      <c r="EP75" s="118">
        <f t="shared" si="164"/>
        <v>0</v>
      </c>
      <c r="EQ75" s="118">
        <f t="shared" si="165"/>
        <v>0</v>
      </c>
      <c r="ER75" s="118">
        <f t="shared" si="166"/>
        <v>0</v>
      </c>
      <c r="ES75" s="118">
        <f t="shared" si="167"/>
        <v>0</v>
      </c>
      <c r="ET75" s="177">
        <f t="shared" si="168"/>
        <v>0</v>
      </c>
      <c r="EU75" s="72"/>
      <c r="EV75" s="117">
        <f t="shared" si="169"/>
        <v>2086.7259230809227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70"/>
        <v>0</v>
      </c>
    </row>
    <row r="76" spans="1:193" ht="13.5" thickBot="1">
      <c r="A76" s="185" t="s">
        <v>458</v>
      </c>
      <c r="B76" s="439">
        <f>IFERROR(VLOOKUP("GGAL - 48hs",HomeBroker!$A$18:$F$106,6,0),0)</f>
        <v>2829.75</v>
      </c>
      <c r="C76" s="186"/>
      <c r="D76" s="187" t="s">
        <v>459</v>
      </c>
      <c r="E76" s="436">
        <f>SUM(E3:E75)</f>
        <v>-21800</v>
      </c>
      <c r="F76" s="437">
        <f>SUM(F3:F75)</f>
        <v>-25366.692800000019</v>
      </c>
      <c r="G76" s="188"/>
      <c r="H76" s="189"/>
      <c r="I76" s="438">
        <f>SUM(I3:I75)</f>
        <v>1012.3071999999956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6">
        <f t="shared" si="11"/>
        <v>0</v>
      </c>
      <c r="AY76" s="217">
        <f t="shared" si="12"/>
        <v>0</v>
      </c>
      <c r="AZ76" s="148" t="s">
        <v>402</v>
      </c>
      <c r="BA76" s="112"/>
      <c r="BB76" s="129"/>
      <c r="BC76" s="115"/>
      <c r="BD76" s="218">
        <f t="shared" si="13"/>
        <v>0</v>
      </c>
      <c r="BE76" s="220">
        <f t="shared" si="14"/>
        <v>0</v>
      </c>
      <c r="BF76" s="149" t="s">
        <v>403</v>
      </c>
      <c r="BG76" s="112"/>
      <c r="BH76" s="115"/>
      <c r="BI76" s="221">
        <f t="shared" si="15"/>
        <v>0</v>
      </c>
      <c r="BJ76" s="222">
        <f t="shared" si="16"/>
        <v>0</v>
      </c>
      <c r="DE76" s="117">
        <f t="shared" si="127"/>
        <v>2151.2638382277555</v>
      </c>
      <c r="DF76" s="118">
        <f t="shared" si="128"/>
        <v>0</v>
      </c>
      <c r="DG76" s="118">
        <f t="shared" si="129"/>
        <v>0</v>
      </c>
      <c r="DH76" s="118">
        <f t="shared" si="130"/>
        <v>0</v>
      </c>
      <c r="DI76" s="118">
        <f t="shared" si="131"/>
        <v>0</v>
      </c>
      <c r="DJ76" s="118">
        <f t="shared" si="132"/>
        <v>0</v>
      </c>
      <c r="DK76" s="118">
        <f t="shared" si="133"/>
        <v>0</v>
      </c>
      <c r="DL76" s="118">
        <f t="shared" si="134"/>
        <v>0</v>
      </c>
      <c r="DM76" s="118">
        <f t="shared" si="135"/>
        <v>0</v>
      </c>
      <c r="DN76" s="118">
        <f t="shared" si="136"/>
        <v>0</v>
      </c>
      <c r="DO76" s="118">
        <f t="shared" si="137"/>
        <v>0</v>
      </c>
      <c r="DP76" s="118">
        <f t="shared" si="138"/>
        <v>0</v>
      </c>
      <c r="DQ76" s="118">
        <f t="shared" si="139"/>
        <v>0</v>
      </c>
      <c r="DR76" s="118">
        <f t="shared" si="140"/>
        <v>0</v>
      </c>
      <c r="DS76" s="118">
        <f t="shared" si="141"/>
        <v>0</v>
      </c>
      <c r="DT76" s="118">
        <f t="shared" si="142"/>
        <v>0</v>
      </c>
      <c r="DU76" s="118">
        <f t="shared" si="143"/>
        <v>0</v>
      </c>
      <c r="DV76" s="118">
        <f t="shared" si="144"/>
        <v>0</v>
      </c>
      <c r="DW76" s="118">
        <f t="shared" si="145"/>
        <v>0</v>
      </c>
      <c r="DX76" s="118">
        <f t="shared" si="146"/>
        <v>0</v>
      </c>
      <c r="DY76" s="118">
        <f t="shared" si="147"/>
        <v>0</v>
      </c>
      <c r="DZ76" s="118">
        <f t="shared" si="148"/>
        <v>0</v>
      </c>
      <c r="EA76" s="118">
        <f t="shared" si="149"/>
        <v>0</v>
      </c>
      <c r="EB76" s="118">
        <f t="shared" si="150"/>
        <v>0</v>
      </c>
      <c r="EC76" s="118">
        <f t="shared" si="151"/>
        <v>0</v>
      </c>
      <c r="ED76" s="118">
        <f t="shared" si="152"/>
        <v>0</v>
      </c>
      <c r="EE76" s="118">
        <f t="shared" si="153"/>
        <v>0</v>
      </c>
      <c r="EF76" s="118">
        <f t="shared" si="154"/>
        <v>0</v>
      </c>
      <c r="EG76" s="118">
        <f t="shared" si="155"/>
        <v>0</v>
      </c>
      <c r="EH76" s="118">
        <f t="shared" si="156"/>
        <v>0</v>
      </c>
      <c r="EI76" s="118">
        <f t="shared" si="157"/>
        <v>0</v>
      </c>
      <c r="EJ76" s="118">
        <f t="shared" si="158"/>
        <v>0</v>
      </c>
      <c r="EK76" s="118">
        <f t="shared" si="159"/>
        <v>0</v>
      </c>
      <c r="EL76" s="118">
        <f t="shared" si="160"/>
        <v>0</v>
      </c>
      <c r="EM76" s="118">
        <f t="shared" si="161"/>
        <v>0</v>
      </c>
      <c r="EN76" s="118">
        <f t="shared" si="162"/>
        <v>0</v>
      </c>
      <c r="EO76" s="118">
        <f t="shared" si="163"/>
        <v>0</v>
      </c>
      <c r="EP76" s="118">
        <f t="shared" si="164"/>
        <v>0</v>
      </c>
      <c r="EQ76" s="118">
        <f t="shared" si="165"/>
        <v>0</v>
      </c>
      <c r="ER76" s="118">
        <f t="shared" si="166"/>
        <v>0</v>
      </c>
      <c r="ES76" s="118">
        <f t="shared" si="167"/>
        <v>0</v>
      </c>
      <c r="ET76" s="177">
        <f t="shared" si="168"/>
        <v>0</v>
      </c>
      <c r="EU76" s="72"/>
      <c r="EV76" s="117">
        <f t="shared" si="169"/>
        <v>2151.2638382277555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70"/>
        <v>0</v>
      </c>
    </row>
    <row r="77" spans="1:193">
      <c r="DE77" s="117">
        <f t="shared" si="127"/>
        <v>2217.7977713688201</v>
      </c>
      <c r="DF77" s="118">
        <f t="shared" si="128"/>
        <v>0</v>
      </c>
      <c r="DG77" s="118">
        <f t="shared" si="129"/>
        <v>0</v>
      </c>
      <c r="DH77" s="118">
        <f t="shared" si="130"/>
        <v>0</v>
      </c>
      <c r="DI77" s="118">
        <f t="shared" si="131"/>
        <v>0</v>
      </c>
      <c r="DJ77" s="118">
        <f t="shared" si="132"/>
        <v>0</v>
      </c>
      <c r="DK77" s="118">
        <f t="shared" si="133"/>
        <v>0</v>
      </c>
      <c r="DL77" s="118">
        <f t="shared" si="134"/>
        <v>0</v>
      </c>
      <c r="DM77" s="118">
        <f t="shared" si="135"/>
        <v>0</v>
      </c>
      <c r="DN77" s="118">
        <f t="shared" si="136"/>
        <v>0</v>
      </c>
      <c r="DO77" s="118">
        <f t="shared" si="137"/>
        <v>0</v>
      </c>
      <c r="DP77" s="118">
        <f t="shared" si="138"/>
        <v>0</v>
      </c>
      <c r="DQ77" s="118">
        <f t="shared" si="139"/>
        <v>0</v>
      </c>
      <c r="DR77" s="118">
        <f t="shared" si="140"/>
        <v>0</v>
      </c>
      <c r="DS77" s="118">
        <f t="shared" si="141"/>
        <v>0</v>
      </c>
      <c r="DT77" s="118">
        <f t="shared" si="142"/>
        <v>0</v>
      </c>
      <c r="DU77" s="118">
        <f t="shared" si="143"/>
        <v>0</v>
      </c>
      <c r="DV77" s="118">
        <f t="shared" si="144"/>
        <v>0</v>
      </c>
      <c r="DW77" s="118">
        <f t="shared" si="145"/>
        <v>0</v>
      </c>
      <c r="DX77" s="118">
        <f t="shared" si="146"/>
        <v>0</v>
      </c>
      <c r="DY77" s="118">
        <f t="shared" si="147"/>
        <v>0</v>
      </c>
      <c r="DZ77" s="118">
        <f t="shared" si="148"/>
        <v>0</v>
      </c>
      <c r="EA77" s="118">
        <f t="shared" si="149"/>
        <v>0</v>
      </c>
      <c r="EB77" s="118">
        <f t="shared" si="150"/>
        <v>0</v>
      </c>
      <c r="EC77" s="118">
        <f t="shared" si="151"/>
        <v>0</v>
      </c>
      <c r="ED77" s="118">
        <f t="shared" si="152"/>
        <v>0</v>
      </c>
      <c r="EE77" s="118">
        <f t="shared" si="153"/>
        <v>0</v>
      </c>
      <c r="EF77" s="118">
        <f t="shared" si="154"/>
        <v>0</v>
      </c>
      <c r="EG77" s="118">
        <f t="shared" si="155"/>
        <v>0</v>
      </c>
      <c r="EH77" s="118">
        <f t="shared" si="156"/>
        <v>0</v>
      </c>
      <c r="EI77" s="118">
        <f t="shared" si="157"/>
        <v>0</v>
      </c>
      <c r="EJ77" s="118">
        <f t="shared" si="158"/>
        <v>0</v>
      </c>
      <c r="EK77" s="118">
        <f t="shared" si="159"/>
        <v>0</v>
      </c>
      <c r="EL77" s="118">
        <f t="shared" si="160"/>
        <v>0</v>
      </c>
      <c r="EM77" s="118">
        <f t="shared" si="161"/>
        <v>0</v>
      </c>
      <c r="EN77" s="118">
        <f t="shared" si="162"/>
        <v>0</v>
      </c>
      <c r="EO77" s="118">
        <f t="shared" si="163"/>
        <v>0</v>
      </c>
      <c r="EP77" s="118">
        <f t="shared" si="164"/>
        <v>0</v>
      </c>
      <c r="EQ77" s="118">
        <f t="shared" si="165"/>
        <v>0</v>
      </c>
      <c r="ER77" s="118">
        <f t="shared" si="166"/>
        <v>0</v>
      </c>
      <c r="ES77" s="118">
        <f t="shared" si="167"/>
        <v>0</v>
      </c>
      <c r="ET77" s="177">
        <f t="shared" si="168"/>
        <v>0</v>
      </c>
      <c r="EU77" s="72"/>
      <c r="EV77" s="117">
        <f t="shared" si="169"/>
        <v>2217.7977713688201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70"/>
        <v>0</v>
      </c>
    </row>
    <row r="78" spans="1:193">
      <c r="DE78" s="117">
        <f t="shared" si="127"/>
        <v>2286.3894550194022</v>
      </c>
      <c r="DF78" s="118">
        <f t="shared" si="128"/>
        <v>0</v>
      </c>
      <c r="DG78" s="118">
        <f t="shared" si="129"/>
        <v>0</v>
      </c>
      <c r="DH78" s="118">
        <f t="shared" si="130"/>
        <v>0</v>
      </c>
      <c r="DI78" s="118">
        <f t="shared" si="131"/>
        <v>0</v>
      </c>
      <c r="DJ78" s="118">
        <f t="shared" si="132"/>
        <v>0</v>
      </c>
      <c r="DK78" s="118">
        <f t="shared" si="133"/>
        <v>0</v>
      </c>
      <c r="DL78" s="118">
        <f t="shared" si="134"/>
        <v>0</v>
      </c>
      <c r="DM78" s="118">
        <f t="shared" si="135"/>
        <v>0</v>
      </c>
      <c r="DN78" s="118">
        <f t="shared" si="136"/>
        <v>0</v>
      </c>
      <c r="DO78" s="118">
        <f t="shared" si="137"/>
        <v>0</v>
      </c>
      <c r="DP78" s="118">
        <f t="shared" si="138"/>
        <v>0</v>
      </c>
      <c r="DQ78" s="118">
        <f t="shared" si="139"/>
        <v>0</v>
      </c>
      <c r="DR78" s="118">
        <f t="shared" si="140"/>
        <v>0</v>
      </c>
      <c r="DS78" s="118">
        <f t="shared" si="141"/>
        <v>0</v>
      </c>
      <c r="DT78" s="118">
        <f t="shared" si="142"/>
        <v>0</v>
      </c>
      <c r="DU78" s="118">
        <f t="shared" si="143"/>
        <v>0</v>
      </c>
      <c r="DV78" s="118">
        <f t="shared" si="144"/>
        <v>0</v>
      </c>
      <c r="DW78" s="118">
        <f t="shared" si="145"/>
        <v>0</v>
      </c>
      <c r="DX78" s="118">
        <f t="shared" si="146"/>
        <v>0</v>
      </c>
      <c r="DY78" s="118">
        <f t="shared" si="147"/>
        <v>0</v>
      </c>
      <c r="DZ78" s="118">
        <f t="shared" si="148"/>
        <v>0</v>
      </c>
      <c r="EA78" s="118">
        <f t="shared" si="149"/>
        <v>0</v>
      </c>
      <c r="EB78" s="118">
        <f t="shared" si="150"/>
        <v>0</v>
      </c>
      <c r="EC78" s="118">
        <f t="shared" si="151"/>
        <v>0</v>
      </c>
      <c r="ED78" s="118">
        <f t="shared" si="152"/>
        <v>0</v>
      </c>
      <c r="EE78" s="118">
        <f t="shared" si="153"/>
        <v>0</v>
      </c>
      <c r="EF78" s="118">
        <f t="shared" si="154"/>
        <v>0</v>
      </c>
      <c r="EG78" s="118">
        <f t="shared" si="155"/>
        <v>0</v>
      </c>
      <c r="EH78" s="118">
        <f t="shared" si="156"/>
        <v>0</v>
      </c>
      <c r="EI78" s="118">
        <f t="shared" si="157"/>
        <v>0</v>
      </c>
      <c r="EJ78" s="118">
        <f t="shared" si="158"/>
        <v>0</v>
      </c>
      <c r="EK78" s="118">
        <f t="shared" si="159"/>
        <v>0</v>
      </c>
      <c r="EL78" s="118">
        <f t="shared" si="160"/>
        <v>0</v>
      </c>
      <c r="EM78" s="118">
        <f t="shared" si="161"/>
        <v>0</v>
      </c>
      <c r="EN78" s="118">
        <f t="shared" si="162"/>
        <v>0</v>
      </c>
      <c r="EO78" s="118">
        <f t="shared" si="163"/>
        <v>0</v>
      </c>
      <c r="EP78" s="118">
        <f t="shared" si="164"/>
        <v>0</v>
      </c>
      <c r="EQ78" s="118">
        <f t="shared" si="165"/>
        <v>0</v>
      </c>
      <c r="ER78" s="118">
        <f t="shared" si="166"/>
        <v>0</v>
      </c>
      <c r="ES78" s="118">
        <f t="shared" si="167"/>
        <v>0</v>
      </c>
      <c r="ET78" s="177">
        <f t="shared" si="168"/>
        <v>0</v>
      </c>
      <c r="EU78" s="72"/>
      <c r="EV78" s="117">
        <f t="shared" si="169"/>
        <v>2286.3894550194022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70"/>
        <v>0</v>
      </c>
    </row>
    <row r="79" spans="1:193">
      <c r="DE79" s="117">
        <f t="shared" si="127"/>
        <v>2357.1025309478373</v>
      </c>
      <c r="DF79" s="118">
        <f t="shared" si="128"/>
        <v>0</v>
      </c>
      <c r="DG79" s="118">
        <f t="shared" si="129"/>
        <v>0</v>
      </c>
      <c r="DH79" s="118">
        <f t="shared" si="130"/>
        <v>0</v>
      </c>
      <c r="DI79" s="118">
        <f t="shared" si="131"/>
        <v>0</v>
      </c>
      <c r="DJ79" s="118">
        <f t="shared" si="132"/>
        <v>0</v>
      </c>
      <c r="DK79" s="118">
        <f t="shared" si="133"/>
        <v>0</v>
      </c>
      <c r="DL79" s="118">
        <f t="shared" si="134"/>
        <v>0</v>
      </c>
      <c r="DM79" s="118">
        <f t="shared" si="135"/>
        <v>0</v>
      </c>
      <c r="DN79" s="118">
        <f t="shared" si="136"/>
        <v>0</v>
      </c>
      <c r="DO79" s="118">
        <f t="shared" si="137"/>
        <v>0</v>
      </c>
      <c r="DP79" s="118">
        <f t="shared" si="138"/>
        <v>0</v>
      </c>
      <c r="DQ79" s="118">
        <f t="shared" si="139"/>
        <v>0</v>
      </c>
      <c r="DR79" s="118">
        <f t="shared" si="140"/>
        <v>0</v>
      </c>
      <c r="DS79" s="118">
        <f t="shared" si="141"/>
        <v>0</v>
      </c>
      <c r="DT79" s="118">
        <f t="shared" si="142"/>
        <v>0</v>
      </c>
      <c r="DU79" s="118">
        <f t="shared" si="143"/>
        <v>0</v>
      </c>
      <c r="DV79" s="118">
        <f t="shared" si="144"/>
        <v>0</v>
      </c>
      <c r="DW79" s="118">
        <f t="shared" si="145"/>
        <v>0</v>
      </c>
      <c r="DX79" s="118">
        <f t="shared" si="146"/>
        <v>0</v>
      </c>
      <c r="DY79" s="118">
        <f t="shared" si="147"/>
        <v>0</v>
      </c>
      <c r="DZ79" s="118">
        <f t="shared" si="148"/>
        <v>0</v>
      </c>
      <c r="EA79" s="118">
        <f t="shared" si="149"/>
        <v>0</v>
      </c>
      <c r="EB79" s="118">
        <f t="shared" si="150"/>
        <v>0</v>
      </c>
      <c r="EC79" s="118">
        <f t="shared" si="151"/>
        <v>0</v>
      </c>
      <c r="ED79" s="118">
        <f t="shared" si="152"/>
        <v>0</v>
      </c>
      <c r="EE79" s="118">
        <f t="shared" si="153"/>
        <v>0</v>
      </c>
      <c r="EF79" s="118">
        <f t="shared" si="154"/>
        <v>0</v>
      </c>
      <c r="EG79" s="118">
        <f t="shared" si="155"/>
        <v>0</v>
      </c>
      <c r="EH79" s="118">
        <f t="shared" si="156"/>
        <v>0</v>
      </c>
      <c r="EI79" s="118">
        <f t="shared" si="157"/>
        <v>0</v>
      </c>
      <c r="EJ79" s="118">
        <f t="shared" si="158"/>
        <v>0</v>
      </c>
      <c r="EK79" s="118">
        <f t="shared" si="159"/>
        <v>0</v>
      </c>
      <c r="EL79" s="118">
        <f t="shared" si="160"/>
        <v>0</v>
      </c>
      <c r="EM79" s="118">
        <f t="shared" si="161"/>
        <v>0</v>
      </c>
      <c r="EN79" s="118">
        <f t="shared" si="162"/>
        <v>0</v>
      </c>
      <c r="EO79" s="118">
        <f t="shared" si="163"/>
        <v>0</v>
      </c>
      <c r="EP79" s="118">
        <f t="shared" si="164"/>
        <v>0</v>
      </c>
      <c r="EQ79" s="118">
        <f t="shared" si="165"/>
        <v>0</v>
      </c>
      <c r="ER79" s="118">
        <f t="shared" si="166"/>
        <v>0</v>
      </c>
      <c r="ES79" s="118">
        <f t="shared" si="167"/>
        <v>0</v>
      </c>
      <c r="ET79" s="177">
        <f t="shared" si="168"/>
        <v>0</v>
      </c>
      <c r="EU79" s="72"/>
      <c r="EV79" s="117">
        <f t="shared" si="169"/>
        <v>2357.1025309478373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70"/>
        <v>0</v>
      </c>
    </row>
    <row r="80" spans="1:193">
      <c r="DE80" s="117">
        <f t="shared" si="127"/>
        <v>2430.0026092245748</v>
      </c>
      <c r="DF80" s="118">
        <f t="shared" si="128"/>
        <v>0</v>
      </c>
      <c r="DG80" s="118">
        <f t="shared" si="129"/>
        <v>0</v>
      </c>
      <c r="DH80" s="118">
        <f t="shared" si="130"/>
        <v>0</v>
      </c>
      <c r="DI80" s="118">
        <f t="shared" si="131"/>
        <v>0</v>
      </c>
      <c r="DJ80" s="118">
        <f t="shared" si="132"/>
        <v>0</v>
      </c>
      <c r="DK80" s="118">
        <f t="shared" si="133"/>
        <v>0</v>
      </c>
      <c r="DL80" s="118">
        <f t="shared" si="134"/>
        <v>0</v>
      </c>
      <c r="DM80" s="118">
        <f t="shared" si="135"/>
        <v>0</v>
      </c>
      <c r="DN80" s="118">
        <f t="shared" si="136"/>
        <v>0</v>
      </c>
      <c r="DO80" s="118">
        <f t="shared" si="137"/>
        <v>0</v>
      </c>
      <c r="DP80" s="118">
        <f t="shared" si="138"/>
        <v>0</v>
      </c>
      <c r="DQ80" s="118">
        <f t="shared" si="139"/>
        <v>0</v>
      </c>
      <c r="DR80" s="118">
        <f t="shared" si="140"/>
        <v>0</v>
      </c>
      <c r="DS80" s="118">
        <f t="shared" si="141"/>
        <v>0</v>
      </c>
      <c r="DT80" s="118">
        <f t="shared" si="142"/>
        <v>0</v>
      </c>
      <c r="DU80" s="118">
        <f t="shared" si="143"/>
        <v>0</v>
      </c>
      <c r="DV80" s="118">
        <f t="shared" si="144"/>
        <v>0</v>
      </c>
      <c r="DW80" s="118">
        <f t="shared" si="145"/>
        <v>0</v>
      </c>
      <c r="DX80" s="118">
        <f t="shared" si="146"/>
        <v>0</v>
      </c>
      <c r="DY80" s="118">
        <f t="shared" si="147"/>
        <v>0</v>
      </c>
      <c r="DZ80" s="118">
        <f t="shared" si="148"/>
        <v>0</v>
      </c>
      <c r="EA80" s="118">
        <f t="shared" si="149"/>
        <v>0</v>
      </c>
      <c r="EB80" s="118">
        <f t="shared" si="150"/>
        <v>0</v>
      </c>
      <c r="EC80" s="118">
        <f t="shared" si="151"/>
        <v>0</v>
      </c>
      <c r="ED80" s="118">
        <f t="shared" si="152"/>
        <v>0</v>
      </c>
      <c r="EE80" s="118">
        <f t="shared" si="153"/>
        <v>0</v>
      </c>
      <c r="EF80" s="118">
        <f t="shared" si="154"/>
        <v>0</v>
      </c>
      <c r="EG80" s="118">
        <f t="shared" si="155"/>
        <v>0</v>
      </c>
      <c r="EH80" s="118">
        <f t="shared" si="156"/>
        <v>0</v>
      </c>
      <c r="EI80" s="118">
        <f t="shared" si="157"/>
        <v>0</v>
      </c>
      <c r="EJ80" s="118">
        <f t="shared" si="158"/>
        <v>0</v>
      </c>
      <c r="EK80" s="118">
        <f t="shared" si="159"/>
        <v>0</v>
      </c>
      <c r="EL80" s="118">
        <f t="shared" si="160"/>
        <v>0</v>
      </c>
      <c r="EM80" s="118">
        <f t="shared" si="161"/>
        <v>0</v>
      </c>
      <c r="EN80" s="118">
        <f t="shared" si="162"/>
        <v>0</v>
      </c>
      <c r="EO80" s="118">
        <f t="shared" si="163"/>
        <v>0</v>
      </c>
      <c r="EP80" s="118">
        <f t="shared" si="164"/>
        <v>0</v>
      </c>
      <c r="EQ80" s="118">
        <f t="shared" si="165"/>
        <v>0</v>
      </c>
      <c r="ER80" s="118">
        <f t="shared" si="166"/>
        <v>0</v>
      </c>
      <c r="ES80" s="118">
        <f t="shared" si="167"/>
        <v>0</v>
      </c>
      <c r="ET80" s="177">
        <f t="shared" si="168"/>
        <v>0</v>
      </c>
      <c r="EU80" s="72"/>
      <c r="EV80" s="117">
        <f t="shared" si="169"/>
        <v>2430.0026092245748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70"/>
        <v>0</v>
      </c>
    </row>
    <row r="81" spans="109:193">
      <c r="DE81" s="117">
        <f t="shared" si="127"/>
        <v>2505.1573290974998</v>
      </c>
      <c r="DF81" s="118">
        <f t="shared" si="128"/>
        <v>0</v>
      </c>
      <c r="DG81" s="118">
        <f t="shared" si="129"/>
        <v>0</v>
      </c>
      <c r="DH81" s="118">
        <f t="shared" si="130"/>
        <v>0</v>
      </c>
      <c r="DI81" s="118">
        <f t="shared" si="131"/>
        <v>0</v>
      </c>
      <c r="DJ81" s="118">
        <f t="shared" si="132"/>
        <v>0</v>
      </c>
      <c r="DK81" s="118">
        <f t="shared" si="133"/>
        <v>0</v>
      </c>
      <c r="DL81" s="118">
        <f t="shared" si="134"/>
        <v>0</v>
      </c>
      <c r="DM81" s="118">
        <f t="shared" si="135"/>
        <v>0</v>
      </c>
      <c r="DN81" s="118">
        <f t="shared" si="136"/>
        <v>0</v>
      </c>
      <c r="DO81" s="118">
        <f t="shared" si="137"/>
        <v>0</v>
      </c>
      <c r="DP81" s="118">
        <f t="shared" si="138"/>
        <v>0</v>
      </c>
      <c r="DQ81" s="118">
        <f t="shared" si="139"/>
        <v>0</v>
      </c>
      <c r="DR81" s="118">
        <f t="shared" si="140"/>
        <v>0</v>
      </c>
      <c r="DS81" s="118">
        <f t="shared" si="141"/>
        <v>0</v>
      </c>
      <c r="DT81" s="118">
        <f t="shared" si="142"/>
        <v>0</v>
      </c>
      <c r="DU81" s="118">
        <f t="shared" si="143"/>
        <v>0</v>
      </c>
      <c r="DV81" s="118">
        <f t="shared" si="144"/>
        <v>0</v>
      </c>
      <c r="DW81" s="118">
        <f t="shared" si="145"/>
        <v>0</v>
      </c>
      <c r="DX81" s="118">
        <f t="shared" si="146"/>
        <v>0</v>
      </c>
      <c r="DY81" s="118">
        <f t="shared" si="147"/>
        <v>0</v>
      </c>
      <c r="DZ81" s="118">
        <f t="shared" si="148"/>
        <v>0</v>
      </c>
      <c r="EA81" s="118">
        <f t="shared" si="149"/>
        <v>0</v>
      </c>
      <c r="EB81" s="118">
        <f t="shared" si="150"/>
        <v>0</v>
      </c>
      <c r="EC81" s="118">
        <f t="shared" si="151"/>
        <v>0</v>
      </c>
      <c r="ED81" s="118">
        <f t="shared" si="152"/>
        <v>0</v>
      </c>
      <c r="EE81" s="118">
        <f t="shared" si="153"/>
        <v>0</v>
      </c>
      <c r="EF81" s="118">
        <f t="shared" si="154"/>
        <v>0</v>
      </c>
      <c r="EG81" s="118">
        <f t="shared" si="155"/>
        <v>0</v>
      </c>
      <c r="EH81" s="118">
        <f t="shared" si="156"/>
        <v>0</v>
      </c>
      <c r="EI81" s="118">
        <f t="shared" si="157"/>
        <v>0</v>
      </c>
      <c r="EJ81" s="118">
        <f t="shared" si="158"/>
        <v>0</v>
      </c>
      <c r="EK81" s="118">
        <f t="shared" si="159"/>
        <v>0</v>
      </c>
      <c r="EL81" s="118">
        <f t="shared" si="160"/>
        <v>0</v>
      </c>
      <c r="EM81" s="118">
        <f t="shared" si="161"/>
        <v>0</v>
      </c>
      <c r="EN81" s="118">
        <f t="shared" si="162"/>
        <v>0</v>
      </c>
      <c r="EO81" s="118">
        <f t="shared" si="163"/>
        <v>0</v>
      </c>
      <c r="EP81" s="118">
        <f t="shared" si="164"/>
        <v>0</v>
      </c>
      <c r="EQ81" s="118">
        <f t="shared" si="165"/>
        <v>0</v>
      </c>
      <c r="ER81" s="118">
        <f t="shared" si="166"/>
        <v>0</v>
      </c>
      <c r="ES81" s="118">
        <f t="shared" si="167"/>
        <v>0</v>
      </c>
      <c r="ET81" s="177">
        <f t="shared" si="168"/>
        <v>0</v>
      </c>
      <c r="EU81" s="72"/>
      <c r="EV81" s="117">
        <f t="shared" si="169"/>
        <v>2505.1573290974998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70"/>
        <v>0</v>
      </c>
    </row>
    <row r="82" spans="109:193">
      <c r="DE82" s="117">
        <f t="shared" si="127"/>
        <v>2582.63642175</v>
      </c>
      <c r="DF82" s="118">
        <f t="shared" si="128"/>
        <v>0</v>
      </c>
      <c r="DG82" s="118">
        <f t="shared" si="129"/>
        <v>0</v>
      </c>
      <c r="DH82" s="118">
        <f t="shared" si="130"/>
        <v>0</v>
      </c>
      <c r="DI82" s="118">
        <f t="shared" si="131"/>
        <v>0</v>
      </c>
      <c r="DJ82" s="118">
        <f t="shared" si="132"/>
        <v>0</v>
      </c>
      <c r="DK82" s="118">
        <f t="shared" si="133"/>
        <v>0</v>
      </c>
      <c r="DL82" s="118">
        <f t="shared" si="134"/>
        <v>0</v>
      </c>
      <c r="DM82" s="118">
        <f t="shared" si="135"/>
        <v>0</v>
      </c>
      <c r="DN82" s="118">
        <f t="shared" si="136"/>
        <v>0</v>
      </c>
      <c r="DO82" s="118">
        <f t="shared" si="137"/>
        <v>0</v>
      </c>
      <c r="DP82" s="118">
        <f t="shared" si="138"/>
        <v>0</v>
      </c>
      <c r="DQ82" s="118">
        <f t="shared" si="139"/>
        <v>0</v>
      </c>
      <c r="DR82" s="118">
        <f t="shared" si="140"/>
        <v>0</v>
      </c>
      <c r="DS82" s="118">
        <f t="shared" si="141"/>
        <v>0</v>
      </c>
      <c r="DT82" s="118">
        <f t="shared" si="142"/>
        <v>0</v>
      </c>
      <c r="DU82" s="118">
        <f t="shared" si="143"/>
        <v>0</v>
      </c>
      <c r="DV82" s="118">
        <f t="shared" si="144"/>
        <v>0</v>
      </c>
      <c r="DW82" s="118">
        <f t="shared" si="145"/>
        <v>0</v>
      </c>
      <c r="DX82" s="118">
        <f t="shared" si="146"/>
        <v>0</v>
      </c>
      <c r="DY82" s="118">
        <f t="shared" si="147"/>
        <v>0</v>
      </c>
      <c r="DZ82" s="118">
        <f t="shared" si="148"/>
        <v>0</v>
      </c>
      <c r="EA82" s="118">
        <f t="shared" si="149"/>
        <v>0</v>
      </c>
      <c r="EB82" s="118">
        <f t="shared" si="150"/>
        <v>0</v>
      </c>
      <c r="EC82" s="118">
        <f t="shared" si="151"/>
        <v>0</v>
      </c>
      <c r="ED82" s="118">
        <f t="shared" si="152"/>
        <v>0</v>
      </c>
      <c r="EE82" s="118">
        <f t="shared" si="153"/>
        <v>0</v>
      </c>
      <c r="EF82" s="118">
        <f t="shared" si="154"/>
        <v>0</v>
      </c>
      <c r="EG82" s="118">
        <f t="shared" si="155"/>
        <v>0</v>
      </c>
      <c r="EH82" s="118">
        <f t="shared" si="156"/>
        <v>0</v>
      </c>
      <c r="EI82" s="118">
        <f t="shared" si="157"/>
        <v>0</v>
      </c>
      <c r="EJ82" s="118">
        <f t="shared" si="158"/>
        <v>0</v>
      </c>
      <c r="EK82" s="118">
        <f t="shared" si="159"/>
        <v>0</v>
      </c>
      <c r="EL82" s="118">
        <f t="shared" si="160"/>
        <v>0</v>
      </c>
      <c r="EM82" s="118">
        <f t="shared" si="161"/>
        <v>0</v>
      </c>
      <c r="EN82" s="118">
        <f t="shared" si="162"/>
        <v>0</v>
      </c>
      <c r="EO82" s="118">
        <f t="shared" si="163"/>
        <v>0</v>
      </c>
      <c r="EP82" s="118">
        <f t="shared" si="164"/>
        <v>0</v>
      </c>
      <c r="EQ82" s="118">
        <f t="shared" si="165"/>
        <v>0</v>
      </c>
      <c r="ER82" s="118">
        <f t="shared" si="166"/>
        <v>0</v>
      </c>
      <c r="ES82" s="118">
        <f t="shared" si="167"/>
        <v>0</v>
      </c>
      <c r="ET82" s="177">
        <f t="shared" si="168"/>
        <v>0</v>
      </c>
      <c r="EU82" s="72"/>
      <c r="EV82" s="117">
        <f t="shared" si="169"/>
        <v>2582.63642175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70"/>
        <v>0</v>
      </c>
    </row>
    <row r="83" spans="109:193">
      <c r="DE83" s="117">
        <f t="shared" si="127"/>
        <v>2662.5117749999999</v>
      </c>
      <c r="DF83" s="118">
        <f t="shared" si="128"/>
        <v>0</v>
      </c>
      <c r="DG83" s="118">
        <f t="shared" si="129"/>
        <v>0</v>
      </c>
      <c r="DH83" s="118">
        <f t="shared" si="130"/>
        <v>0</v>
      </c>
      <c r="DI83" s="118">
        <f t="shared" si="131"/>
        <v>0</v>
      </c>
      <c r="DJ83" s="118">
        <f t="shared" si="132"/>
        <v>0</v>
      </c>
      <c r="DK83" s="118">
        <f t="shared" si="133"/>
        <v>0</v>
      </c>
      <c r="DL83" s="118">
        <f t="shared" si="134"/>
        <v>0</v>
      </c>
      <c r="DM83" s="118">
        <f t="shared" si="135"/>
        <v>0</v>
      </c>
      <c r="DN83" s="118">
        <f t="shared" si="136"/>
        <v>0</v>
      </c>
      <c r="DO83" s="118">
        <f t="shared" si="137"/>
        <v>0</v>
      </c>
      <c r="DP83" s="118">
        <f t="shared" si="138"/>
        <v>0</v>
      </c>
      <c r="DQ83" s="118">
        <f t="shared" si="139"/>
        <v>0</v>
      </c>
      <c r="DR83" s="118">
        <f t="shared" si="140"/>
        <v>0</v>
      </c>
      <c r="DS83" s="118">
        <f t="shared" si="141"/>
        <v>0</v>
      </c>
      <c r="DT83" s="118">
        <f t="shared" si="142"/>
        <v>0</v>
      </c>
      <c r="DU83" s="118">
        <f t="shared" si="143"/>
        <v>0</v>
      </c>
      <c r="DV83" s="118">
        <f t="shared" si="144"/>
        <v>0</v>
      </c>
      <c r="DW83" s="118">
        <f t="shared" si="145"/>
        <v>0</v>
      </c>
      <c r="DX83" s="118">
        <f t="shared" si="146"/>
        <v>0</v>
      </c>
      <c r="DY83" s="118">
        <f t="shared" si="147"/>
        <v>0</v>
      </c>
      <c r="DZ83" s="118">
        <f t="shared" si="148"/>
        <v>0</v>
      </c>
      <c r="EA83" s="118">
        <f t="shared" si="149"/>
        <v>0</v>
      </c>
      <c r="EB83" s="118">
        <f t="shared" si="150"/>
        <v>0</v>
      </c>
      <c r="EC83" s="118">
        <f t="shared" si="151"/>
        <v>0</v>
      </c>
      <c r="ED83" s="118">
        <f t="shared" si="152"/>
        <v>0</v>
      </c>
      <c r="EE83" s="118">
        <f t="shared" si="153"/>
        <v>0</v>
      </c>
      <c r="EF83" s="118">
        <f t="shared" si="154"/>
        <v>0</v>
      </c>
      <c r="EG83" s="118">
        <f t="shared" si="155"/>
        <v>0</v>
      </c>
      <c r="EH83" s="118">
        <f t="shared" si="156"/>
        <v>0</v>
      </c>
      <c r="EI83" s="118">
        <f t="shared" si="157"/>
        <v>0</v>
      </c>
      <c r="EJ83" s="118">
        <f t="shared" si="158"/>
        <v>0</v>
      </c>
      <c r="EK83" s="118">
        <f t="shared" si="159"/>
        <v>0</v>
      </c>
      <c r="EL83" s="118">
        <f t="shared" si="160"/>
        <v>0</v>
      </c>
      <c r="EM83" s="118">
        <f t="shared" si="161"/>
        <v>0</v>
      </c>
      <c r="EN83" s="118">
        <f t="shared" si="162"/>
        <v>0</v>
      </c>
      <c r="EO83" s="118">
        <f t="shared" si="163"/>
        <v>0</v>
      </c>
      <c r="EP83" s="118">
        <f t="shared" si="164"/>
        <v>0</v>
      </c>
      <c r="EQ83" s="118">
        <f t="shared" si="165"/>
        <v>0</v>
      </c>
      <c r="ER83" s="118">
        <f t="shared" si="166"/>
        <v>0</v>
      </c>
      <c r="ES83" s="118">
        <f t="shared" si="167"/>
        <v>0</v>
      </c>
      <c r="ET83" s="177">
        <f t="shared" si="168"/>
        <v>0</v>
      </c>
      <c r="EU83" s="72"/>
      <c r="EV83" s="117">
        <f t="shared" si="169"/>
        <v>2662.5117749999999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70"/>
        <v>0</v>
      </c>
    </row>
    <row r="84" spans="109:193">
      <c r="DE84" s="117">
        <f t="shared" si="127"/>
        <v>2744.8575000000001</v>
      </c>
      <c r="DF84" s="118">
        <f t="shared" si="128"/>
        <v>0</v>
      </c>
      <c r="DG84" s="118">
        <f t="shared" si="129"/>
        <v>0</v>
      </c>
      <c r="DH84" s="118">
        <f t="shared" si="130"/>
        <v>0</v>
      </c>
      <c r="DI84" s="118">
        <f t="shared" si="131"/>
        <v>0</v>
      </c>
      <c r="DJ84" s="118">
        <f t="shared" si="132"/>
        <v>0</v>
      </c>
      <c r="DK84" s="118">
        <f t="shared" si="133"/>
        <v>0</v>
      </c>
      <c r="DL84" s="118">
        <f t="shared" si="134"/>
        <v>0</v>
      </c>
      <c r="DM84" s="118">
        <f t="shared" si="135"/>
        <v>0</v>
      </c>
      <c r="DN84" s="118">
        <f t="shared" si="136"/>
        <v>0</v>
      </c>
      <c r="DO84" s="118">
        <f t="shared" si="137"/>
        <v>0</v>
      </c>
      <c r="DP84" s="118">
        <f t="shared" si="138"/>
        <v>0</v>
      </c>
      <c r="DQ84" s="118">
        <f t="shared" si="139"/>
        <v>0</v>
      </c>
      <c r="DR84" s="118">
        <f t="shared" si="140"/>
        <v>0</v>
      </c>
      <c r="DS84" s="118">
        <f t="shared" si="141"/>
        <v>0</v>
      </c>
      <c r="DT84" s="118">
        <f t="shared" si="142"/>
        <v>0</v>
      </c>
      <c r="DU84" s="118">
        <f t="shared" si="143"/>
        <v>0</v>
      </c>
      <c r="DV84" s="118">
        <f t="shared" si="144"/>
        <v>0</v>
      </c>
      <c r="DW84" s="118">
        <f t="shared" si="145"/>
        <v>0</v>
      </c>
      <c r="DX84" s="118">
        <f t="shared" si="146"/>
        <v>0</v>
      </c>
      <c r="DY84" s="118">
        <f t="shared" si="147"/>
        <v>0</v>
      </c>
      <c r="DZ84" s="118">
        <f t="shared" si="148"/>
        <v>0</v>
      </c>
      <c r="EA84" s="118">
        <f t="shared" si="149"/>
        <v>0</v>
      </c>
      <c r="EB84" s="118">
        <f t="shared" si="150"/>
        <v>0</v>
      </c>
      <c r="EC84" s="118">
        <f t="shared" si="151"/>
        <v>0</v>
      </c>
      <c r="ED84" s="118">
        <f t="shared" si="152"/>
        <v>0</v>
      </c>
      <c r="EE84" s="118">
        <f t="shared" si="153"/>
        <v>0</v>
      </c>
      <c r="EF84" s="118">
        <f t="shared" si="154"/>
        <v>0</v>
      </c>
      <c r="EG84" s="118">
        <f t="shared" si="155"/>
        <v>0</v>
      </c>
      <c r="EH84" s="118">
        <f t="shared" si="156"/>
        <v>0</v>
      </c>
      <c r="EI84" s="118">
        <f t="shared" si="157"/>
        <v>0</v>
      </c>
      <c r="EJ84" s="118">
        <f t="shared" si="158"/>
        <v>0</v>
      </c>
      <c r="EK84" s="118">
        <f t="shared" si="159"/>
        <v>0</v>
      </c>
      <c r="EL84" s="118">
        <f t="shared" si="160"/>
        <v>0</v>
      </c>
      <c r="EM84" s="118">
        <f t="shared" si="161"/>
        <v>0</v>
      </c>
      <c r="EN84" s="118">
        <f t="shared" si="162"/>
        <v>0</v>
      </c>
      <c r="EO84" s="118">
        <f t="shared" si="163"/>
        <v>0</v>
      </c>
      <c r="EP84" s="118">
        <f t="shared" si="164"/>
        <v>0</v>
      </c>
      <c r="EQ84" s="118">
        <f t="shared" si="165"/>
        <v>0</v>
      </c>
      <c r="ER84" s="118">
        <f t="shared" si="166"/>
        <v>0</v>
      </c>
      <c r="ES84" s="118">
        <f t="shared" si="167"/>
        <v>0</v>
      </c>
      <c r="ET84" s="177">
        <f t="shared" si="168"/>
        <v>0</v>
      </c>
      <c r="EU84" s="72"/>
      <c r="EV84" s="117">
        <f t="shared" si="169"/>
        <v>2744.8575000000001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70"/>
        <v>0</v>
      </c>
    </row>
    <row r="85" spans="109:193">
      <c r="DE85" s="117">
        <f t="shared" si="127"/>
        <v>2829.75</v>
      </c>
      <c r="DF85" s="118">
        <f t="shared" si="128"/>
        <v>0</v>
      </c>
      <c r="DG85" s="118">
        <f t="shared" si="129"/>
        <v>0</v>
      </c>
      <c r="DH85" s="118">
        <f t="shared" si="130"/>
        <v>0</v>
      </c>
      <c r="DI85" s="118">
        <f t="shared" si="131"/>
        <v>0</v>
      </c>
      <c r="DJ85" s="118">
        <f t="shared" si="132"/>
        <v>0</v>
      </c>
      <c r="DK85" s="118">
        <f t="shared" si="133"/>
        <v>0</v>
      </c>
      <c r="DL85" s="118">
        <f t="shared" si="134"/>
        <v>0</v>
      </c>
      <c r="DM85" s="118">
        <f t="shared" si="135"/>
        <v>0</v>
      </c>
      <c r="DN85" s="118">
        <f t="shared" si="136"/>
        <v>0</v>
      </c>
      <c r="DO85" s="118">
        <f t="shared" si="137"/>
        <v>0</v>
      </c>
      <c r="DP85" s="118">
        <f t="shared" si="138"/>
        <v>0</v>
      </c>
      <c r="DQ85" s="118">
        <f t="shared" si="139"/>
        <v>0</v>
      </c>
      <c r="DR85" s="118">
        <f t="shared" si="140"/>
        <v>0</v>
      </c>
      <c r="DS85" s="118">
        <f t="shared" si="141"/>
        <v>0</v>
      </c>
      <c r="DT85" s="118">
        <f t="shared" si="142"/>
        <v>0</v>
      </c>
      <c r="DU85" s="118">
        <f t="shared" si="143"/>
        <v>0</v>
      </c>
      <c r="DV85" s="118">
        <f t="shared" si="144"/>
        <v>0</v>
      </c>
      <c r="DW85" s="118">
        <f t="shared" si="145"/>
        <v>0</v>
      </c>
      <c r="DX85" s="118">
        <f t="shared" si="146"/>
        <v>0</v>
      </c>
      <c r="DY85" s="118">
        <f t="shared" si="147"/>
        <v>0</v>
      </c>
      <c r="DZ85" s="118">
        <f t="shared" si="148"/>
        <v>0</v>
      </c>
      <c r="EA85" s="118">
        <f t="shared" si="149"/>
        <v>0</v>
      </c>
      <c r="EB85" s="118">
        <f t="shared" si="150"/>
        <v>0</v>
      </c>
      <c r="EC85" s="118">
        <f t="shared" si="151"/>
        <v>0</v>
      </c>
      <c r="ED85" s="118">
        <f t="shared" si="152"/>
        <v>0</v>
      </c>
      <c r="EE85" s="118">
        <f t="shared" si="153"/>
        <v>0</v>
      </c>
      <c r="EF85" s="118">
        <f t="shared" si="154"/>
        <v>0</v>
      </c>
      <c r="EG85" s="118">
        <f t="shared" si="155"/>
        <v>0</v>
      </c>
      <c r="EH85" s="118">
        <f t="shared" si="156"/>
        <v>0</v>
      </c>
      <c r="EI85" s="118">
        <f t="shared" si="157"/>
        <v>0</v>
      </c>
      <c r="EJ85" s="118">
        <f t="shared" si="158"/>
        <v>0</v>
      </c>
      <c r="EK85" s="118">
        <f t="shared" si="159"/>
        <v>0</v>
      </c>
      <c r="EL85" s="118">
        <f t="shared" si="160"/>
        <v>0</v>
      </c>
      <c r="EM85" s="118">
        <f t="shared" si="161"/>
        <v>0</v>
      </c>
      <c r="EN85" s="118">
        <f t="shared" si="162"/>
        <v>0</v>
      </c>
      <c r="EO85" s="118">
        <f t="shared" si="163"/>
        <v>0</v>
      </c>
      <c r="EP85" s="118">
        <f t="shared" si="164"/>
        <v>0</v>
      </c>
      <c r="EQ85" s="118">
        <f t="shared" si="165"/>
        <v>0</v>
      </c>
      <c r="ER85" s="118">
        <f t="shared" si="166"/>
        <v>0</v>
      </c>
      <c r="ES85" s="118">
        <f t="shared" si="167"/>
        <v>0</v>
      </c>
      <c r="ET85" s="177">
        <f t="shared" si="168"/>
        <v>0</v>
      </c>
      <c r="EU85" s="72"/>
      <c r="EV85" s="117">
        <f t="shared" si="169"/>
        <v>2829.75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70"/>
        <v>0</v>
      </c>
    </row>
    <row r="86" spans="109:193">
      <c r="DE86" s="117">
        <f t="shared" si="127"/>
        <v>2914.6424999999999</v>
      </c>
      <c r="DF86" s="118">
        <f t="shared" si="128"/>
        <v>7321.2499999999636</v>
      </c>
      <c r="DG86" s="118">
        <f t="shared" si="129"/>
        <v>0</v>
      </c>
      <c r="DH86" s="118">
        <f t="shared" si="130"/>
        <v>0</v>
      </c>
      <c r="DI86" s="118">
        <f t="shared" si="131"/>
        <v>0</v>
      </c>
      <c r="DJ86" s="118">
        <f t="shared" si="132"/>
        <v>0</v>
      </c>
      <c r="DK86" s="118">
        <f t="shared" si="133"/>
        <v>0</v>
      </c>
      <c r="DL86" s="118">
        <f t="shared" si="134"/>
        <v>0</v>
      </c>
      <c r="DM86" s="118">
        <f t="shared" si="135"/>
        <v>0</v>
      </c>
      <c r="DN86" s="118">
        <f t="shared" si="136"/>
        <v>0</v>
      </c>
      <c r="DO86" s="118">
        <f t="shared" si="137"/>
        <v>0</v>
      </c>
      <c r="DP86" s="118">
        <f t="shared" si="138"/>
        <v>0</v>
      </c>
      <c r="DQ86" s="118">
        <f t="shared" si="139"/>
        <v>0</v>
      </c>
      <c r="DR86" s="118">
        <f t="shared" si="140"/>
        <v>0</v>
      </c>
      <c r="DS86" s="118">
        <f t="shared" si="141"/>
        <v>0</v>
      </c>
      <c r="DT86" s="118">
        <f t="shared" si="142"/>
        <v>0</v>
      </c>
      <c r="DU86" s="118">
        <f t="shared" si="143"/>
        <v>0</v>
      </c>
      <c r="DV86" s="118">
        <f t="shared" si="144"/>
        <v>0</v>
      </c>
      <c r="DW86" s="118">
        <f t="shared" si="145"/>
        <v>0</v>
      </c>
      <c r="DX86" s="118">
        <f t="shared" si="146"/>
        <v>0</v>
      </c>
      <c r="DY86" s="118">
        <f t="shared" si="147"/>
        <v>0</v>
      </c>
      <c r="DZ86" s="118">
        <f t="shared" si="148"/>
        <v>0</v>
      </c>
      <c r="EA86" s="118">
        <f t="shared" si="149"/>
        <v>0</v>
      </c>
      <c r="EB86" s="118">
        <f t="shared" si="150"/>
        <v>0</v>
      </c>
      <c r="EC86" s="118">
        <f t="shared" si="151"/>
        <v>0</v>
      </c>
      <c r="ED86" s="118">
        <f t="shared" si="152"/>
        <v>0</v>
      </c>
      <c r="EE86" s="118">
        <f t="shared" si="153"/>
        <v>0</v>
      </c>
      <c r="EF86" s="118">
        <f t="shared" si="154"/>
        <v>0</v>
      </c>
      <c r="EG86" s="118">
        <f t="shared" si="155"/>
        <v>0</v>
      </c>
      <c r="EH86" s="118">
        <f t="shared" si="156"/>
        <v>0</v>
      </c>
      <c r="EI86" s="118">
        <f t="shared" si="157"/>
        <v>0</v>
      </c>
      <c r="EJ86" s="118">
        <f t="shared" si="158"/>
        <v>0</v>
      </c>
      <c r="EK86" s="118">
        <f t="shared" si="159"/>
        <v>0</v>
      </c>
      <c r="EL86" s="118">
        <f t="shared" si="160"/>
        <v>0</v>
      </c>
      <c r="EM86" s="118">
        <f t="shared" si="161"/>
        <v>0</v>
      </c>
      <c r="EN86" s="118">
        <f t="shared" si="162"/>
        <v>0</v>
      </c>
      <c r="EO86" s="118">
        <f t="shared" si="163"/>
        <v>0</v>
      </c>
      <c r="EP86" s="118">
        <f t="shared" si="164"/>
        <v>0</v>
      </c>
      <c r="EQ86" s="118">
        <f t="shared" si="165"/>
        <v>0</v>
      </c>
      <c r="ER86" s="118">
        <f t="shared" si="166"/>
        <v>0</v>
      </c>
      <c r="ES86" s="118">
        <f t="shared" si="167"/>
        <v>0</v>
      </c>
      <c r="ET86" s="177">
        <f t="shared" si="168"/>
        <v>7321.2499999999636</v>
      </c>
      <c r="EU86" s="72"/>
      <c r="EV86" s="117">
        <f t="shared" si="169"/>
        <v>2914.6424999999999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70"/>
        <v>0</v>
      </c>
    </row>
    <row r="87" spans="109:193">
      <c r="DE87" s="117">
        <f t="shared" si="127"/>
        <v>3002.0817750000001</v>
      </c>
      <c r="DF87" s="118">
        <f t="shared" si="128"/>
        <v>51040.887500000055</v>
      </c>
      <c r="DG87" s="118">
        <f t="shared" si="129"/>
        <v>-1665.4200000000856</v>
      </c>
      <c r="DH87" s="118">
        <f t="shared" si="130"/>
        <v>0</v>
      </c>
      <c r="DI87" s="118">
        <f t="shared" si="131"/>
        <v>0</v>
      </c>
      <c r="DJ87" s="118">
        <f t="shared" si="132"/>
        <v>0</v>
      </c>
      <c r="DK87" s="118">
        <f t="shared" si="133"/>
        <v>0</v>
      </c>
      <c r="DL87" s="118">
        <f t="shared" si="134"/>
        <v>0</v>
      </c>
      <c r="DM87" s="118">
        <f t="shared" si="135"/>
        <v>0</v>
      </c>
      <c r="DN87" s="118">
        <f t="shared" si="136"/>
        <v>0</v>
      </c>
      <c r="DO87" s="118">
        <f t="shared" si="137"/>
        <v>0</v>
      </c>
      <c r="DP87" s="118">
        <f t="shared" si="138"/>
        <v>0</v>
      </c>
      <c r="DQ87" s="118">
        <f t="shared" si="139"/>
        <v>0</v>
      </c>
      <c r="DR87" s="118">
        <f t="shared" si="140"/>
        <v>0</v>
      </c>
      <c r="DS87" s="118">
        <f t="shared" si="141"/>
        <v>0</v>
      </c>
      <c r="DT87" s="118">
        <f t="shared" si="142"/>
        <v>0</v>
      </c>
      <c r="DU87" s="118">
        <f t="shared" si="143"/>
        <v>0</v>
      </c>
      <c r="DV87" s="118">
        <f t="shared" si="144"/>
        <v>0</v>
      </c>
      <c r="DW87" s="118">
        <f t="shared" si="145"/>
        <v>0</v>
      </c>
      <c r="DX87" s="118">
        <f t="shared" si="146"/>
        <v>0</v>
      </c>
      <c r="DY87" s="118">
        <f t="shared" si="147"/>
        <v>0</v>
      </c>
      <c r="DZ87" s="118">
        <f t="shared" si="148"/>
        <v>0</v>
      </c>
      <c r="EA87" s="118">
        <f t="shared" si="149"/>
        <v>0</v>
      </c>
      <c r="EB87" s="118">
        <f t="shared" si="150"/>
        <v>0</v>
      </c>
      <c r="EC87" s="118">
        <f t="shared" si="151"/>
        <v>0</v>
      </c>
      <c r="ED87" s="118">
        <f t="shared" si="152"/>
        <v>0</v>
      </c>
      <c r="EE87" s="118">
        <f t="shared" si="153"/>
        <v>0</v>
      </c>
      <c r="EF87" s="118">
        <f t="shared" si="154"/>
        <v>0</v>
      </c>
      <c r="EG87" s="118">
        <f t="shared" si="155"/>
        <v>0</v>
      </c>
      <c r="EH87" s="118">
        <f t="shared" si="156"/>
        <v>0</v>
      </c>
      <c r="EI87" s="118">
        <f t="shared" si="157"/>
        <v>0</v>
      </c>
      <c r="EJ87" s="118">
        <f t="shared" si="158"/>
        <v>0</v>
      </c>
      <c r="EK87" s="118">
        <f t="shared" si="159"/>
        <v>0</v>
      </c>
      <c r="EL87" s="118">
        <f t="shared" si="160"/>
        <v>0</v>
      </c>
      <c r="EM87" s="118">
        <f t="shared" si="161"/>
        <v>0</v>
      </c>
      <c r="EN87" s="118">
        <f t="shared" si="162"/>
        <v>0</v>
      </c>
      <c r="EO87" s="118">
        <f t="shared" si="163"/>
        <v>0</v>
      </c>
      <c r="EP87" s="118">
        <f t="shared" si="164"/>
        <v>0</v>
      </c>
      <c r="EQ87" s="118">
        <f t="shared" si="165"/>
        <v>0</v>
      </c>
      <c r="ER87" s="118">
        <f t="shared" si="166"/>
        <v>0</v>
      </c>
      <c r="ES87" s="118">
        <f t="shared" si="167"/>
        <v>0</v>
      </c>
      <c r="ET87" s="177">
        <f t="shared" si="168"/>
        <v>49375.46749999997</v>
      </c>
      <c r="EU87" s="72"/>
      <c r="EV87" s="117">
        <f t="shared" si="169"/>
        <v>3002.0817750000001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70"/>
        <v>0</v>
      </c>
    </row>
    <row r="88" spans="109:193">
      <c r="DE88" s="117">
        <f t="shared" si="127"/>
        <v>3092.1442282500002</v>
      </c>
      <c r="DF88" s="118">
        <f t="shared" si="128"/>
        <v>96072.114125000095</v>
      </c>
      <c r="DG88" s="118">
        <f t="shared" si="129"/>
        <v>-73715.382600000157</v>
      </c>
      <c r="DH88" s="118">
        <f t="shared" si="130"/>
        <v>0</v>
      </c>
      <c r="DI88" s="118">
        <f t="shared" si="131"/>
        <v>0</v>
      </c>
      <c r="DJ88" s="118">
        <f t="shared" si="132"/>
        <v>0</v>
      </c>
      <c r="DK88" s="118">
        <f t="shared" si="133"/>
        <v>0</v>
      </c>
      <c r="DL88" s="118">
        <f t="shared" si="134"/>
        <v>0</v>
      </c>
      <c r="DM88" s="118">
        <f t="shared" si="135"/>
        <v>0</v>
      </c>
      <c r="DN88" s="118">
        <f t="shared" si="136"/>
        <v>0</v>
      </c>
      <c r="DO88" s="118">
        <f t="shared" si="137"/>
        <v>0</v>
      </c>
      <c r="DP88" s="118">
        <f t="shared" si="138"/>
        <v>0</v>
      </c>
      <c r="DQ88" s="118">
        <f t="shared" si="139"/>
        <v>0</v>
      </c>
      <c r="DR88" s="118">
        <f t="shared" si="140"/>
        <v>0</v>
      </c>
      <c r="DS88" s="118">
        <f t="shared" si="141"/>
        <v>0</v>
      </c>
      <c r="DT88" s="118">
        <f t="shared" si="142"/>
        <v>0</v>
      </c>
      <c r="DU88" s="118">
        <f t="shared" si="143"/>
        <v>0</v>
      </c>
      <c r="DV88" s="118">
        <f t="shared" si="144"/>
        <v>0</v>
      </c>
      <c r="DW88" s="118">
        <f t="shared" si="145"/>
        <v>0</v>
      </c>
      <c r="DX88" s="118">
        <f t="shared" si="146"/>
        <v>0</v>
      </c>
      <c r="DY88" s="118">
        <f t="shared" si="147"/>
        <v>0</v>
      </c>
      <c r="DZ88" s="118">
        <f t="shared" si="148"/>
        <v>0</v>
      </c>
      <c r="EA88" s="118">
        <f t="shared" si="149"/>
        <v>0</v>
      </c>
      <c r="EB88" s="118">
        <f t="shared" si="150"/>
        <v>0</v>
      </c>
      <c r="EC88" s="118">
        <f t="shared" si="151"/>
        <v>0</v>
      </c>
      <c r="ED88" s="118">
        <f t="shared" si="152"/>
        <v>0</v>
      </c>
      <c r="EE88" s="118">
        <f t="shared" si="153"/>
        <v>0</v>
      </c>
      <c r="EF88" s="118">
        <f t="shared" si="154"/>
        <v>0</v>
      </c>
      <c r="EG88" s="118">
        <f t="shared" si="155"/>
        <v>0</v>
      </c>
      <c r="EH88" s="118">
        <f t="shared" si="156"/>
        <v>0</v>
      </c>
      <c r="EI88" s="118">
        <f t="shared" si="157"/>
        <v>0</v>
      </c>
      <c r="EJ88" s="118">
        <f t="shared" si="158"/>
        <v>0</v>
      </c>
      <c r="EK88" s="118">
        <f t="shared" si="159"/>
        <v>0</v>
      </c>
      <c r="EL88" s="118">
        <f t="shared" si="160"/>
        <v>0</v>
      </c>
      <c r="EM88" s="118">
        <f t="shared" si="161"/>
        <v>0</v>
      </c>
      <c r="EN88" s="118">
        <f t="shared" si="162"/>
        <v>0</v>
      </c>
      <c r="EO88" s="118">
        <f t="shared" si="163"/>
        <v>0</v>
      </c>
      <c r="EP88" s="118">
        <f t="shared" si="164"/>
        <v>0</v>
      </c>
      <c r="EQ88" s="118">
        <f t="shared" si="165"/>
        <v>0</v>
      </c>
      <c r="ER88" s="118">
        <f t="shared" si="166"/>
        <v>0</v>
      </c>
      <c r="ES88" s="118">
        <f t="shared" si="167"/>
        <v>0</v>
      </c>
      <c r="ET88" s="177">
        <f t="shared" si="168"/>
        <v>22356.731524999937</v>
      </c>
      <c r="EU88" s="72"/>
      <c r="EV88" s="117">
        <f t="shared" si="169"/>
        <v>3092.1442282500002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70"/>
        <v>0</v>
      </c>
    </row>
    <row r="89" spans="109:193">
      <c r="DE89" s="117">
        <f t="shared" si="127"/>
        <v>3184.9085550975001</v>
      </c>
      <c r="DF89" s="118">
        <f t="shared" si="128"/>
        <v>142454.27754875005</v>
      </c>
      <c r="DG89" s="118">
        <f t="shared" si="129"/>
        <v>-147926.84407800005</v>
      </c>
      <c r="DH89" s="118">
        <f t="shared" si="130"/>
        <v>59344.543665750141</v>
      </c>
      <c r="DI89" s="118">
        <f t="shared" si="131"/>
        <v>0</v>
      </c>
      <c r="DJ89" s="118">
        <f t="shared" si="132"/>
        <v>0</v>
      </c>
      <c r="DK89" s="118">
        <f t="shared" si="133"/>
        <v>0</v>
      </c>
      <c r="DL89" s="118">
        <f t="shared" si="134"/>
        <v>0</v>
      </c>
      <c r="DM89" s="118">
        <f t="shared" si="135"/>
        <v>0</v>
      </c>
      <c r="DN89" s="118">
        <f t="shared" si="136"/>
        <v>0</v>
      </c>
      <c r="DO89" s="118">
        <f t="shared" si="137"/>
        <v>0</v>
      </c>
      <c r="DP89" s="118">
        <f t="shared" si="138"/>
        <v>0</v>
      </c>
      <c r="DQ89" s="118">
        <f t="shared" si="139"/>
        <v>0</v>
      </c>
      <c r="DR89" s="118">
        <f t="shared" si="140"/>
        <v>0</v>
      </c>
      <c r="DS89" s="118">
        <f t="shared" si="141"/>
        <v>0</v>
      </c>
      <c r="DT89" s="118">
        <f t="shared" si="142"/>
        <v>0</v>
      </c>
      <c r="DU89" s="118">
        <f t="shared" si="143"/>
        <v>0</v>
      </c>
      <c r="DV89" s="118">
        <f t="shared" si="144"/>
        <v>0</v>
      </c>
      <c r="DW89" s="118">
        <f t="shared" si="145"/>
        <v>0</v>
      </c>
      <c r="DX89" s="118">
        <f t="shared" si="146"/>
        <v>0</v>
      </c>
      <c r="DY89" s="118">
        <f t="shared" si="147"/>
        <v>0</v>
      </c>
      <c r="DZ89" s="118">
        <f t="shared" si="148"/>
        <v>0</v>
      </c>
      <c r="EA89" s="118">
        <f t="shared" si="149"/>
        <v>0</v>
      </c>
      <c r="EB89" s="118">
        <f t="shared" si="150"/>
        <v>0</v>
      </c>
      <c r="EC89" s="118">
        <f t="shared" si="151"/>
        <v>0</v>
      </c>
      <c r="ED89" s="118">
        <f t="shared" si="152"/>
        <v>0</v>
      </c>
      <c r="EE89" s="118">
        <f t="shared" si="153"/>
        <v>0</v>
      </c>
      <c r="EF89" s="118">
        <f t="shared" si="154"/>
        <v>0</v>
      </c>
      <c r="EG89" s="118">
        <f t="shared" si="155"/>
        <v>0</v>
      </c>
      <c r="EH89" s="118">
        <f t="shared" si="156"/>
        <v>0</v>
      </c>
      <c r="EI89" s="118">
        <f t="shared" si="157"/>
        <v>0</v>
      </c>
      <c r="EJ89" s="118">
        <f t="shared" si="158"/>
        <v>0</v>
      </c>
      <c r="EK89" s="118">
        <f t="shared" si="159"/>
        <v>0</v>
      </c>
      <c r="EL89" s="118">
        <f t="shared" si="160"/>
        <v>0</v>
      </c>
      <c r="EM89" s="118">
        <f t="shared" si="161"/>
        <v>0</v>
      </c>
      <c r="EN89" s="118">
        <f t="shared" si="162"/>
        <v>0</v>
      </c>
      <c r="EO89" s="118">
        <f t="shared" si="163"/>
        <v>0</v>
      </c>
      <c r="EP89" s="118">
        <f t="shared" si="164"/>
        <v>0</v>
      </c>
      <c r="EQ89" s="118">
        <f t="shared" si="165"/>
        <v>0</v>
      </c>
      <c r="ER89" s="118">
        <f t="shared" si="166"/>
        <v>0</v>
      </c>
      <c r="ES89" s="118">
        <f t="shared" si="167"/>
        <v>0</v>
      </c>
      <c r="ET89" s="177">
        <f t="shared" si="168"/>
        <v>53871.977136500136</v>
      </c>
      <c r="EU89" s="72"/>
      <c r="EV89" s="117">
        <f t="shared" si="169"/>
        <v>3184.9085550975001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70"/>
        <v>0</v>
      </c>
    </row>
    <row r="90" spans="109:193">
      <c r="DE90" s="117">
        <f t="shared" si="127"/>
        <v>3280.4558117504253</v>
      </c>
      <c r="DF90" s="118">
        <f t="shared" si="128"/>
        <v>190227.90587521263</v>
      </c>
      <c r="DG90" s="118">
        <f t="shared" si="129"/>
        <v>-224364.64940034022</v>
      </c>
      <c r="DH90" s="118">
        <f t="shared" si="130"/>
        <v>221774.87997572293</v>
      </c>
      <c r="DI90" s="118">
        <f t="shared" si="131"/>
        <v>0</v>
      </c>
      <c r="DJ90" s="118">
        <f t="shared" si="132"/>
        <v>0</v>
      </c>
      <c r="DK90" s="118">
        <f t="shared" si="133"/>
        <v>0</v>
      </c>
      <c r="DL90" s="118">
        <f t="shared" si="134"/>
        <v>0</v>
      </c>
      <c r="DM90" s="118">
        <f t="shared" si="135"/>
        <v>0</v>
      </c>
      <c r="DN90" s="118">
        <f t="shared" si="136"/>
        <v>0</v>
      </c>
      <c r="DO90" s="118">
        <f t="shared" si="137"/>
        <v>0</v>
      </c>
      <c r="DP90" s="118">
        <f t="shared" si="138"/>
        <v>0</v>
      </c>
      <c r="DQ90" s="118">
        <f t="shared" si="139"/>
        <v>0</v>
      </c>
      <c r="DR90" s="118">
        <f t="shared" si="140"/>
        <v>0</v>
      </c>
      <c r="DS90" s="118">
        <f t="shared" si="141"/>
        <v>0</v>
      </c>
      <c r="DT90" s="118">
        <f t="shared" si="142"/>
        <v>0</v>
      </c>
      <c r="DU90" s="118">
        <f t="shared" si="143"/>
        <v>0</v>
      </c>
      <c r="DV90" s="118">
        <f t="shared" si="144"/>
        <v>0</v>
      </c>
      <c r="DW90" s="118">
        <f t="shared" si="145"/>
        <v>0</v>
      </c>
      <c r="DX90" s="118">
        <f t="shared" si="146"/>
        <v>0</v>
      </c>
      <c r="DY90" s="118">
        <f t="shared" si="147"/>
        <v>0</v>
      </c>
      <c r="DZ90" s="118">
        <f t="shared" si="148"/>
        <v>0</v>
      </c>
      <c r="EA90" s="118">
        <f t="shared" si="149"/>
        <v>0</v>
      </c>
      <c r="EB90" s="118">
        <f t="shared" si="150"/>
        <v>0</v>
      </c>
      <c r="EC90" s="118">
        <f t="shared" si="151"/>
        <v>0</v>
      </c>
      <c r="ED90" s="118">
        <f t="shared" si="152"/>
        <v>0</v>
      </c>
      <c r="EE90" s="118">
        <f t="shared" si="153"/>
        <v>0</v>
      </c>
      <c r="EF90" s="118">
        <f t="shared" si="154"/>
        <v>0</v>
      </c>
      <c r="EG90" s="118">
        <f t="shared" si="155"/>
        <v>0</v>
      </c>
      <c r="EH90" s="118">
        <f t="shared" si="156"/>
        <v>0</v>
      </c>
      <c r="EI90" s="118">
        <f t="shared" si="157"/>
        <v>0</v>
      </c>
      <c r="EJ90" s="118">
        <f t="shared" si="158"/>
        <v>0</v>
      </c>
      <c r="EK90" s="118">
        <f t="shared" si="159"/>
        <v>0</v>
      </c>
      <c r="EL90" s="118">
        <f t="shared" si="160"/>
        <v>0</v>
      </c>
      <c r="EM90" s="118">
        <f t="shared" si="161"/>
        <v>0</v>
      </c>
      <c r="EN90" s="118">
        <f t="shared" si="162"/>
        <v>0</v>
      </c>
      <c r="EO90" s="118">
        <f t="shared" si="163"/>
        <v>0</v>
      </c>
      <c r="EP90" s="118">
        <f t="shared" si="164"/>
        <v>0</v>
      </c>
      <c r="EQ90" s="118">
        <f t="shared" si="165"/>
        <v>0</v>
      </c>
      <c r="ER90" s="118">
        <f t="shared" si="166"/>
        <v>0</v>
      </c>
      <c r="ES90" s="118">
        <f t="shared" si="167"/>
        <v>0</v>
      </c>
      <c r="ET90" s="177">
        <f t="shared" si="168"/>
        <v>187638.13645059534</v>
      </c>
      <c r="EU90" s="72"/>
      <c r="EV90" s="117">
        <f t="shared" si="169"/>
        <v>3280.4558117504253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70"/>
        <v>0</v>
      </c>
    </row>
    <row r="91" spans="109:193">
      <c r="DE91" s="117">
        <f t="shared" si="127"/>
        <v>3378.869486102938</v>
      </c>
      <c r="DF91" s="118">
        <f t="shared" si="128"/>
        <v>239434.74305146901</v>
      </c>
      <c r="DG91" s="118">
        <f t="shared" si="129"/>
        <v>-303095.58888235042</v>
      </c>
      <c r="DH91" s="118">
        <f t="shared" si="130"/>
        <v>389078.12637499464</v>
      </c>
      <c r="DI91" s="118">
        <f t="shared" si="131"/>
        <v>-134078.12637499464</v>
      </c>
      <c r="DJ91" s="118">
        <f t="shared" si="132"/>
        <v>0</v>
      </c>
      <c r="DK91" s="118">
        <f t="shared" si="133"/>
        <v>0</v>
      </c>
      <c r="DL91" s="118">
        <f t="shared" si="134"/>
        <v>0</v>
      </c>
      <c r="DM91" s="118">
        <f t="shared" si="135"/>
        <v>0</v>
      </c>
      <c r="DN91" s="118">
        <f t="shared" si="136"/>
        <v>0</v>
      </c>
      <c r="DO91" s="118">
        <f t="shared" si="137"/>
        <v>0</v>
      </c>
      <c r="DP91" s="118">
        <f t="shared" si="138"/>
        <v>0</v>
      </c>
      <c r="DQ91" s="118">
        <f t="shared" si="139"/>
        <v>0</v>
      </c>
      <c r="DR91" s="118">
        <f t="shared" si="140"/>
        <v>0</v>
      </c>
      <c r="DS91" s="118">
        <f t="shared" si="141"/>
        <v>0</v>
      </c>
      <c r="DT91" s="118">
        <f t="shared" si="142"/>
        <v>0</v>
      </c>
      <c r="DU91" s="118">
        <f t="shared" si="143"/>
        <v>0</v>
      </c>
      <c r="DV91" s="118">
        <f t="shared" si="144"/>
        <v>0</v>
      </c>
      <c r="DW91" s="118">
        <f t="shared" si="145"/>
        <v>0</v>
      </c>
      <c r="DX91" s="118">
        <f t="shared" si="146"/>
        <v>0</v>
      </c>
      <c r="DY91" s="118">
        <f t="shared" si="147"/>
        <v>0</v>
      </c>
      <c r="DZ91" s="118">
        <f t="shared" si="148"/>
        <v>0</v>
      </c>
      <c r="EA91" s="118">
        <f t="shared" si="149"/>
        <v>0</v>
      </c>
      <c r="EB91" s="118">
        <f t="shared" si="150"/>
        <v>0</v>
      </c>
      <c r="EC91" s="118">
        <f t="shared" si="151"/>
        <v>0</v>
      </c>
      <c r="ED91" s="118">
        <f t="shared" si="152"/>
        <v>0</v>
      </c>
      <c r="EE91" s="118">
        <f t="shared" si="153"/>
        <v>0</v>
      </c>
      <c r="EF91" s="118">
        <f t="shared" si="154"/>
        <v>0</v>
      </c>
      <c r="EG91" s="118">
        <f t="shared" si="155"/>
        <v>0</v>
      </c>
      <c r="EH91" s="118">
        <f t="shared" si="156"/>
        <v>0</v>
      </c>
      <c r="EI91" s="118">
        <f t="shared" si="157"/>
        <v>0</v>
      </c>
      <c r="EJ91" s="118">
        <f t="shared" si="158"/>
        <v>0</v>
      </c>
      <c r="EK91" s="118">
        <f t="shared" si="159"/>
        <v>0</v>
      </c>
      <c r="EL91" s="118">
        <f t="shared" si="160"/>
        <v>0</v>
      </c>
      <c r="EM91" s="118">
        <f t="shared" si="161"/>
        <v>0</v>
      </c>
      <c r="EN91" s="118">
        <f t="shared" si="162"/>
        <v>0</v>
      </c>
      <c r="EO91" s="118">
        <f t="shared" si="163"/>
        <v>0</v>
      </c>
      <c r="EP91" s="118">
        <f t="shared" si="164"/>
        <v>0</v>
      </c>
      <c r="EQ91" s="118">
        <f t="shared" si="165"/>
        <v>0</v>
      </c>
      <c r="ER91" s="118">
        <f t="shared" si="166"/>
        <v>0</v>
      </c>
      <c r="ES91" s="118">
        <f t="shared" si="167"/>
        <v>0</v>
      </c>
      <c r="ET91" s="177">
        <f t="shared" si="168"/>
        <v>191339.15416911861</v>
      </c>
      <c r="EU91" s="72"/>
      <c r="EV91" s="117">
        <f t="shared" si="169"/>
        <v>3378.869486102938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70"/>
        <v>0</v>
      </c>
    </row>
    <row r="92" spans="109:193">
      <c r="DE92" s="117">
        <f t="shared" si="127"/>
        <v>3480.2355706860262</v>
      </c>
      <c r="DF92" s="118">
        <f t="shared" si="128"/>
        <v>290117.78534301312</v>
      </c>
      <c r="DG92" s="118">
        <f t="shared" si="129"/>
        <v>-384188.45654882095</v>
      </c>
      <c r="DH92" s="118">
        <f t="shared" si="130"/>
        <v>561400.47016624454</v>
      </c>
      <c r="DI92" s="118">
        <f t="shared" si="131"/>
        <v>-306400.4701662446</v>
      </c>
      <c r="DJ92" s="118">
        <f t="shared" si="132"/>
        <v>0</v>
      </c>
      <c r="DK92" s="118">
        <f t="shared" si="133"/>
        <v>0</v>
      </c>
      <c r="DL92" s="118">
        <f t="shared" si="134"/>
        <v>0</v>
      </c>
      <c r="DM92" s="118">
        <f t="shared" si="135"/>
        <v>0</v>
      </c>
      <c r="DN92" s="118">
        <f t="shared" si="136"/>
        <v>0</v>
      </c>
      <c r="DO92" s="118">
        <f t="shared" si="137"/>
        <v>0</v>
      </c>
      <c r="DP92" s="118">
        <f t="shared" si="138"/>
        <v>0</v>
      </c>
      <c r="DQ92" s="118">
        <f t="shared" si="139"/>
        <v>0</v>
      </c>
      <c r="DR92" s="118">
        <f t="shared" si="140"/>
        <v>0</v>
      </c>
      <c r="DS92" s="118">
        <f t="shared" si="141"/>
        <v>0</v>
      </c>
      <c r="DT92" s="118">
        <f t="shared" si="142"/>
        <v>0</v>
      </c>
      <c r="DU92" s="118">
        <f t="shared" si="143"/>
        <v>0</v>
      </c>
      <c r="DV92" s="118">
        <f t="shared" si="144"/>
        <v>0</v>
      </c>
      <c r="DW92" s="118">
        <f t="shared" si="145"/>
        <v>0</v>
      </c>
      <c r="DX92" s="118">
        <f t="shared" si="146"/>
        <v>0</v>
      </c>
      <c r="DY92" s="118">
        <f t="shared" si="147"/>
        <v>0</v>
      </c>
      <c r="DZ92" s="118">
        <f t="shared" si="148"/>
        <v>0</v>
      </c>
      <c r="EA92" s="118">
        <f t="shared" si="149"/>
        <v>0</v>
      </c>
      <c r="EB92" s="118">
        <f t="shared" si="150"/>
        <v>0</v>
      </c>
      <c r="EC92" s="118">
        <f t="shared" si="151"/>
        <v>0</v>
      </c>
      <c r="ED92" s="118">
        <f t="shared" si="152"/>
        <v>0</v>
      </c>
      <c r="EE92" s="118">
        <f t="shared" si="153"/>
        <v>0</v>
      </c>
      <c r="EF92" s="118">
        <f t="shared" si="154"/>
        <v>0</v>
      </c>
      <c r="EG92" s="118">
        <f t="shared" si="155"/>
        <v>0</v>
      </c>
      <c r="EH92" s="118">
        <f t="shared" si="156"/>
        <v>0</v>
      </c>
      <c r="EI92" s="118">
        <f t="shared" si="157"/>
        <v>0</v>
      </c>
      <c r="EJ92" s="118">
        <f t="shared" si="158"/>
        <v>0</v>
      </c>
      <c r="EK92" s="118">
        <f t="shared" si="159"/>
        <v>0</v>
      </c>
      <c r="EL92" s="118">
        <f t="shared" si="160"/>
        <v>0</v>
      </c>
      <c r="EM92" s="118">
        <f t="shared" si="161"/>
        <v>0</v>
      </c>
      <c r="EN92" s="118">
        <f t="shared" si="162"/>
        <v>0</v>
      </c>
      <c r="EO92" s="118">
        <f t="shared" si="163"/>
        <v>0</v>
      </c>
      <c r="EP92" s="118">
        <f t="shared" si="164"/>
        <v>0</v>
      </c>
      <c r="EQ92" s="118">
        <f t="shared" si="165"/>
        <v>0</v>
      </c>
      <c r="ER92" s="118">
        <f t="shared" si="166"/>
        <v>0</v>
      </c>
      <c r="ES92" s="118">
        <f t="shared" si="167"/>
        <v>0</v>
      </c>
      <c r="ET92" s="177">
        <f t="shared" si="168"/>
        <v>160929.32879419212</v>
      </c>
      <c r="EU92" s="72"/>
      <c r="EV92" s="117">
        <f t="shared" si="169"/>
        <v>3480.2355706860262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70"/>
        <v>0</v>
      </c>
    </row>
    <row r="93" spans="109:193">
      <c r="DE93" s="117">
        <f t="shared" si="127"/>
        <v>3584.6426378066071</v>
      </c>
      <c r="DF93" s="118">
        <f t="shared" si="128"/>
        <v>342321.31890330359</v>
      </c>
      <c r="DG93" s="118">
        <f t="shared" si="129"/>
        <v>-467714.11024528567</v>
      </c>
      <c r="DH93" s="118">
        <f t="shared" si="130"/>
        <v>738892.48427123216</v>
      </c>
      <c r="DI93" s="118">
        <f t="shared" si="131"/>
        <v>-483892.4842712321</v>
      </c>
      <c r="DJ93" s="118">
        <f t="shared" si="132"/>
        <v>0</v>
      </c>
      <c r="DK93" s="118">
        <f t="shared" si="133"/>
        <v>0</v>
      </c>
      <c r="DL93" s="118">
        <f t="shared" si="134"/>
        <v>0</v>
      </c>
      <c r="DM93" s="118">
        <f t="shared" si="135"/>
        <v>0</v>
      </c>
      <c r="DN93" s="118">
        <f t="shared" si="136"/>
        <v>0</v>
      </c>
      <c r="DO93" s="118">
        <f t="shared" si="137"/>
        <v>0</v>
      </c>
      <c r="DP93" s="118">
        <f t="shared" si="138"/>
        <v>0</v>
      </c>
      <c r="DQ93" s="118">
        <f t="shared" si="139"/>
        <v>0</v>
      </c>
      <c r="DR93" s="118">
        <f t="shared" si="140"/>
        <v>0</v>
      </c>
      <c r="DS93" s="118">
        <f t="shared" si="141"/>
        <v>0</v>
      </c>
      <c r="DT93" s="118">
        <f t="shared" si="142"/>
        <v>0</v>
      </c>
      <c r="DU93" s="118">
        <f t="shared" si="143"/>
        <v>0</v>
      </c>
      <c r="DV93" s="118">
        <f t="shared" si="144"/>
        <v>0</v>
      </c>
      <c r="DW93" s="118">
        <f t="shared" si="145"/>
        <v>0</v>
      </c>
      <c r="DX93" s="118">
        <f t="shared" si="146"/>
        <v>0</v>
      </c>
      <c r="DY93" s="118">
        <f t="shared" si="147"/>
        <v>0</v>
      </c>
      <c r="DZ93" s="118">
        <f t="shared" si="148"/>
        <v>0</v>
      </c>
      <c r="EA93" s="118">
        <f t="shared" si="149"/>
        <v>0</v>
      </c>
      <c r="EB93" s="118">
        <f t="shared" si="150"/>
        <v>0</v>
      </c>
      <c r="EC93" s="118">
        <f t="shared" si="151"/>
        <v>0</v>
      </c>
      <c r="ED93" s="118">
        <f t="shared" si="152"/>
        <v>0</v>
      </c>
      <c r="EE93" s="118">
        <f t="shared" si="153"/>
        <v>0</v>
      </c>
      <c r="EF93" s="118">
        <f t="shared" si="154"/>
        <v>0</v>
      </c>
      <c r="EG93" s="118">
        <f t="shared" si="155"/>
        <v>0</v>
      </c>
      <c r="EH93" s="118">
        <f t="shared" si="156"/>
        <v>0</v>
      </c>
      <c r="EI93" s="118">
        <f t="shared" si="157"/>
        <v>0</v>
      </c>
      <c r="EJ93" s="118">
        <f t="shared" si="158"/>
        <v>0</v>
      </c>
      <c r="EK93" s="118">
        <f t="shared" si="159"/>
        <v>0</v>
      </c>
      <c r="EL93" s="118">
        <f t="shared" si="160"/>
        <v>0</v>
      </c>
      <c r="EM93" s="118">
        <f t="shared" si="161"/>
        <v>0</v>
      </c>
      <c r="EN93" s="118">
        <f t="shared" si="162"/>
        <v>0</v>
      </c>
      <c r="EO93" s="118">
        <f t="shared" si="163"/>
        <v>0</v>
      </c>
      <c r="EP93" s="118">
        <f t="shared" si="164"/>
        <v>0</v>
      </c>
      <c r="EQ93" s="118">
        <f t="shared" si="165"/>
        <v>0</v>
      </c>
      <c r="ER93" s="118">
        <f t="shared" si="166"/>
        <v>0</v>
      </c>
      <c r="ES93" s="118">
        <f t="shared" si="167"/>
        <v>0</v>
      </c>
      <c r="ET93" s="177">
        <f t="shared" si="168"/>
        <v>129607.20865801797</v>
      </c>
      <c r="EU93" s="72"/>
      <c r="EV93" s="117">
        <f t="shared" si="169"/>
        <v>3584.6426378066071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70"/>
        <v>0</v>
      </c>
    </row>
    <row r="94" spans="109:193">
      <c r="DE94" s="117">
        <f t="shared" si="127"/>
        <v>3692.1819169408054</v>
      </c>
      <c r="DF94" s="118">
        <f t="shared" si="128"/>
        <v>396090.95847040269</v>
      </c>
      <c r="DG94" s="118">
        <f t="shared" si="129"/>
        <v>-553745.53355264431</v>
      </c>
      <c r="DH94" s="118">
        <f t="shared" si="130"/>
        <v>921709.25879936921</v>
      </c>
      <c r="DI94" s="118">
        <f t="shared" si="131"/>
        <v>-666709.25879936921</v>
      </c>
      <c r="DJ94" s="118">
        <f t="shared" si="132"/>
        <v>0</v>
      </c>
      <c r="DK94" s="118">
        <f t="shared" si="133"/>
        <v>0</v>
      </c>
      <c r="DL94" s="118">
        <f t="shared" si="134"/>
        <v>0</v>
      </c>
      <c r="DM94" s="118">
        <f t="shared" si="135"/>
        <v>0</v>
      </c>
      <c r="DN94" s="118">
        <f t="shared" si="136"/>
        <v>0</v>
      </c>
      <c r="DO94" s="118">
        <f t="shared" si="137"/>
        <v>0</v>
      </c>
      <c r="DP94" s="118">
        <f t="shared" si="138"/>
        <v>0</v>
      </c>
      <c r="DQ94" s="118">
        <f t="shared" si="139"/>
        <v>0</v>
      </c>
      <c r="DR94" s="118">
        <f t="shared" si="140"/>
        <v>0</v>
      </c>
      <c r="DS94" s="118">
        <f t="shared" si="141"/>
        <v>0</v>
      </c>
      <c r="DT94" s="118">
        <f t="shared" si="142"/>
        <v>0</v>
      </c>
      <c r="DU94" s="118">
        <f t="shared" si="143"/>
        <v>0</v>
      </c>
      <c r="DV94" s="118">
        <f t="shared" si="144"/>
        <v>0</v>
      </c>
      <c r="DW94" s="118">
        <f t="shared" si="145"/>
        <v>0</v>
      </c>
      <c r="DX94" s="118">
        <f t="shared" si="146"/>
        <v>0</v>
      </c>
      <c r="DY94" s="118">
        <f t="shared" si="147"/>
        <v>0</v>
      </c>
      <c r="DZ94" s="118">
        <f t="shared" si="148"/>
        <v>0</v>
      </c>
      <c r="EA94" s="118">
        <f t="shared" si="149"/>
        <v>0</v>
      </c>
      <c r="EB94" s="118">
        <f t="shared" si="150"/>
        <v>0</v>
      </c>
      <c r="EC94" s="118">
        <f t="shared" si="151"/>
        <v>0</v>
      </c>
      <c r="ED94" s="118">
        <f t="shared" si="152"/>
        <v>0</v>
      </c>
      <c r="EE94" s="118">
        <f t="shared" si="153"/>
        <v>0</v>
      </c>
      <c r="EF94" s="118">
        <f t="shared" si="154"/>
        <v>0</v>
      </c>
      <c r="EG94" s="118">
        <f t="shared" si="155"/>
        <v>0</v>
      </c>
      <c r="EH94" s="118">
        <f t="shared" si="156"/>
        <v>0</v>
      </c>
      <c r="EI94" s="118">
        <f t="shared" si="157"/>
        <v>0</v>
      </c>
      <c r="EJ94" s="118">
        <f t="shared" si="158"/>
        <v>0</v>
      </c>
      <c r="EK94" s="118">
        <f t="shared" si="159"/>
        <v>0</v>
      </c>
      <c r="EL94" s="118">
        <f t="shared" si="160"/>
        <v>0</v>
      </c>
      <c r="EM94" s="118">
        <f t="shared" si="161"/>
        <v>0</v>
      </c>
      <c r="EN94" s="118">
        <f t="shared" si="162"/>
        <v>0</v>
      </c>
      <c r="EO94" s="118">
        <f t="shared" si="163"/>
        <v>0</v>
      </c>
      <c r="EP94" s="118">
        <f t="shared" si="164"/>
        <v>0</v>
      </c>
      <c r="EQ94" s="118">
        <f t="shared" si="165"/>
        <v>0</v>
      </c>
      <c r="ER94" s="118">
        <f t="shared" si="166"/>
        <v>0</v>
      </c>
      <c r="ES94" s="118">
        <f t="shared" si="167"/>
        <v>0</v>
      </c>
      <c r="ET94" s="177">
        <f t="shared" si="168"/>
        <v>97345.424917758442</v>
      </c>
      <c r="EU94" s="72"/>
      <c r="EV94" s="117">
        <f t="shared" si="169"/>
        <v>3692.1819169408054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70"/>
        <v>0</v>
      </c>
    </row>
    <row r="95" spans="109:193">
      <c r="DE95" s="117">
        <f t="shared" si="127"/>
        <v>3802.9473744490297</v>
      </c>
      <c r="DF95" s="118">
        <f t="shared" si="128"/>
        <v>451473.68722451484</v>
      </c>
      <c r="DG95" s="118">
        <f t="shared" si="129"/>
        <v>-642357.89955922379</v>
      </c>
      <c r="DH95" s="118">
        <f t="shared" si="130"/>
        <v>1110010.5365633504</v>
      </c>
      <c r="DI95" s="118">
        <f t="shared" si="131"/>
        <v>-855010.53656335047</v>
      </c>
      <c r="DJ95" s="118">
        <f t="shared" si="132"/>
        <v>0</v>
      </c>
      <c r="DK95" s="118">
        <f t="shared" si="133"/>
        <v>0</v>
      </c>
      <c r="DL95" s="118">
        <f t="shared" si="134"/>
        <v>0</v>
      </c>
      <c r="DM95" s="118">
        <f t="shared" si="135"/>
        <v>0</v>
      </c>
      <c r="DN95" s="118">
        <f t="shared" si="136"/>
        <v>0</v>
      </c>
      <c r="DO95" s="118">
        <f t="shared" si="137"/>
        <v>0</v>
      </c>
      <c r="DP95" s="118">
        <f t="shared" si="138"/>
        <v>0</v>
      </c>
      <c r="DQ95" s="118">
        <f t="shared" si="139"/>
        <v>0</v>
      </c>
      <c r="DR95" s="118">
        <f t="shared" si="140"/>
        <v>0</v>
      </c>
      <c r="DS95" s="118">
        <f t="shared" si="141"/>
        <v>0</v>
      </c>
      <c r="DT95" s="118">
        <f t="shared" si="142"/>
        <v>0</v>
      </c>
      <c r="DU95" s="118">
        <f t="shared" si="143"/>
        <v>0</v>
      </c>
      <c r="DV95" s="118">
        <f t="shared" si="144"/>
        <v>0</v>
      </c>
      <c r="DW95" s="118">
        <f t="shared" si="145"/>
        <v>0</v>
      </c>
      <c r="DX95" s="118">
        <f t="shared" si="146"/>
        <v>0</v>
      </c>
      <c r="DY95" s="118">
        <f t="shared" si="147"/>
        <v>0</v>
      </c>
      <c r="DZ95" s="118">
        <f t="shared" si="148"/>
        <v>0</v>
      </c>
      <c r="EA95" s="118">
        <f t="shared" si="149"/>
        <v>0</v>
      </c>
      <c r="EB95" s="118">
        <f t="shared" si="150"/>
        <v>0</v>
      </c>
      <c r="EC95" s="118">
        <f t="shared" si="151"/>
        <v>0</v>
      </c>
      <c r="ED95" s="118">
        <f t="shared" si="152"/>
        <v>0</v>
      </c>
      <c r="EE95" s="118">
        <f t="shared" si="153"/>
        <v>0</v>
      </c>
      <c r="EF95" s="118">
        <f t="shared" si="154"/>
        <v>0</v>
      </c>
      <c r="EG95" s="118">
        <f t="shared" si="155"/>
        <v>0</v>
      </c>
      <c r="EH95" s="118">
        <f t="shared" si="156"/>
        <v>0</v>
      </c>
      <c r="EI95" s="118">
        <f t="shared" si="157"/>
        <v>0</v>
      </c>
      <c r="EJ95" s="118">
        <f t="shared" si="158"/>
        <v>0</v>
      </c>
      <c r="EK95" s="118">
        <f t="shared" si="159"/>
        <v>0</v>
      </c>
      <c r="EL95" s="118">
        <f t="shared" si="160"/>
        <v>0</v>
      </c>
      <c r="EM95" s="118">
        <f t="shared" si="161"/>
        <v>0</v>
      </c>
      <c r="EN95" s="118">
        <f t="shared" si="162"/>
        <v>0</v>
      </c>
      <c r="EO95" s="118">
        <f t="shared" si="163"/>
        <v>0</v>
      </c>
      <c r="EP95" s="118">
        <f t="shared" si="164"/>
        <v>0</v>
      </c>
      <c r="EQ95" s="118">
        <f t="shared" si="165"/>
        <v>0</v>
      </c>
      <c r="ER95" s="118">
        <f t="shared" si="166"/>
        <v>0</v>
      </c>
      <c r="ES95" s="118">
        <f t="shared" si="167"/>
        <v>0</v>
      </c>
      <c r="ET95" s="177">
        <f t="shared" si="168"/>
        <v>64115.787665290874</v>
      </c>
      <c r="EU95" s="72"/>
      <c r="EV95" s="117">
        <f t="shared" si="169"/>
        <v>3802.9473744490297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70"/>
        <v>0</v>
      </c>
    </row>
    <row r="96" spans="109:193">
      <c r="DE96" s="117">
        <f t="shared" si="127"/>
        <v>3917.0357956825005</v>
      </c>
      <c r="DF96" s="118">
        <f t="shared" si="128"/>
        <v>508517.89784125023</v>
      </c>
      <c r="DG96" s="118">
        <f t="shared" si="129"/>
        <v>-733628.63654600037</v>
      </c>
      <c r="DH96" s="118">
        <f t="shared" si="130"/>
        <v>1303960.8526602509</v>
      </c>
      <c r="DI96" s="118">
        <f t="shared" si="131"/>
        <v>-1048960.8526602509</v>
      </c>
      <c r="DJ96" s="118">
        <f t="shared" si="132"/>
        <v>0</v>
      </c>
      <c r="DK96" s="118">
        <f t="shared" si="133"/>
        <v>0</v>
      </c>
      <c r="DL96" s="118">
        <f t="shared" si="134"/>
        <v>0</v>
      </c>
      <c r="DM96" s="118">
        <f t="shared" si="135"/>
        <v>0</v>
      </c>
      <c r="DN96" s="118">
        <f t="shared" si="136"/>
        <v>0</v>
      </c>
      <c r="DO96" s="118">
        <f t="shared" si="137"/>
        <v>0</v>
      </c>
      <c r="DP96" s="118">
        <f t="shared" si="138"/>
        <v>0</v>
      </c>
      <c r="DQ96" s="118">
        <f t="shared" si="139"/>
        <v>0</v>
      </c>
      <c r="DR96" s="118">
        <f t="shared" si="140"/>
        <v>0</v>
      </c>
      <c r="DS96" s="118">
        <f t="shared" si="141"/>
        <v>0</v>
      </c>
      <c r="DT96" s="118">
        <f t="shared" si="142"/>
        <v>0</v>
      </c>
      <c r="DU96" s="118">
        <f t="shared" si="143"/>
        <v>0</v>
      </c>
      <c r="DV96" s="118">
        <f t="shared" si="144"/>
        <v>0</v>
      </c>
      <c r="DW96" s="118">
        <f t="shared" si="145"/>
        <v>0</v>
      </c>
      <c r="DX96" s="118">
        <f t="shared" si="146"/>
        <v>0</v>
      </c>
      <c r="DY96" s="118">
        <f t="shared" si="147"/>
        <v>0</v>
      </c>
      <c r="DZ96" s="118">
        <f t="shared" si="148"/>
        <v>0</v>
      </c>
      <c r="EA96" s="118">
        <f t="shared" si="149"/>
        <v>0</v>
      </c>
      <c r="EB96" s="118">
        <f t="shared" si="150"/>
        <v>0</v>
      </c>
      <c r="EC96" s="118">
        <f t="shared" si="151"/>
        <v>0</v>
      </c>
      <c r="ED96" s="118">
        <f t="shared" si="152"/>
        <v>0</v>
      </c>
      <c r="EE96" s="118">
        <f t="shared" si="153"/>
        <v>0</v>
      </c>
      <c r="EF96" s="118">
        <f t="shared" si="154"/>
        <v>0</v>
      </c>
      <c r="EG96" s="118">
        <f t="shared" si="155"/>
        <v>0</v>
      </c>
      <c r="EH96" s="118">
        <f t="shared" si="156"/>
        <v>0</v>
      </c>
      <c r="EI96" s="118">
        <f t="shared" si="157"/>
        <v>0</v>
      </c>
      <c r="EJ96" s="118">
        <f t="shared" si="158"/>
        <v>0</v>
      </c>
      <c r="EK96" s="118">
        <f t="shared" si="159"/>
        <v>0</v>
      </c>
      <c r="EL96" s="118">
        <f t="shared" si="160"/>
        <v>0</v>
      </c>
      <c r="EM96" s="118">
        <f t="shared" si="161"/>
        <v>0</v>
      </c>
      <c r="EN96" s="118">
        <f t="shared" si="162"/>
        <v>0</v>
      </c>
      <c r="EO96" s="118">
        <f t="shared" si="163"/>
        <v>0</v>
      </c>
      <c r="EP96" s="118">
        <f t="shared" si="164"/>
        <v>0</v>
      </c>
      <c r="EQ96" s="118">
        <f t="shared" si="165"/>
        <v>0</v>
      </c>
      <c r="ER96" s="118">
        <f t="shared" si="166"/>
        <v>0</v>
      </c>
      <c r="ES96" s="118">
        <f t="shared" si="167"/>
        <v>0</v>
      </c>
      <c r="ET96" s="177">
        <f t="shared" si="168"/>
        <v>29889.261295249918</v>
      </c>
      <c r="EU96" s="72"/>
      <c r="EV96" s="117">
        <f t="shared" si="169"/>
        <v>3917.0357956825005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70"/>
        <v>0</v>
      </c>
    </row>
    <row r="97" spans="109:193">
      <c r="DE97" s="117">
        <f t="shared" si="127"/>
        <v>4034.5468695529757</v>
      </c>
      <c r="DF97" s="118">
        <f t="shared" si="128"/>
        <v>567273.43477648788</v>
      </c>
      <c r="DG97" s="118">
        <f t="shared" si="129"/>
        <v>-827637.49564238056</v>
      </c>
      <c r="DH97" s="118">
        <f t="shared" si="130"/>
        <v>1503729.6782400587</v>
      </c>
      <c r="DI97" s="118">
        <f t="shared" si="131"/>
        <v>-1248729.6782400587</v>
      </c>
      <c r="DJ97" s="118">
        <f t="shared" si="132"/>
        <v>0</v>
      </c>
      <c r="DK97" s="118">
        <f t="shared" si="133"/>
        <v>0</v>
      </c>
      <c r="DL97" s="118">
        <f t="shared" si="134"/>
        <v>0</v>
      </c>
      <c r="DM97" s="118">
        <f t="shared" si="135"/>
        <v>0</v>
      </c>
      <c r="DN97" s="118">
        <f t="shared" si="136"/>
        <v>0</v>
      </c>
      <c r="DO97" s="118">
        <f t="shared" si="137"/>
        <v>0</v>
      </c>
      <c r="DP97" s="118">
        <f t="shared" si="138"/>
        <v>0</v>
      </c>
      <c r="DQ97" s="118">
        <f t="shared" si="139"/>
        <v>0</v>
      </c>
      <c r="DR97" s="118">
        <f t="shared" si="140"/>
        <v>0</v>
      </c>
      <c r="DS97" s="118">
        <f t="shared" si="141"/>
        <v>0</v>
      </c>
      <c r="DT97" s="118">
        <f t="shared" si="142"/>
        <v>0</v>
      </c>
      <c r="DU97" s="118">
        <f t="shared" si="143"/>
        <v>0</v>
      </c>
      <c r="DV97" s="118">
        <f t="shared" si="144"/>
        <v>0</v>
      </c>
      <c r="DW97" s="118">
        <f t="shared" si="145"/>
        <v>0</v>
      </c>
      <c r="DX97" s="118">
        <f t="shared" si="146"/>
        <v>0</v>
      </c>
      <c r="DY97" s="118">
        <f t="shared" si="147"/>
        <v>0</v>
      </c>
      <c r="DZ97" s="118">
        <f t="shared" si="148"/>
        <v>0</v>
      </c>
      <c r="EA97" s="118">
        <f t="shared" si="149"/>
        <v>0</v>
      </c>
      <c r="EB97" s="118">
        <f t="shared" si="150"/>
        <v>0</v>
      </c>
      <c r="EC97" s="118">
        <f t="shared" si="151"/>
        <v>0</v>
      </c>
      <c r="ED97" s="118">
        <f t="shared" si="152"/>
        <v>0</v>
      </c>
      <c r="EE97" s="118">
        <f t="shared" si="153"/>
        <v>0</v>
      </c>
      <c r="EF97" s="118">
        <f t="shared" si="154"/>
        <v>0</v>
      </c>
      <c r="EG97" s="118">
        <f t="shared" si="155"/>
        <v>0</v>
      </c>
      <c r="EH97" s="118">
        <f t="shared" si="156"/>
        <v>0</v>
      </c>
      <c r="EI97" s="118">
        <f t="shared" si="157"/>
        <v>0</v>
      </c>
      <c r="EJ97" s="118">
        <f t="shared" si="158"/>
        <v>0</v>
      </c>
      <c r="EK97" s="118">
        <f t="shared" si="159"/>
        <v>0</v>
      </c>
      <c r="EL97" s="118">
        <f t="shared" si="160"/>
        <v>0</v>
      </c>
      <c r="EM97" s="118">
        <f t="shared" si="161"/>
        <v>0</v>
      </c>
      <c r="EN97" s="118">
        <f t="shared" si="162"/>
        <v>0</v>
      </c>
      <c r="EO97" s="118">
        <f t="shared" si="163"/>
        <v>0</v>
      </c>
      <c r="EP97" s="118">
        <f t="shared" si="164"/>
        <v>0</v>
      </c>
      <c r="EQ97" s="118">
        <f t="shared" si="165"/>
        <v>0</v>
      </c>
      <c r="ER97" s="118">
        <f t="shared" si="166"/>
        <v>0</v>
      </c>
      <c r="ES97" s="118">
        <f t="shared" si="167"/>
        <v>0</v>
      </c>
      <c r="ET97" s="177">
        <f t="shared" si="168"/>
        <v>-5364.0608658927958</v>
      </c>
      <c r="EU97" s="72"/>
      <c r="EV97" s="117">
        <f t="shared" si="169"/>
        <v>4034.5468695529757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70"/>
        <v>0</v>
      </c>
    </row>
    <row r="98" spans="109:193">
      <c r="DE98" s="117">
        <f t="shared" si="127"/>
        <v>4155.5832756395648</v>
      </c>
      <c r="DF98" s="118">
        <f t="shared" si="128"/>
        <v>627791.63781978237</v>
      </c>
      <c r="DG98" s="118">
        <f t="shared" si="129"/>
        <v>-924466.62051165185</v>
      </c>
      <c r="DH98" s="118">
        <f t="shared" si="130"/>
        <v>1709491.5685872601</v>
      </c>
      <c r="DI98" s="118">
        <f t="shared" si="131"/>
        <v>-1454491.5685872601</v>
      </c>
      <c r="DJ98" s="118">
        <f t="shared" si="132"/>
        <v>0</v>
      </c>
      <c r="DK98" s="118">
        <f t="shared" si="133"/>
        <v>0</v>
      </c>
      <c r="DL98" s="118">
        <f t="shared" si="134"/>
        <v>0</v>
      </c>
      <c r="DM98" s="118">
        <f t="shared" si="135"/>
        <v>0</v>
      </c>
      <c r="DN98" s="118">
        <f t="shared" si="136"/>
        <v>0</v>
      </c>
      <c r="DO98" s="118">
        <f t="shared" si="137"/>
        <v>0</v>
      </c>
      <c r="DP98" s="118">
        <f t="shared" si="138"/>
        <v>0</v>
      </c>
      <c r="DQ98" s="118">
        <f t="shared" si="139"/>
        <v>0</v>
      </c>
      <c r="DR98" s="118">
        <f t="shared" si="140"/>
        <v>0</v>
      </c>
      <c r="DS98" s="118">
        <f t="shared" si="141"/>
        <v>0</v>
      </c>
      <c r="DT98" s="118">
        <f t="shared" si="142"/>
        <v>0</v>
      </c>
      <c r="DU98" s="118">
        <f t="shared" si="143"/>
        <v>0</v>
      </c>
      <c r="DV98" s="118">
        <f t="shared" si="144"/>
        <v>0</v>
      </c>
      <c r="DW98" s="118">
        <f t="shared" si="145"/>
        <v>0</v>
      </c>
      <c r="DX98" s="118">
        <f t="shared" si="146"/>
        <v>0</v>
      </c>
      <c r="DY98" s="118">
        <f t="shared" si="147"/>
        <v>0</v>
      </c>
      <c r="DZ98" s="118">
        <f t="shared" si="148"/>
        <v>0</v>
      </c>
      <c r="EA98" s="118">
        <f t="shared" si="149"/>
        <v>0</v>
      </c>
      <c r="EB98" s="118">
        <f t="shared" si="150"/>
        <v>0</v>
      </c>
      <c r="EC98" s="118">
        <f t="shared" si="151"/>
        <v>0</v>
      </c>
      <c r="ED98" s="118">
        <f t="shared" si="152"/>
        <v>0</v>
      </c>
      <c r="EE98" s="118">
        <f t="shared" si="153"/>
        <v>0</v>
      </c>
      <c r="EF98" s="118">
        <f t="shared" si="154"/>
        <v>0</v>
      </c>
      <c r="EG98" s="118">
        <f t="shared" si="155"/>
        <v>0</v>
      </c>
      <c r="EH98" s="118">
        <f t="shared" si="156"/>
        <v>0</v>
      </c>
      <c r="EI98" s="118">
        <f t="shared" si="157"/>
        <v>0</v>
      </c>
      <c r="EJ98" s="118">
        <f t="shared" si="158"/>
        <v>0</v>
      </c>
      <c r="EK98" s="118">
        <f t="shared" si="159"/>
        <v>0</v>
      </c>
      <c r="EL98" s="118">
        <f t="shared" si="160"/>
        <v>0</v>
      </c>
      <c r="EM98" s="118">
        <f t="shared" si="161"/>
        <v>0</v>
      </c>
      <c r="EN98" s="118">
        <f t="shared" si="162"/>
        <v>0</v>
      </c>
      <c r="EO98" s="118">
        <f t="shared" si="163"/>
        <v>0</v>
      </c>
      <c r="EP98" s="118">
        <f t="shared" si="164"/>
        <v>0</v>
      </c>
      <c r="EQ98" s="118">
        <f t="shared" si="165"/>
        <v>0</v>
      </c>
      <c r="ER98" s="118">
        <f t="shared" si="166"/>
        <v>0</v>
      </c>
      <c r="ES98" s="118">
        <f t="shared" si="167"/>
        <v>0</v>
      </c>
      <c r="ET98" s="177">
        <f t="shared" si="168"/>
        <v>-41674.982691869373</v>
      </c>
      <c r="EU98" s="72"/>
      <c r="EV98" s="117">
        <f t="shared" si="169"/>
        <v>4155.5832756395648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70"/>
        <v>0</v>
      </c>
    </row>
    <row r="99" spans="109:193">
      <c r="DE99" s="117">
        <f t="shared" si="127"/>
        <v>4280.2507739087523</v>
      </c>
      <c r="DF99" s="118">
        <f t="shared" si="128"/>
        <v>690125.38695437612</v>
      </c>
      <c r="DG99" s="118">
        <f t="shared" si="129"/>
        <v>-1024200.6191270018</v>
      </c>
      <c r="DH99" s="118">
        <f t="shared" si="130"/>
        <v>1921426.3156448789</v>
      </c>
      <c r="DI99" s="118">
        <f t="shared" si="131"/>
        <v>-1666426.3156448789</v>
      </c>
      <c r="DJ99" s="118">
        <f t="shared" si="132"/>
        <v>0</v>
      </c>
      <c r="DK99" s="118">
        <f t="shared" si="133"/>
        <v>0</v>
      </c>
      <c r="DL99" s="118">
        <f t="shared" si="134"/>
        <v>0</v>
      </c>
      <c r="DM99" s="118">
        <f t="shared" si="135"/>
        <v>0</v>
      </c>
      <c r="DN99" s="118">
        <f t="shared" si="136"/>
        <v>0</v>
      </c>
      <c r="DO99" s="118">
        <f t="shared" si="137"/>
        <v>0</v>
      </c>
      <c r="DP99" s="118">
        <f t="shared" si="138"/>
        <v>0</v>
      </c>
      <c r="DQ99" s="118">
        <f t="shared" si="139"/>
        <v>0</v>
      </c>
      <c r="DR99" s="118">
        <f t="shared" si="140"/>
        <v>0</v>
      </c>
      <c r="DS99" s="118">
        <f t="shared" si="141"/>
        <v>0</v>
      </c>
      <c r="DT99" s="118">
        <f t="shared" si="142"/>
        <v>0</v>
      </c>
      <c r="DU99" s="118">
        <f t="shared" si="143"/>
        <v>0</v>
      </c>
      <c r="DV99" s="118">
        <f t="shared" si="144"/>
        <v>0</v>
      </c>
      <c r="DW99" s="118">
        <f t="shared" si="145"/>
        <v>0</v>
      </c>
      <c r="DX99" s="118">
        <f t="shared" si="146"/>
        <v>0</v>
      </c>
      <c r="DY99" s="118">
        <f t="shared" si="147"/>
        <v>0</v>
      </c>
      <c r="DZ99" s="118">
        <f t="shared" si="148"/>
        <v>0</v>
      </c>
      <c r="EA99" s="118">
        <f t="shared" si="149"/>
        <v>0</v>
      </c>
      <c r="EB99" s="118">
        <f t="shared" si="150"/>
        <v>0</v>
      </c>
      <c r="EC99" s="118">
        <f t="shared" si="151"/>
        <v>0</v>
      </c>
      <c r="ED99" s="118">
        <f t="shared" si="152"/>
        <v>0</v>
      </c>
      <c r="EE99" s="118">
        <f t="shared" si="153"/>
        <v>0</v>
      </c>
      <c r="EF99" s="118">
        <f t="shared" si="154"/>
        <v>0</v>
      </c>
      <c r="EG99" s="118">
        <f t="shared" si="155"/>
        <v>0</v>
      </c>
      <c r="EH99" s="118">
        <f t="shared" si="156"/>
        <v>0</v>
      </c>
      <c r="EI99" s="118">
        <f t="shared" si="157"/>
        <v>0</v>
      </c>
      <c r="EJ99" s="118">
        <f t="shared" si="158"/>
        <v>0</v>
      </c>
      <c r="EK99" s="118">
        <f t="shared" si="159"/>
        <v>0</v>
      </c>
      <c r="EL99" s="118">
        <f t="shared" si="160"/>
        <v>0</v>
      </c>
      <c r="EM99" s="118">
        <f t="shared" si="161"/>
        <v>0</v>
      </c>
      <c r="EN99" s="118">
        <f t="shared" si="162"/>
        <v>0</v>
      </c>
      <c r="EO99" s="118">
        <f t="shared" si="163"/>
        <v>0</v>
      </c>
      <c r="EP99" s="118">
        <f t="shared" si="164"/>
        <v>0</v>
      </c>
      <c r="EQ99" s="118">
        <f t="shared" si="165"/>
        <v>0</v>
      </c>
      <c r="ER99" s="118">
        <f t="shared" si="166"/>
        <v>0</v>
      </c>
      <c r="ES99" s="118">
        <f t="shared" si="167"/>
        <v>0</v>
      </c>
      <c r="ET99" s="177">
        <f t="shared" si="168"/>
        <v>-79075.232172625605</v>
      </c>
      <c r="EU99" s="72"/>
      <c r="EV99" s="117">
        <f t="shared" si="169"/>
        <v>4280.2507739087523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70"/>
        <v>0</v>
      </c>
    </row>
    <row r="100" spans="109:193">
      <c r="DE100" s="117">
        <f t="shared" si="127"/>
        <v>4408.658297126015</v>
      </c>
      <c r="DF100" s="118">
        <f t="shared" si="128"/>
        <v>754329.14856300747</v>
      </c>
      <c r="DG100" s="118">
        <f t="shared" si="129"/>
        <v>-1126926.637700812</v>
      </c>
      <c r="DH100" s="118">
        <f t="shared" si="130"/>
        <v>2139719.1051142253</v>
      </c>
      <c r="DI100" s="118">
        <f t="shared" si="131"/>
        <v>-1884719.1051142255</v>
      </c>
      <c r="DJ100" s="118">
        <f t="shared" si="132"/>
        <v>0</v>
      </c>
      <c r="DK100" s="118">
        <f t="shared" si="133"/>
        <v>0</v>
      </c>
      <c r="DL100" s="118">
        <f t="shared" si="134"/>
        <v>0</v>
      </c>
      <c r="DM100" s="118">
        <f t="shared" si="135"/>
        <v>0</v>
      </c>
      <c r="DN100" s="118">
        <f t="shared" si="136"/>
        <v>0</v>
      </c>
      <c r="DO100" s="118">
        <f t="shared" si="137"/>
        <v>0</v>
      </c>
      <c r="DP100" s="118">
        <f t="shared" si="138"/>
        <v>0</v>
      </c>
      <c r="DQ100" s="118">
        <f t="shared" si="139"/>
        <v>0</v>
      </c>
      <c r="DR100" s="118">
        <f t="shared" si="140"/>
        <v>0</v>
      </c>
      <c r="DS100" s="118">
        <f t="shared" si="141"/>
        <v>0</v>
      </c>
      <c r="DT100" s="118">
        <f t="shared" si="142"/>
        <v>0</v>
      </c>
      <c r="DU100" s="118">
        <f t="shared" si="143"/>
        <v>0</v>
      </c>
      <c r="DV100" s="118">
        <f t="shared" si="144"/>
        <v>0</v>
      </c>
      <c r="DW100" s="118">
        <f t="shared" si="145"/>
        <v>0</v>
      </c>
      <c r="DX100" s="118">
        <f t="shared" si="146"/>
        <v>0</v>
      </c>
      <c r="DY100" s="118">
        <f t="shared" si="147"/>
        <v>0</v>
      </c>
      <c r="DZ100" s="118">
        <f t="shared" si="148"/>
        <v>0</v>
      </c>
      <c r="EA100" s="118">
        <f t="shared" si="149"/>
        <v>0</v>
      </c>
      <c r="EB100" s="118">
        <f t="shared" si="150"/>
        <v>0</v>
      </c>
      <c r="EC100" s="118">
        <f t="shared" si="151"/>
        <v>0</v>
      </c>
      <c r="ED100" s="118">
        <f t="shared" si="152"/>
        <v>0</v>
      </c>
      <c r="EE100" s="118">
        <f t="shared" si="153"/>
        <v>0</v>
      </c>
      <c r="EF100" s="118">
        <f t="shared" si="154"/>
        <v>0</v>
      </c>
      <c r="EG100" s="118">
        <f t="shared" si="155"/>
        <v>0</v>
      </c>
      <c r="EH100" s="118">
        <f t="shared" si="156"/>
        <v>0</v>
      </c>
      <c r="EI100" s="118">
        <f t="shared" si="157"/>
        <v>0</v>
      </c>
      <c r="EJ100" s="118">
        <f t="shared" si="158"/>
        <v>0</v>
      </c>
      <c r="EK100" s="118">
        <f t="shared" si="159"/>
        <v>0</v>
      </c>
      <c r="EL100" s="118">
        <f t="shared" si="160"/>
        <v>0</v>
      </c>
      <c r="EM100" s="118">
        <f t="shared" si="161"/>
        <v>0</v>
      </c>
      <c r="EN100" s="118">
        <f t="shared" si="162"/>
        <v>0</v>
      </c>
      <c r="EO100" s="118">
        <f t="shared" si="163"/>
        <v>0</v>
      </c>
      <c r="EP100" s="118">
        <f t="shared" si="164"/>
        <v>0</v>
      </c>
      <c r="EQ100" s="118">
        <f t="shared" si="165"/>
        <v>0</v>
      </c>
      <c r="ER100" s="118">
        <f t="shared" si="166"/>
        <v>0</v>
      </c>
      <c r="ES100" s="118">
        <f t="shared" si="167"/>
        <v>0</v>
      </c>
      <c r="ET100" s="177">
        <f t="shared" si="168"/>
        <v>-117597.48913780483</v>
      </c>
      <c r="EU100" s="72"/>
      <c r="EV100" s="117">
        <f t="shared" si="169"/>
        <v>4408.658297126015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70"/>
        <v>0</v>
      </c>
    </row>
    <row r="101" spans="109:193">
      <c r="DE101" s="117">
        <f t="shared" si="127"/>
        <v>4540.9180460397956</v>
      </c>
      <c r="DF101" s="118">
        <f t="shared" si="128"/>
        <v>820459.02301989787</v>
      </c>
      <c r="DG101" s="118">
        <f t="shared" si="129"/>
        <v>-1232734.4368318366</v>
      </c>
      <c r="DH101" s="118">
        <f t="shared" si="130"/>
        <v>2364560.6782676526</v>
      </c>
      <c r="DI101" s="118">
        <f t="shared" si="131"/>
        <v>-2109560.6782676526</v>
      </c>
      <c r="DJ101" s="118">
        <f t="shared" si="132"/>
        <v>0</v>
      </c>
      <c r="DK101" s="118">
        <f t="shared" si="133"/>
        <v>0</v>
      </c>
      <c r="DL101" s="118">
        <f t="shared" si="134"/>
        <v>0</v>
      </c>
      <c r="DM101" s="118">
        <f t="shared" si="135"/>
        <v>0</v>
      </c>
      <c r="DN101" s="118">
        <f t="shared" si="136"/>
        <v>0</v>
      </c>
      <c r="DO101" s="118">
        <f t="shared" si="137"/>
        <v>0</v>
      </c>
      <c r="DP101" s="118">
        <f t="shared" si="138"/>
        <v>0</v>
      </c>
      <c r="DQ101" s="118">
        <f t="shared" si="139"/>
        <v>0</v>
      </c>
      <c r="DR101" s="118">
        <f t="shared" si="140"/>
        <v>0</v>
      </c>
      <c r="DS101" s="118">
        <f t="shared" si="141"/>
        <v>0</v>
      </c>
      <c r="DT101" s="118">
        <f t="shared" si="142"/>
        <v>0</v>
      </c>
      <c r="DU101" s="118">
        <f t="shared" si="143"/>
        <v>0</v>
      </c>
      <c r="DV101" s="118">
        <f t="shared" si="144"/>
        <v>0</v>
      </c>
      <c r="DW101" s="118">
        <f t="shared" si="145"/>
        <v>0</v>
      </c>
      <c r="DX101" s="118">
        <f t="shared" si="146"/>
        <v>0</v>
      </c>
      <c r="DY101" s="118">
        <f t="shared" si="147"/>
        <v>0</v>
      </c>
      <c r="DZ101" s="118">
        <f t="shared" si="148"/>
        <v>0</v>
      </c>
      <c r="EA101" s="118">
        <f t="shared" si="149"/>
        <v>0</v>
      </c>
      <c r="EB101" s="118">
        <f t="shared" si="150"/>
        <v>0</v>
      </c>
      <c r="EC101" s="118">
        <f t="shared" si="151"/>
        <v>0</v>
      </c>
      <c r="ED101" s="118">
        <f t="shared" si="152"/>
        <v>0</v>
      </c>
      <c r="EE101" s="118">
        <f t="shared" si="153"/>
        <v>0</v>
      </c>
      <c r="EF101" s="118">
        <f t="shared" si="154"/>
        <v>0</v>
      </c>
      <c r="EG101" s="118">
        <f t="shared" si="155"/>
        <v>0</v>
      </c>
      <c r="EH101" s="118">
        <f t="shared" si="156"/>
        <v>0</v>
      </c>
      <c r="EI101" s="118">
        <f t="shared" si="157"/>
        <v>0</v>
      </c>
      <c r="EJ101" s="118">
        <f t="shared" si="158"/>
        <v>0</v>
      </c>
      <c r="EK101" s="118">
        <f t="shared" si="159"/>
        <v>0</v>
      </c>
      <c r="EL101" s="118">
        <f t="shared" si="160"/>
        <v>0</v>
      </c>
      <c r="EM101" s="118">
        <f t="shared" si="161"/>
        <v>0</v>
      </c>
      <c r="EN101" s="118">
        <f t="shared" si="162"/>
        <v>0</v>
      </c>
      <c r="EO101" s="118">
        <f t="shared" si="163"/>
        <v>0</v>
      </c>
      <c r="EP101" s="118">
        <f t="shared" si="164"/>
        <v>0</v>
      </c>
      <c r="EQ101" s="118">
        <f t="shared" si="165"/>
        <v>0</v>
      </c>
      <c r="ER101" s="118">
        <f t="shared" si="166"/>
        <v>0</v>
      </c>
      <c r="ES101" s="118">
        <f t="shared" si="167"/>
        <v>0</v>
      </c>
      <c r="ET101" s="177">
        <f t="shared" si="168"/>
        <v>-157275.41381193884</v>
      </c>
      <c r="EU101" s="72"/>
      <c r="EV101" s="117">
        <f t="shared" si="169"/>
        <v>4540.9180460397956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70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1">DE3</f>
        <v>1791.9425524598291</v>
      </c>
      <c r="DF103" s="118">
        <f t="shared" ref="DF103:DF134" si="172">IF($DE103&lt;$AD$3,$AC$3*100*($AD$3-$DE103),0)</f>
        <v>0</v>
      </c>
      <c r="DG103" s="118">
        <f t="shared" ref="DG103:DG134" si="173">IF($DE103&lt;$AD$4,$AC$4*100*($AD$4-$DE103),0)</f>
        <v>0</v>
      </c>
      <c r="DH103" s="118">
        <f t="shared" ref="DH103:DH134" si="174">IF($DE103&lt;$AD$5,$AC$5*100*($AD$5-$DE103),0)</f>
        <v>0</v>
      </c>
      <c r="DI103" s="118">
        <f t="shared" ref="DI103:DI134" si="175">IF($DE103&lt;$AD$6,$AC$6*100*($AD$6-$DE103),0)</f>
        <v>0</v>
      </c>
      <c r="DJ103" s="118">
        <f t="shared" ref="DJ103:DJ134" si="176">IF($DE103&lt;$AD$7,$AC$7*100*($AD$7-$DE103),0)</f>
        <v>0</v>
      </c>
      <c r="DK103" s="118">
        <f t="shared" ref="DK103:DK134" si="177">IF($DE103&lt;$AD$8,$AC$8*100*($AD$8-$DE103),0)</f>
        <v>0</v>
      </c>
      <c r="DL103" s="118">
        <f t="shared" ref="DL103:DL134" si="178">IF($DE103&lt;$AD$9,$AC$9*100*($AD$9-$DE103),0)</f>
        <v>0</v>
      </c>
      <c r="DM103" s="118">
        <f t="shared" ref="DM103:DM134" si="179">IF($DE103&lt;$AD$10,$AC$10*100*($AD$10-$DE103),0)</f>
        <v>0</v>
      </c>
      <c r="DN103" s="118">
        <f t="shared" ref="DN103:DN134" si="180">IF($DE103&lt;$AD$11,$AC$11*100*($AD$11-$DE103),0)</f>
        <v>0</v>
      </c>
      <c r="DO103" s="118">
        <f t="shared" ref="DO103:DO134" si="181">IF($DE103&lt;$AD$12,$AC$12*100*($AD$12-$DE103),0)</f>
        <v>0</v>
      </c>
      <c r="DP103" s="118">
        <f t="shared" ref="DP103:DP134" si="182">IF($DE103&lt;$AD$13,$AC$13*100*($AD$13-$DE103),0)</f>
        <v>0</v>
      </c>
      <c r="DQ103" s="118">
        <f t="shared" ref="DQ103:DQ134" si="183">IF($DE103&lt;$AD$14,$AC$14*100*($AD$14-$DE103),0)</f>
        <v>0</v>
      </c>
      <c r="DR103" s="118">
        <f t="shared" ref="DR103:DR134" si="184">IF($DE103&lt;$AD$15,$AC$15*100*($AD$15-$DE103),0)</f>
        <v>0</v>
      </c>
      <c r="DS103" s="118">
        <f t="shared" ref="DS103:DS134" si="185">IF($DE103&lt;$AD$16,$AC$16*100*($AD$16-$DE103),0)</f>
        <v>0</v>
      </c>
      <c r="DT103" s="118">
        <f t="shared" ref="DT103:DT134" si="186">IF($DE103&lt;$AD$17,$AC$17*100*($AD$17-$DE103),0)</f>
        <v>0</v>
      </c>
      <c r="DU103" s="118">
        <f t="shared" ref="DU103:DU134" si="187">IF($DE103&lt;$AD$18,$AC$18*100*($AD$18-$DE103),0)</f>
        <v>0</v>
      </c>
      <c r="DV103" s="118">
        <f t="shared" ref="DV103:DV134" si="188">IF($DE103&lt;$AD$19,$AC$19*100*($AD$19-$DE103),0)</f>
        <v>0</v>
      </c>
      <c r="DW103" s="118">
        <f t="shared" ref="DW103:DW134" si="189">IF($DE103&lt;$AD$20,$AC$20*100*($AD$20-$DE103),0)</f>
        <v>0</v>
      </c>
      <c r="DX103" s="118">
        <f t="shared" ref="DX103:DX134" si="190">IF($DE103&lt;$AD$21,$AC$21*100*($AD$21-$DE103),0)</f>
        <v>0</v>
      </c>
      <c r="DY103" s="118">
        <f t="shared" ref="DY103:DY134" si="191">IF($DE103&lt;$AD$22,$AC$22*100*($AD$22-$DE103),0)</f>
        <v>0</v>
      </c>
      <c r="DZ103" s="118">
        <f t="shared" ref="DZ103:DZ134" si="192">IF($DE103&lt;$AD$23,$AC$23*100*($AD$23-$DE103),0)</f>
        <v>0</v>
      </c>
      <c r="EA103" s="118">
        <f t="shared" ref="EA103:EA134" si="193">IF($DE103&lt;$AD$24,$AC$24*100*($AD$24-$DE103),0)</f>
        <v>0</v>
      </c>
      <c r="EB103" s="118">
        <f t="shared" ref="EB103:EB134" si="194">IF($DE103&lt;$AD$25,$AC$25*100*($AD$25-$DE103),0)</f>
        <v>0</v>
      </c>
      <c r="EC103" s="118">
        <f t="shared" ref="EC103:EC134" si="195">IF($DE103&lt;$AD$26,$AC$26*100*($AD$26-$DE103),0)</f>
        <v>0</v>
      </c>
      <c r="ED103" s="118">
        <f t="shared" ref="ED103:ED134" si="196">IF($DE103&lt;$AD$27,$AC$27*100*($AD$27-$DE103),0)</f>
        <v>0</v>
      </c>
      <c r="EE103" s="118">
        <f t="shared" ref="EE103:EE134" si="197">IF($DE103&lt;$AD$28,$AC$28*100*($AD$28-$DE103),0)</f>
        <v>0</v>
      </c>
      <c r="EF103" s="118">
        <f t="shared" ref="EF103:EF134" si="198">IF($DE103&lt;$AD$29,$AC$29*100*($AD$29-$DE103),0)</f>
        <v>0</v>
      </c>
      <c r="EG103" s="118">
        <f t="shared" ref="EG103:EG134" si="199">IF($DE103&lt;$AD$30,$AC$30*100*($AD$30-$DE103),0)</f>
        <v>0</v>
      </c>
      <c r="EH103" s="118">
        <f t="shared" ref="EH103:EH134" si="200">IF($DE103&lt;$AD$31,$AC$31*100*($AD$31-$DE103),0)</f>
        <v>0</v>
      </c>
      <c r="EI103" s="118">
        <f t="shared" ref="EI103:EI134" si="201">IF($DE103&lt;$AD$32,$AC$32*100*($AD$32-$DE103),0)</f>
        <v>0</v>
      </c>
      <c r="EJ103" s="118">
        <f t="shared" ref="EJ103:EJ134" si="202">IF($DE103&lt;$AD$33,$AC$33*100*($AD$33-$DE103),0)</f>
        <v>0</v>
      </c>
      <c r="EK103" s="118">
        <f t="shared" ref="EK103:EK134" si="203">IF($DE103&lt;$AD$34,$AC$34*100*($AD$34-$DE103),0)</f>
        <v>0</v>
      </c>
      <c r="EL103" s="118">
        <f t="shared" ref="EL103:EL134" si="204">IF($DE103&lt;$AD$35,$AC$35*100*($AD$35-$DE103),0)</f>
        <v>0</v>
      </c>
      <c r="EM103" s="118">
        <f t="shared" ref="EM103:EM134" si="205">IF($DE103&lt;$AD$36,$AC$36*100*($AD$36-$DE103),0)</f>
        <v>0</v>
      </c>
      <c r="EN103" s="118">
        <f t="shared" ref="EN103:EN134" si="206">IF($DE103&lt;$AD$37,$AC$37*100*($AD$37-$DE103),0)</f>
        <v>0</v>
      </c>
      <c r="EO103" s="118">
        <f t="shared" ref="EO103:EO134" si="207">IF($DE103&lt;$AD$38,$AC$38*100*($AD$38-$DE103),0)</f>
        <v>0</v>
      </c>
      <c r="EP103" s="118">
        <f t="shared" ref="EP103:EP134" si="208">IF($DE103&lt;$AD$39,$AC$39*100*($AD$39-$DE103),0)</f>
        <v>0</v>
      </c>
      <c r="EQ103" s="118">
        <f t="shared" ref="EQ103:EQ134" si="209">IF($DE103&lt;$AD$40,$AC$40*100*($AD$40-$DE103),0)</f>
        <v>0</v>
      </c>
      <c r="ER103" s="118">
        <f t="shared" ref="ER103:ER134" si="210">IF($DE103&lt;$AD$41,$AC$41*100*($AD$41-$DE103),0)</f>
        <v>0</v>
      </c>
      <c r="ES103" s="118">
        <f t="shared" ref="ES103:ES134" si="211">IF($DE103&lt;$AD$42,$AC$42*100*($AD$42-$DE103),0)</f>
        <v>0</v>
      </c>
      <c r="ET103" s="177">
        <f t="shared" ref="ET103:ET134" si="212">SUM(DF103:ES103)</f>
        <v>0</v>
      </c>
      <c r="EU103" s="72"/>
      <c r="EV103" s="117">
        <f t="shared" ref="EV103:EV134" si="213">EV3</f>
        <v>1791.9425524598291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4">SUM(EW103:GJ103)</f>
        <v>0</v>
      </c>
    </row>
    <row r="104" spans="109:193">
      <c r="DE104" s="117">
        <f t="shared" si="171"/>
        <v>1847.3634561441538</v>
      </c>
      <c r="DF104" s="118">
        <f t="shared" si="172"/>
        <v>0</v>
      </c>
      <c r="DG104" s="118">
        <f t="shared" si="173"/>
        <v>0</v>
      </c>
      <c r="DH104" s="118">
        <f t="shared" si="174"/>
        <v>0</v>
      </c>
      <c r="DI104" s="118">
        <f t="shared" si="175"/>
        <v>0</v>
      </c>
      <c r="DJ104" s="118">
        <f t="shared" si="176"/>
        <v>0</v>
      </c>
      <c r="DK104" s="118">
        <f t="shared" si="177"/>
        <v>0</v>
      </c>
      <c r="DL104" s="118">
        <f t="shared" si="178"/>
        <v>0</v>
      </c>
      <c r="DM104" s="118">
        <f t="shared" si="179"/>
        <v>0</v>
      </c>
      <c r="DN104" s="118">
        <f t="shared" si="180"/>
        <v>0</v>
      </c>
      <c r="DO104" s="118">
        <f t="shared" si="181"/>
        <v>0</v>
      </c>
      <c r="DP104" s="118">
        <f t="shared" si="182"/>
        <v>0</v>
      </c>
      <c r="DQ104" s="118">
        <f t="shared" si="183"/>
        <v>0</v>
      </c>
      <c r="DR104" s="118">
        <f t="shared" si="184"/>
        <v>0</v>
      </c>
      <c r="DS104" s="118">
        <f t="shared" si="185"/>
        <v>0</v>
      </c>
      <c r="DT104" s="118">
        <f t="shared" si="186"/>
        <v>0</v>
      </c>
      <c r="DU104" s="118">
        <f t="shared" si="187"/>
        <v>0</v>
      </c>
      <c r="DV104" s="118">
        <f t="shared" si="188"/>
        <v>0</v>
      </c>
      <c r="DW104" s="118">
        <f t="shared" si="189"/>
        <v>0</v>
      </c>
      <c r="DX104" s="118">
        <f t="shared" si="190"/>
        <v>0</v>
      </c>
      <c r="DY104" s="118">
        <f t="shared" si="191"/>
        <v>0</v>
      </c>
      <c r="DZ104" s="118">
        <f t="shared" si="192"/>
        <v>0</v>
      </c>
      <c r="EA104" s="118">
        <f t="shared" si="193"/>
        <v>0</v>
      </c>
      <c r="EB104" s="118">
        <f t="shared" si="194"/>
        <v>0</v>
      </c>
      <c r="EC104" s="118">
        <f t="shared" si="195"/>
        <v>0</v>
      </c>
      <c r="ED104" s="118">
        <f t="shared" si="196"/>
        <v>0</v>
      </c>
      <c r="EE104" s="118">
        <f t="shared" si="197"/>
        <v>0</v>
      </c>
      <c r="EF104" s="118">
        <f t="shared" si="198"/>
        <v>0</v>
      </c>
      <c r="EG104" s="118">
        <f t="shared" si="199"/>
        <v>0</v>
      </c>
      <c r="EH104" s="118">
        <f t="shared" si="200"/>
        <v>0</v>
      </c>
      <c r="EI104" s="118">
        <f t="shared" si="201"/>
        <v>0</v>
      </c>
      <c r="EJ104" s="118">
        <f t="shared" si="202"/>
        <v>0</v>
      </c>
      <c r="EK104" s="118">
        <f t="shared" si="203"/>
        <v>0</v>
      </c>
      <c r="EL104" s="118">
        <f t="shared" si="204"/>
        <v>0</v>
      </c>
      <c r="EM104" s="118">
        <f t="shared" si="205"/>
        <v>0</v>
      </c>
      <c r="EN104" s="118">
        <f t="shared" si="206"/>
        <v>0</v>
      </c>
      <c r="EO104" s="118">
        <f t="shared" si="207"/>
        <v>0</v>
      </c>
      <c r="EP104" s="118">
        <f t="shared" si="208"/>
        <v>0</v>
      </c>
      <c r="EQ104" s="118">
        <f t="shared" si="209"/>
        <v>0</v>
      </c>
      <c r="ER104" s="118">
        <f t="shared" si="210"/>
        <v>0</v>
      </c>
      <c r="ES104" s="118">
        <f t="shared" si="211"/>
        <v>0</v>
      </c>
      <c r="ET104" s="177">
        <f t="shared" si="212"/>
        <v>0</v>
      </c>
      <c r="EU104" s="72"/>
      <c r="EV104" s="117">
        <f t="shared" si="213"/>
        <v>1847.3634561441538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4"/>
        <v>0</v>
      </c>
    </row>
    <row r="105" spans="109:193">
      <c r="DE105" s="117">
        <f t="shared" si="171"/>
        <v>1904.4984083960348</v>
      </c>
      <c r="DF105" s="118">
        <f t="shared" si="172"/>
        <v>0</v>
      </c>
      <c r="DG105" s="118">
        <f t="shared" si="173"/>
        <v>0</v>
      </c>
      <c r="DH105" s="118">
        <f t="shared" si="174"/>
        <v>0</v>
      </c>
      <c r="DI105" s="118">
        <f t="shared" si="175"/>
        <v>0</v>
      </c>
      <c r="DJ105" s="118">
        <f t="shared" si="176"/>
        <v>0</v>
      </c>
      <c r="DK105" s="118">
        <f t="shared" si="177"/>
        <v>0</v>
      </c>
      <c r="DL105" s="118">
        <f t="shared" si="178"/>
        <v>0</v>
      </c>
      <c r="DM105" s="118">
        <f t="shared" si="179"/>
        <v>0</v>
      </c>
      <c r="DN105" s="118">
        <f t="shared" si="180"/>
        <v>0</v>
      </c>
      <c r="DO105" s="118">
        <f t="shared" si="181"/>
        <v>0</v>
      </c>
      <c r="DP105" s="118">
        <f t="shared" si="182"/>
        <v>0</v>
      </c>
      <c r="DQ105" s="118">
        <f t="shared" si="183"/>
        <v>0</v>
      </c>
      <c r="DR105" s="118">
        <f t="shared" si="184"/>
        <v>0</v>
      </c>
      <c r="DS105" s="118">
        <f t="shared" si="185"/>
        <v>0</v>
      </c>
      <c r="DT105" s="118">
        <f t="shared" si="186"/>
        <v>0</v>
      </c>
      <c r="DU105" s="118">
        <f t="shared" si="187"/>
        <v>0</v>
      </c>
      <c r="DV105" s="118">
        <f t="shared" si="188"/>
        <v>0</v>
      </c>
      <c r="DW105" s="118">
        <f t="shared" si="189"/>
        <v>0</v>
      </c>
      <c r="DX105" s="118">
        <f t="shared" si="190"/>
        <v>0</v>
      </c>
      <c r="DY105" s="118">
        <f t="shared" si="191"/>
        <v>0</v>
      </c>
      <c r="DZ105" s="118">
        <f t="shared" si="192"/>
        <v>0</v>
      </c>
      <c r="EA105" s="118">
        <f t="shared" si="193"/>
        <v>0</v>
      </c>
      <c r="EB105" s="118">
        <f t="shared" si="194"/>
        <v>0</v>
      </c>
      <c r="EC105" s="118">
        <f t="shared" si="195"/>
        <v>0</v>
      </c>
      <c r="ED105" s="118">
        <f t="shared" si="196"/>
        <v>0</v>
      </c>
      <c r="EE105" s="118">
        <f t="shared" si="197"/>
        <v>0</v>
      </c>
      <c r="EF105" s="118">
        <f t="shared" si="198"/>
        <v>0</v>
      </c>
      <c r="EG105" s="118">
        <f t="shared" si="199"/>
        <v>0</v>
      </c>
      <c r="EH105" s="118">
        <f t="shared" si="200"/>
        <v>0</v>
      </c>
      <c r="EI105" s="118">
        <f t="shared" si="201"/>
        <v>0</v>
      </c>
      <c r="EJ105" s="118">
        <f t="shared" si="202"/>
        <v>0</v>
      </c>
      <c r="EK105" s="118">
        <f t="shared" si="203"/>
        <v>0</v>
      </c>
      <c r="EL105" s="118">
        <f t="shared" si="204"/>
        <v>0</v>
      </c>
      <c r="EM105" s="118">
        <f t="shared" si="205"/>
        <v>0</v>
      </c>
      <c r="EN105" s="118">
        <f t="shared" si="206"/>
        <v>0</v>
      </c>
      <c r="EO105" s="118">
        <f t="shared" si="207"/>
        <v>0</v>
      </c>
      <c r="EP105" s="118">
        <f t="shared" si="208"/>
        <v>0</v>
      </c>
      <c r="EQ105" s="118">
        <f t="shared" si="209"/>
        <v>0</v>
      </c>
      <c r="ER105" s="118">
        <f t="shared" si="210"/>
        <v>0</v>
      </c>
      <c r="ES105" s="118">
        <f t="shared" si="211"/>
        <v>0</v>
      </c>
      <c r="ET105" s="177">
        <f t="shared" si="212"/>
        <v>0</v>
      </c>
      <c r="EU105" s="72"/>
      <c r="EV105" s="117">
        <f t="shared" si="213"/>
        <v>1904.4984083960348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4"/>
        <v>0</v>
      </c>
    </row>
    <row r="106" spans="109:193">
      <c r="DE106" s="117">
        <f t="shared" si="171"/>
        <v>1963.4004210268401</v>
      </c>
      <c r="DF106" s="118">
        <f t="shared" si="172"/>
        <v>0</v>
      </c>
      <c r="DG106" s="118">
        <f t="shared" si="173"/>
        <v>0</v>
      </c>
      <c r="DH106" s="118">
        <f t="shared" si="174"/>
        <v>0</v>
      </c>
      <c r="DI106" s="118">
        <f t="shared" si="175"/>
        <v>0</v>
      </c>
      <c r="DJ106" s="118">
        <f t="shared" si="176"/>
        <v>0</v>
      </c>
      <c r="DK106" s="118">
        <f t="shared" si="177"/>
        <v>0</v>
      </c>
      <c r="DL106" s="118">
        <f t="shared" si="178"/>
        <v>0</v>
      </c>
      <c r="DM106" s="118">
        <f t="shared" si="179"/>
        <v>0</v>
      </c>
      <c r="DN106" s="118">
        <f t="shared" si="180"/>
        <v>0</v>
      </c>
      <c r="DO106" s="118">
        <f t="shared" si="181"/>
        <v>0</v>
      </c>
      <c r="DP106" s="118">
        <f t="shared" si="182"/>
        <v>0</v>
      </c>
      <c r="DQ106" s="118">
        <f t="shared" si="183"/>
        <v>0</v>
      </c>
      <c r="DR106" s="118">
        <f t="shared" si="184"/>
        <v>0</v>
      </c>
      <c r="DS106" s="118">
        <f t="shared" si="185"/>
        <v>0</v>
      </c>
      <c r="DT106" s="118">
        <f t="shared" si="186"/>
        <v>0</v>
      </c>
      <c r="DU106" s="118">
        <f t="shared" si="187"/>
        <v>0</v>
      </c>
      <c r="DV106" s="118">
        <f t="shared" si="188"/>
        <v>0</v>
      </c>
      <c r="DW106" s="118">
        <f t="shared" si="189"/>
        <v>0</v>
      </c>
      <c r="DX106" s="118">
        <f t="shared" si="190"/>
        <v>0</v>
      </c>
      <c r="DY106" s="118">
        <f t="shared" si="191"/>
        <v>0</v>
      </c>
      <c r="DZ106" s="118">
        <f t="shared" si="192"/>
        <v>0</v>
      </c>
      <c r="EA106" s="118">
        <f t="shared" si="193"/>
        <v>0</v>
      </c>
      <c r="EB106" s="118">
        <f t="shared" si="194"/>
        <v>0</v>
      </c>
      <c r="EC106" s="118">
        <f t="shared" si="195"/>
        <v>0</v>
      </c>
      <c r="ED106" s="118">
        <f t="shared" si="196"/>
        <v>0</v>
      </c>
      <c r="EE106" s="118">
        <f t="shared" si="197"/>
        <v>0</v>
      </c>
      <c r="EF106" s="118">
        <f t="shared" si="198"/>
        <v>0</v>
      </c>
      <c r="EG106" s="118">
        <f t="shared" si="199"/>
        <v>0</v>
      </c>
      <c r="EH106" s="118">
        <f t="shared" si="200"/>
        <v>0</v>
      </c>
      <c r="EI106" s="118">
        <f t="shared" si="201"/>
        <v>0</v>
      </c>
      <c r="EJ106" s="118">
        <f t="shared" si="202"/>
        <v>0</v>
      </c>
      <c r="EK106" s="118">
        <f t="shared" si="203"/>
        <v>0</v>
      </c>
      <c r="EL106" s="118">
        <f t="shared" si="204"/>
        <v>0</v>
      </c>
      <c r="EM106" s="118">
        <f t="shared" si="205"/>
        <v>0</v>
      </c>
      <c r="EN106" s="118">
        <f t="shared" si="206"/>
        <v>0</v>
      </c>
      <c r="EO106" s="118">
        <f t="shared" si="207"/>
        <v>0</v>
      </c>
      <c r="EP106" s="118">
        <f t="shared" si="208"/>
        <v>0</v>
      </c>
      <c r="EQ106" s="118">
        <f t="shared" si="209"/>
        <v>0</v>
      </c>
      <c r="ER106" s="118">
        <f t="shared" si="210"/>
        <v>0</v>
      </c>
      <c r="ES106" s="118">
        <f t="shared" si="211"/>
        <v>0</v>
      </c>
      <c r="ET106" s="177">
        <f t="shared" si="212"/>
        <v>0</v>
      </c>
      <c r="EU106" s="72"/>
      <c r="EV106" s="117">
        <f t="shared" si="213"/>
        <v>1963.4004210268401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4"/>
        <v>0</v>
      </c>
    </row>
    <row r="107" spans="109:193">
      <c r="DE107" s="117">
        <f t="shared" si="171"/>
        <v>2024.124145388495</v>
      </c>
      <c r="DF107" s="118">
        <f t="shared" si="172"/>
        <v>0</v>
      </c>
      <c r="DG107" s="118">
        <f t="shared" si="173"/>
        <v>0</v>
      </c>
      <c r="DH107" s="118">
        <f t="shared" si="174"/>
        <v>0</v>
      </c>
      <c r="DI107" s="118">
        <f t="shared" si="175"/>
        <v>0</v>
      </c>
      <c r="DJ107" s="118">
        <f t="shared" si="176"/>
        <v>0</v>
      </c>
      <c r="DK107" s="118">
        <f t="shared" si="177"/>
        <v>0</v>
      </c>
      <c r="DL107" s="118">
        <f t="shared" si="178"/>
        <v>0</v>
      </c>
      <c r="DM107" s="118">
        <f t="shared" si="179"/>
        <v>0</v>
      </c>
      <c r="DN107" s="118">
        <f t="shared" si="180"/>
        <v>0</v>
      </c>
      <c r="DO107" s="118">
        <f t="shared" si="181"/>
        <v>0</v>
      </c>
      <c r="DP107" s="118">
        <f t="shared" si="182"/>
        <v>0</v>
      </c>
      <c r="DQ107" s="118">
        <f t="shared" si="183"/>
        <v>0</v>
      </c>
      <c r="DR107" s="118">
        <f t="shared" si="184"/>
        <v>0</v>
      </c>
      <c r="DS107" s="118">
        <f t="shared" si="185"/>
        <v>0</v>
      </c>
      <c r="DT107" s="118">
        <f t="shared" si="186"/>
        <v>0</v>
      </c>
      <c r="DU107" s="118">
        <f t="shared" si="187"/>
        <v>0</v>
      </c>
      <c r="DV107" s="118">
        <f t="shared" si="188"/>
        <v>0</v>
      </c>
      <c r="DW107" s="118">
        <f t="shared" si="189"/>
        <v>0</v>
      </c>
      <c r="DX107" s="118">
        <f t="shared" si="190"/>
        <v>0</v>
      </c>
      <c r="DY107" s="118">
        <f t="shared" si="191"/>
        <v>0</v>
      </c>
      <c r="DZ107" s="118">
        <f t="shared" si="192"/>
        <v>0</v>
      </c>
      <c r="EA107" s="118">
        <f t="shared" si="193"/>
        <v>0</v>
      </c>
      <c r="EB107" s="118">
        <f t="shared" si="194"/>
        <v>0</v>
      </c>
      <c r="EC107" s="118">
        <f t="shared" si="195"/>
        <v>0</v>
      </c>
      <c r="ED107" s="118">
        <f t="shared" si="196"/>
        <v>0</v>
      </c>
      <c r="EE107" s="118">
        <f t="shared" si="197"/>
        <v>0</v>
      </c>
      <c r="EF107" s="118">
        <f t="shared" si="198"/>
        <v>0</v>
      </c>
      <c r="EG107" s="118">
        <f t="shared" si="199"/>
        <v>0</v>
      </c>
      <c r="EH107" s="118">
        <f t="shared" si="200"/>
        <v>0</v>
      </c>
      <c r="EI107" s="118">
        <f t="shared" si="201"/>
        <v>0</v>
      </c>
      <c r="EJ107" s="118">
        <f t="shared" si="202"/>
        <v>0</v>
      </c>
      <c r="EK107" s="118">
        <f t="shared" si="203"/>
        <v>0</v>
      </c>
      <c r="EL107" s="118">
        <f t="shared" si="204"/>
        <v>0</v>
      </c>
      <c r="EM107" s="118">
        <f t="shared" si="205"/>
        <v>0</v>
      </c>
      <c r="EN107" s="118">
        <f t="shared" si="206"/>
        <v>0</v>
      </c>
      <c r="EO107" s="118">
        <f t="shared" si="207"/>
        <v>0</v>
      </c>
      <c r="EP107" s="118">
        <f t="shared" si="208"/>
        <v>0</v>
      </c>
      <c r="EQ107" s="118">
        <f t="shared" si="209"/>
        <v>0</v>
      </c>
      <c r="ER107" s="118">
        <f t="shared" si="210"/>
        <v>0</v>
      </c>
      <c r="ES107" s="118">
        <f t="shared" si="211"/>
        <v>0</v>
      </c>
      <c r="ET107" s="177">
        <f t="shared" si="212"/>
        <v>0</v>
      </c>
      <c r="EU107" s="72"/>
      <c r="EV107" s="117">
        <f t="shared" si="213"/>
        <v>2024.124145388495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4"/>
        <v>0</v>
      </c>
    </row>
    <row r="108" spans="109:193">
      <c r="DE108" s="117">
        <f t="shared" si="171"/>
        <v>2086.7259230809227</v>
      </c>
      <c r="DF108" s="118">
        <f t="shared" si="172"/>
        <v>0</v>
      </c>
      <c r="DG108" s="118">
        <f t="shared" si="173"/>
        <v>0</v>
      </c>
      <c r="DH108" s="118">
        <f t="shared" si="174"/>
        <v>0</v>
      </c>
      <c r="DI108" s="118">
        <f t="shared" si="175"/>
        <v>0</v>
      </c>
      <c r="DJ108" s="118">
        <f t="shared" si="176"/>
        <v>0</v>
      </c>
      <c r="DK108" s="118">
        <f t="shared" si="177"/>
        <v>0</v>
      </c>
      <c r="DL108" s="118">
        <f t="shared" si="178"/>
        <v>0</v>
      </c>
      <c r="DM108" s="118">
        <f t="shared" si="179"/>
        <v>0</v>
      </c>
      <c r="DN108" s="118">
        <f t="shared" si="180"/>
        <v>0</v>
      </c>
      <c r="DO108" s="118">
        <f t="shared" si="181"/>
        <v>0</v>
      </c>
      <c r="DP108" s="118">
        <f t="shared" si="182"/>
        <v>0</v>
      </c>
      <c r="DQ108" s="118">
        <f t="shared" si="183"/>
        <v>0</v>
      </c>
      <c r="DR108" s="118">
        <f t="shared" si="184"/>
        <v>0</v>
      </c>
      <c r="DS108" s="118">
        <f t="shared" si="185"/>
        <v>0</v>
      </c>
      <c r="DT108" s="118">
        <f t="shared" si="186"/>
        <v>0</v>
      </c>
      <c r="DU108" s="118">
        <f t="shared" si="187"/>
        <v>0</v>
      </c>
      <c r="DV108" s="118">
        <f t="shared" si="188"/>
        <v>0</v>
      </c>
      <c r="DW108" s="118">
        <f t="shared" si="189"/>
        <v>0</v>
      </c>
      <c r="DX108" s="118">
        <f t="shared" si="190"/>
        <v>0</v>
      </c>
      <c r="DY108" s="118">
        <f t="shared" si="191"/>
        <v>0</v>
      </c>
      <c r="DZ108" s="118">
        <f t="shared" si="192"/>
        <v>0</v>
      </c>
      <c r="EA108" s="118">
        <f t="shared" si="193"/>
        <v>0</v>
      </c>
      <c r="EB108" s="118">
        <f t="shared" si="194"/>
        <v>0</v>
      </c>
      <c r="EC108" s="118">
        <f t="shared" si="195"/>
        <v>0</v>
      </c>
      <c r="ED108" s="118">
        <f t="shared" si="196"/>
        <v>0</v>
      </c>
      <c r="EE108" s="118">
        <f t="shared" si="197"/>
        <v>0</v>
      </c>
      <c r="EF108" s="118">
        <f t="shared" si="198"/>
        <v>0</v>
      </c>
      <c r="EG108" s="118">
        <f t="shared" si="199"/>
        <v>0</v>
      </c>
      <c r="EH108" s="118">
        <f t="shared" si="200"/>
        <v>0</v>
      </c>
      <c r="EI108" s="118">
        <f t="shared" si="201"/>
        <v>0</v>
      </c>
      <c r="EJ108" s="118">
        <f t="shared" si="202"/>
        <v>0</v>
      </c>
      <c r="EK108" s="118">
        <f t="shared" si="203"/>
        <v>0</v>
      </c>
      <c r="EL108" s="118">
        <f t="shared" si="204"/>
        <v>0</v>
      </c>
      <c r="EM108" s="118">
        <f t="shared" si="205"/>
        <v>0</v>
      </c>
      <c r="EN108" s="118">
        <f t="shared" si="206"/>
        <v>0</v>
      </c>
      <c r="EO108" s="118">
        <f t="shared" si="207"/>
        <v>0</v>
      </c>
      <c r="EP108" s="118">
        <f t="shared" si="208"/>
        <v>0</v>
      </c>
      <c r="EQ108" s="118">
        <f t="shared" si="209"/>
        <v>0</v>
      </c>
      <c r="ER108" s="118">
        <f t="shared" si="210"/>
        <v>0</v>
      </c>
      <c r="ES108" s="118">
        <f t="shared" si="211"/>
        <v>0</v>
      </c>
      <c r="ET108" s="177">
        <f t="shared" si="212"/>
        <v>0</v>
      </c>
      <c r="EU108" s="72"/>
      <c r="EV108" s="117">
        <f t="shared" si="213"/>
        <v>2086.7259230809227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4"/>
        <v>0</v>
      </c>
    </row>
    <row r="109" spans="109:193">
      <c r="DE109" s="117">
        <f t="shared" si="171"/>
        <v>2151.2638382277555</v>
      </c>
      <c r="DF109" s="118">
        <f t="shared" si="172"/>
        <v>0</v>
      </c>
      <c r="DG109" s="118">
        <f t="shared" si="173"/>
        <v>0</v>
      </c>
      <c r="DH109" s="118">
        <f t="shared" si="174"/>
        <v>0</v>
      </c>
      <c r="DI109" s="118">
        <f t="shared" si="175"/>
        <v>0</v>
      </c>
      <c r="DJ109" s="118">
        <f t="shared" si="176"/>
        <v>0</v>
      </c>
      <c r="DK109" s="118">
        <f t="shared" si="177"/>
        <v>0</v>
      </c>
      <c r="DL109" s="118">
        <f t="shared" si="178"/>
        <v>0</v>
      </c>
      <c r="DM109" s="118">
        <f t="shared" si="179"/>
        <v>0</v>
      </c>
      <c r="DN109" s="118">
        <f t="shared" si="180"/>
        <v>0</v>
      </c>
      <c r="DO109" s="118">
        <f t="shared" si="181"/>
        <v>0</v>
      </c>
      <c r="DP109" s="118">
        <f t="shared" si="182"/>
        <v>0</v>
      </c>
      <c r="DQ109" s="118">
        <f t="shared" si="183"/>
        <v>0</v>
      </c>
      <c r="DR109" s="118">
        <f t="shared" si="184"/>
        <v>0</v>
      </c>
      <c r="DS109" s="118">
        <f t="shared" si="185"/>
        <v>0</v>
      </c>
      <c r="DT109" s="118">
        <f t="shared" si="186"/>
        <v>0</v>
      </c>
      <c r="DU109" s="118">
        <f t="shared" si="187"/>
        <v>0</v>
      </c>
      <c r="DV109" s="118">
        <f t="shared" si="188"/>
        <v>0</v>
      </c>
      <c r="DW109" s="118">
        <f t="shared" si="189"/>
        <v>0</v>
      </c>
      <c r="DX109" s="118">
        <f t="shared" si="190"/>
        <v>0</v>
      </c>
      <c r="DY109" s="118">
        <f t="shared" si="191"/>
        <v>0</v>
      </c>
      <c r="DZ109" s="118">
        <f t="shared" si="192"/>
        <v>0</v>
      </c>
      <c r="EA109" s="118">
        <f t="shared" si="193"/>
        <v>0</v>
      </c>
      <c r="EB109" s="118">
        <f t="shared" si="194"/>
        <v>0</v>
      </c>
      <c r="EC109" s="118">
        <f t="shared" si="195"/>
        <v>0</v>
      </c>
      <c r="ED109" s="118">
        <f t="shared" si="196"/>
        <v>0</v>
      </c>
      <c r="EE109" s="118">
        <f t="shared" si="197"/>
        <v>0</v>
      </c>
      <c r="EF109" s="118">
        <f t="shared" si="198"/>
        <v>0</v>
      </c>
      <c r="EG109" s="118">
        <f t="shared" si="199"/>
        <v>0</v>
      </c>
      <c r="EH109" s="118">
        <f t="shared" si="200"/>
        <v>0</v>
      </c>
      <c r="EI109" s="118">
        <f t="shared" si="201"/>
        <v>0</v>
      </c>
      <c r="EJ109" s="118">
        <f t="shared" si="202"/>
        <v>0</v>
      </c>
      <c r="EK109" s="118">
        <f t="shared" si="203"/>
        <v>0</v>
      </c>
      <c r="EL109" s="118">
        <f t="shared" si="204"/>
        <v>0</v>
      </c>
      <c r="EM109" s="118">
        <f t="shared" si="205"/>
        <v>0</v>
      </c>
      <c r="EN109" s="118">
        <f t="shared" si="206"/>
        <v>0</v>
      </c>
      <c r="EO109" s="118">
        <f t="shared" si="207"/>
        <v>0</v>
      </c>
      <c r="EP109" s="118">
        <f t="shared" si="208"/>
        <v>0</v>
      </c>
      <c r="EQ109" s="118">
        <f t="shared" si="209"/>
        <v>0</v>
      </c>
      <c r="ER109" s="118">
        <f t="shared" si="210"/>
        <v>0</v>
      </c>
      <c r="ES109" s="118">
        <f t="shared" si="211"/>
        <v>0</v>
      </c>
      <c r="ET109" s="177">
        <f t="shared" si="212"/>
        <v>0</v>
      </c>
      <c r="EU109" s="72"/>
      <c r="EV109" s="117">
        <f t="shared" si="213"/>
        <v>2151.2638382277555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4"/>
        <v>0</v>
      </c>
    </row>
    <row r="110" spans="109:193">
      <c r="DE110" s="117">
        <f t="shared" si="171"/>
        <v>2217.7977713688201</v>
      </c>
      <c r="DF110" s="118">
        <f t="shared" si="172"/>
        <v>0</v>
      </c>
      <c r="DG110" s="118">
        <f t="shared" si="173"/>
        <v>0</v>
      </c>
      <c r="DH110" s="118">
        <f t="shared" si="174"/>
        <v>0</v>
      </c>
      <c r="DI110" s="118">
        <f t="shared" si="175"/>
        <v>0</v>
      </c>
      <c r="DJ110" s="118">
        <f t="shared" si="176"/>
        <v>0</v>
      </c>
      <c r="DK110" s="118">
        <f t="shared" si="177"/>
        <v>0</v>
      </c>
      <c r="DL110" s="118">
        <f t="shared" si="178"/>
        <v>0</v>
      </c>
      <c r="DM110" s="118">
        <f t="shared" si="179"/>
        <v>0</v>
      </c>
      <c r="DN110" s="118">
        <f t="shared" si="180"/>
        <v>0</v>
      </c>
      <c r="DO110" s="118">
        <f t="shared" si="181"/>
        <v>0</v>
      </c>
      <c r="DP110" s="118">
        <f t="shared" si="182"/>
        <v>0</v>
      </c>
      <c r="DQ110" s="118">
        <f t="shared" si="183"/>
        <v>0</v>
      </c>
      <c r="DR110" s="118">
        <f t="shared" si="184"/>
        <v>0</v>
      </c>
      <c r="DS110" s="118">
        <f t="shared" si="185"/>
        <v>0</v>
      </c>
      <c r="DT110" s="118">
        <f t="shared" si="186"/>
        <v>0</v>
      </c>
      <c r="DU110" s="118">
        <f t="shared" si="187"/>
        <v>0</v>
      </c>
      <c r="DV110" s="118">
        <f t="shared" si="188"/>
        <v>0</v>
      </c>
      <c r="DW110" s="118">
        <f t="shared" si="189"/>
        <v>0</v>
      </c>
      <c r="DX110" s="118">
        <f t="shared" si="190"/>
        <v>0</v>
      </c>
      <c r="DY110" s="118">
        <f t="shared" si="191"/>
        <v>0</v>
      </c>
      <c r="DZ110" s="118">
        <f t="shared" si="192"/>
        <v>0</v>
      </c>
      <c r="EA110" s="118">
        <f t="shared" si="193"/>
        <v>0</v>
      </c>
      <c r="EB110" s="118">
        <f t="shared" si="194"/>
        <v>0</v>
      </c>
      <c r="EC110" s="118">
        <f t="shared" si="195"/>
        <v>0</v>
      </c>
      <c r="ED110" s="118">
        <f t="shared" si="196"/>
        <v>0</v>
      </c>
      <c r="EE110" s="118">
        <f t="shared" si="197"/>
        <v>0</v>
      </c>
      <c r="EF110" s="118">
        <f t="shared" si="198"/>
        <v>0</v>
      </c>
      <c r="EG110" s="118">
        <f t="shared" si="199"/>
        <v>0</v>
      </c>
      <c r="EH110" s="118">
        <f t="shared" si="200"/>
        <v>0</v>
      </c>
      <c r="EI110" s="118">
        <f t="shared" si="201"/>
        <v>0</v>
      </c>
      <c r="EJ110" s="118">
        <f t="shared" si="202"/>
        <v>0</v>
      </c>
      <c r="EK110" s="118">
        <f t="shared" si="203"/>
        <v>0</v>
      </c>
      <c r="EL110" s="118">
        <f t="shared" si="204"/>
        <v>0</v>
      </c>
      <c r="EM110" s="118">
        <f t="shared" si="205"/>
        <v>0</v>
      </c>
      <c r="EN110" s="118">
        <f t="shared" si="206"/>
        <v>0</v>
      </c>
      <c r="EO110" s="118">
        <f t="shared" si="207"/>
        <v>0</v>
      </c>
      <c r="EP110" s="118">
        <f t="shared" si="208"/>
        <v>0</v>
      </c>
      <c r="EQ110" s="118">
        <f t="shared" si="209"/>
        <v>0</v>
      </c>
      <c r="ER110" s="118">
        <f t="shared" si="210"/>
        <v>0</v>
      </c>
      <c r="ES110" s="118">
        <f t="shared" si="211"/>
        <v>0</v>
      </c>
      <c r="ET110" s="177">
        <f t="shared" si="212"/>
        <v>0</v>
      </c>
      <c r="EU110" s="72"/>
      <c r="EV110" s="117">
        <f t="shared" si="213"/>
        <v>2217.7977713688201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4"/>
        <v>0</v>
      </c>
    </row>
    <row r="111" spans="109:193">
      <c r="DE111" s="117">
        <f t="shared" si="171"/>
        <v>2286.3894550194022</v>
      </c>
      <c r="DF111" s="118">
        <f t="shared" si="172"/>
        <v>0</v>
      </c>
      <c r="DG111" s="118">
        <f t="shared" si="173"/>
        <v>0</v>
      </c>
      <c r="DH111" s="118">
        <f t="shared" si="174"/>
        <v>0</v>
      </c>
      <c r="DI111" s="118">
        <f t="shared" si="175"/>
        <v>0</v>
      </c>
      <c r="DJ111" s="118">
        <f t="shared" si="176"/>
        <v>0</v>
      </c>
      <c r="DK111" s="118">
        <f t="shared" si="177"/>
        <v>0</v>
      </c>
      <c r="DL111" s="118">
        <f t="shared" si="178"/>
        <v>0</v>
      </c>
      <c r="DM111" s="118">
        <f t="shared" si="179"/>
        <v>0</v>
      </c>
      <c r="DN111" s="118">
        <f t="shared" si="180"/>
        <v>0</v>
      </c>
      <c r="DO111" s="118">
        <f t="shared" si="181"/>
        <v>0</v>
      </c>
      <c r="DP111" s="118">
        <f t="shared" si="182"/>
        <v>0</v>
      </c>
      <c r="DQ111" s="118">
        <f t="shared" si="183"/>
        <v>0</v>
      </c>
      <c r="DR111" s="118">
        <f t="shared" si="184"/>
        <v>0</v>
      </c>
      <c r="DS111" s="118">
        <f t="shared" si="185"/>
        <v>0</v>
      </c>
      <c r="DT111" s="118">
        <f t="shared" si="186"/>
        <v>0</v>
      </c>
      <c r="DU111" s="118">
        <f t="shared" si="187"/>
        <v>0</v>
      </c>
      <c r="DV111" s="118">
        <f t="shared" si="188"/>
        <v>0</v>
      </c>
      <c r="DW111" s="118">
        <f t="shared" si="189"/>
        <v>0</v>
      </c>
      <c r="DX111" s="118">
        <f t="shared" si="190"/>
        <v>0</v>
      </c>
      <c r="DY111" s="118">
        <f t="shared" si="191"/>
        <v>0</v>
      </c>
      <c r="DZ111" s="118">
        <f t="shared" si="192"/>
        <v>0</v>
      </c>
      <c r="EA111" s="118">
        <f t="shared" si="193"/>
        <v>0</v>
      </c>
      <c r="EB111" s="118">
        <f t="shared" si="194"/>
        <v>0</v>
      </c>
      <c r="EC111" s="118">
        <f t="shared" si="195"/>
        <v>0</v>
      </c>
      <c r="ED111" s="118">
        <f t="shared" si="196"/>
        <v>0</v>
      </c>
      <c r="EE111" s="118">
        <f t="shared" si="197"/>
        <v>0</v>
      </c>
      <c r="EF111" s="118">
        <f t="shared" si="198"/>
        <v>0</v>
      </c>
      <c r="EG111" s="118">
        <f t="shared" si="199"/>
        <v>0</v>
      </c>
      <c r="EH111" s="118">
        <f t="shared" si="200"/>
        <v>0</v>
      </c>
      <c r="EI111" s="118">
        <f t="shared" si="201"/>
        <v>0</v>
      </c>
      <c r="EJ111" s="118">
        <f t="shared" si="202"/>
        <v>0</v>
      </c>
      <c r="EK111" s="118">
        <f t="shared" si="203"/>
        <v>0</v>
      </c>
      <c r="EL111" s="118">
        <f t="shared" si="204"/>
        <v>0</v>
      </c>
      <c r="EM111" s="118">
        <f t="shared" si="205"/>
        <v>0</v>
      </c>
      <c r="EN111" s="118">
        <f t="shared" si="206"/>
        <v>0</v>
      </c>
      <c r="EO111" s="118">
        <f t="shared" si="207"/>
        <v>0</v>
      </c>
      <c r="EP111" s="118">
        <f t="shared" si="208"/>
        <v>0</v>
      </c>
      <c r="EQ111" s="118">
        <f t="shared" si="209"/>
        <v>0</v>
      </c>
      <c r="ER111" s="118">
        <f t="shared" si="210"/>
        <v>0</v>
      </c>
      <c r="ES111" s="118">
        <f t="shared" si="211"/>
        <v>0</v>
      </c>
      <c r="ET111" s="177">
        <f t="shared" si="212"/>
        <v>0</v>
      </c>
      <c r="EU111" s="72"/>
      <c r="EV111" s="117">
        <f t="shared" si="213"/>
        <v>2286.3894550194022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4"/>
        <v>0</v>
      </c>
    </row>
    <row r="112" spans="109:193">
      <c r="DE112" s="117">
        <f t="shared" si="171"/>
        <v>2357.1025309478373</v>
      </c>
      <c r="DF112" s="118">
        <f t="shared" si="172"/>
        <v>0</v>
      </c>
      <c r="DG112" s="118">
        <f t="shared" si="173"/>
        <v>0</v>
      </c>
      <c r="DH112" s="118">
        <f t="shared" si="174"/>
        <v>0</v>
      </c>
      <c r="DI112" s="118">
        <f t="shared" si="175"/>
        <v>0</v>
      </c>
      <c r="DJ112" s="118">
        <f t="shared" si="176"/>
        <v>0</v>
      </c>
      <c r="DK112" s="118">
        <f t="shared" si="177"/>
        <v>0</v>
      </c>
      <c r="DL112" s="118">
        <f t="shared" si="178"/>
        <v>0</v>
      </c>
      <c r="DM112" s="118">
        <f t="shared" si="179"/>
        <v>0</v>
      </c>
      <c r="DN112" s="118">
        <f t="shared" si="180"/>
        <v>0</v>
      </c>
      <c r="DO112" s="118">
        <f t="shared" si="181"/>
        <v>0</v>
      </c>
      <c r="DP112" s="118">
        <f t="shared" si="182"/>
        <v>0</v>
      </c>
      <c r="DQ112" s="118">
        <f t="shared" si="183"/>
        <v>0</v>
      </c>
      <c r="DR112" s="118">
        <f t="shared" si="184"/>
        <v>0</v>
      </c>
      <c r="DS112" s="118">
        <f t="shared" si="185"/>
        <v>0</v>
      </c>
      <c r="DT112" s="118">
        <f t="shared" si="186"/>
        <v>0</v>
      </c>
      <c r="DU112" s="118">
        <f t="shared" si="187"/>
        <v>0</v>
      </c>
      <c r="DV112" s="118">
        <f t="shared" si="188"/>
        <v>0</v>
      </c>
      <c r="DW112" s="118">
        <f t="shared" si="189"/>
        <v>0</v>
      </c>
      <c r="DX112" s="118">
        <f t="shared" si="190"/>
        <v>0</v>
      </c>
      <c r="DY112" s="118">
        <f t="shared" si="191"/>
        <v>0</v>
      </c>
      <c r="DZ112" s="118">
        <f t="shared" si="192"/>
        <v>0</v>
      </c>
      <c r="EA112" s="118">
        <f t="shared" si="193"/>
        <v>0</v>
      </c>
      <c r="EB112" s="118">
        <f t="shared" si="194"/>
        <v>0</v>
      </c>
      <c r="EC112" s="118">
        <f t="shared" si="195"/>
        <v>0</v>
      </c>
      <c r="ED112" s="118">
        <f t="shared" si="196"/>
        <v>0</v>
      </c>
      <c r="EE112" s="118">
        <f t="shared" si="197"/>
        <v>0</v>
      </c>
      <c r="EF112" s="118">
        <f t="shared" si="198"/>
        <v>0</v>
      </c>
      <c r="EG112" s="118">
        <f t="shared" si="199"/>
        <v>0</v>
      </c>
      <c r="EH112" s="118">
        <f t="shared" si="200"/>
        <v>0</v>
      </c>
      <c r="EI112" s="118">
        <f t="shared" si="201"/>
        <v>0</v>
      </c>
      <c r="EJ112" s="118">
        <f t="shared" si="202"/>
        <v>0</v>
      </c>
      <c r="EK112" s="118">
        <f t="shared" si="203"/>
        <v>0</v>
      </c>
      <c r="EL112" s="118">
        <f t="shared" si="204"/>
        <v>0</v>
      </c>
      <c r="EM112" s="118">
        <f t="shared" si="205"/>
        <v>0</v>
      </c>
      <c r="EN112" s="118">
        <f t="shared" si="206"/>
        <v>0</v>
      </c>
      <c r="EO112" s="118">
        <f t="shared" si="207"/>
        <v>0</v>
      </c>
      <c r="EP112" s="118">
        <f t="shared" si="208"/>
        <v>0</v>
      </c>
      <c r="EQ112" s="118">
        <f t="shared" si="209"/>
        <v>0</v>
      </c>
      <c r="ER112" s="118">
        <f t="shared" si="210"/>
        <v>0</v>
      </c>
      <c r="ES112" s="118">
        <f t="shared" si="211"/>
        <v>0</v>
      </c>
      <c r="ET112" s="177">
        <f t="shared" si="212"/>
        <v>0</v>
      </c>
      <c r="EU112" s="72"/>
      <c r="EV112" s="117">
        <f t="shared" si="213"/>
        <v>2357.1025309478373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4"/>
        <v>0</v>
      </c>
    </row>
    <row r="113" spans="109:193">
      <c r="DE113" s="117">
        <f t="shared" si="171"/>
        <v>2430.0026092245748</v>
      </c>
      <c r="DF113" s="118">
        <f t="shared" si="172"/>
        <v>0</v>
      </c>
      <c r="DG113" s="118">
        <f t="shared" si="173"/>
        <v>0</v>
      </c>
      <c r="DH113" s="118">
        <f t="shared" si="174"/>
        <v>0</v>
      </c>
      <c r="DI113" s="118">
        <f t="shared" si="175"/>
        <v>0</v>
      </c>
      <c r="DJ113" s="118">
        <f t="shared" si="176"/>
        <v>0</v>
      </c>
      <c r="DK113" s="118">
        <f t="shared" si="177"/>
        <v>0</v>
      </c>
      <c r="DL113" s="118">
        <f t="shared" si="178"/>
        <v>0</v>
      </c>
      <c r="DM113" s="118">
        <f t="shared" si="179"/>
        <v>0</v>
      </c>
      <c r="DN113" s="118">
        <f t="shared" si="180"/>
        <v>0</v>
      </c>
      <c r="DO113" s="118">
        <f t="shared" si="181"/>
        <v>0</v>
      </c>
      <c r="DP113" s="118">
        <f t="shared" si="182"/>
        <v>0</v>
      </c>
      <c r="DQ113" s="118">
        <f t="shared" si="183"/>
        <v>0</v>
      </c>
      <c r="DR113" s="118">
        <f t="shared" si="184"/>
        <v>0</v>
      </c>
      <c r="DS113" s="118">
        <f t="shared" si="185"/>
        <v>0</v>
      </c>
      <c r="DT113" s="118">
        <f t="shared" si="186"/>
        <v>0</v>
      </c>
      <c r="DU113" s="118">
        <f t="shared" si="187"/>
        <v>0</v>
      </c>
      <c r="DV113" s="118">
        <f t="shared" si="188"/>
        <v>0</v>
      </c>
      <c r="DW113" s="118">
        <f t="shared" si="189"/>
        <v>0</v>
      </c>
      <c r="DX113" s="118">
        <f t="shared" si="190"/>
        <v>0</v>
      </c>
      <c r="DY113" s="118">
        <f t="shared" si="191"/>
        <v>0</v>
      </c>
      <c r="DZ113" s="118">
        <f t="shared" si="192"/>
        <v>0</v>
      </c>
      <c r="EA113" s="118">
        <f t="shared" si="193"/>
        <v>0</v>
      </c>
      <c r="EB113" s="118">
        <f t="shared" si="194"/>
        <v>0</v>
      </c>
      <c r="EC113" s="118">
        <f t="shared" si="195"/>
        <v>0</v>
      </c>
      <c r="ED113" s="118">
        <f t="shared" si="196"/>
        <v>0</v>
      </c>
      <c r="EE113" s="118">
        <f t="shared" si="197"/>
        <v>0</v>
      </c>
      <c r="EF113" s="118">
        <f t="shared" si="198"/>
        <v>0</v>
      </c>
      <c r="EG113" s="118">
        <f t="shared" si="199"/>
        <v>0</v>
      </c>
      <c r="EH113" s="118">
        <f t="shared" si="200"/>
        <v>0</v>
      </c>
      <c r="EI113" s="118">
        <f t="shared" si="201"/>
        <v>0</v>
      </c>
      <c r="EJ113" s="118">
        <f t="shared" si="202"/>
        <v>0</v>
      </c>
      <c r="EK113" s="118">
        <f t="shared" si="203"/>
        <v>0</v>
      </c>
      <c r="EL113" s="118">
        <f t="shared" si="204"/>
        <v>0</v>
      </c>
      <c r="EM113" s="118">
        <f t="shared" si="205"/>
        <v>0</v>
      </c>
      <c r="EN113" s="118">
        <f t="shared" si="206"/>
        <v>0</v>
      </c>
      <c r="EO113" s="118">
        <f t="shared" si="207"/>
        <v>0</v>
      </c>
      <c r="EP113" s="118">
        <f t="shared" si="208"/>
        <v>0</v>
      </c>
      <c r="EQ113" s="118">
        <f t="shared" si="209"/>
        <v>0</v>
      </c>
      <c r="ER113" s="118">
        <f t="shared" si="210"/>
        <v>0</v>
      </c>
      <c r="ES113" s="118">
        <f t="shared" si="211"/>
        <v>0</v>
      </c>
      <c r="ET113" s="177">
        <f t="shared" si="212"/>
        <v>0</v>
      </c>
      <c r="EU113" s="72"/>
      <c r="EV113" s="117">
        <f t="shared" si="213"/>
        <v>2430.0026092245748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4"/>
        <v>0</v>
      </c>
    </row>
    <row r="114" spans="109:193">
      <c r="DE114" s="117">
        <f t="shared" si="171"/>
        <v>2505.1573290974998</v>
      </c>
      <c r="DF114" s="118">
        <f t="shared" si="172"/>
        <v>0</v>
      </c>
      <c r="DG114" s="118">
        <f t="shared" si="173"/>
        <v>0</v>
      </c>
      <c r="DH114" s="118">
        <f t="shared" si="174"/>
        <v>0</v>
      </c>
      <c r="DI114" s="118">
        <f t="shared" si="175"/>
        <v>0</v>
      </c>
      <c r="DJ114" s="118">
        <f t="shared" si="176"/>
        <v>0</v>
      </c>
      <c r="DK114" s="118">
        <f t="shared" si="177"/>
        <v>0</v>
      </c>
      <c r="DL114" s="118">
        <f t="shared" si="178"/>
        <v>0</v>
      </c>
      <c r="DM114" s="118">
        <f t="shared" si="179"/>
        <v>0</v>
      </c>
      <c r="DN114" s="118">
        <f t="shared" si="180"/>
        <v>0</v>
      </c>
      <c r="DO114" s="118">
        <f t="shared" si="181"/>
        <v>0</v>
      </c>
      <c r="DP114" s="118">
        <f t="shared" si="182"/>
        <v>0</v>
      </c>
      <c r="DQ114" s="118">
        <f t="shared" si="183"/>
        <v>0</v>
      </c>
      <c r="DR114" s="118">
        <f t="shared" si="184"/>
        <v>0</v>
      </c>
      <c r="DS114" s="118">
        <f t="shared" si="185"/>
        <v>0</v>
      </c>
      <c r="DT114" s="118">
        <f t="shared" si="186"/>
        <v>0</v>
      </c>
      <c r="DU114" s="118">
        <f t="shared" si="187"/>
        <v>0</v>
      </c>
      <c r="DV114" s="118">
        <f t="shared" si="188"/>
        <v>0</v>
      </c>
      <c r="DW114" s="118">
        <f t="shared" si="189"/>
        <v>0</v>
      </c>
      <c r="DX114" s="118">
        <f t="shared" si="190"/>
        <v>0</v>
      </c>
      <c r="DY114" s="118">
        <f t="shared" si="191"/>
        <v>0</v>
      </c>
      <c r="DZ114" s="118">
        <f t="shared" si="192"/>
        <v>0</v>
      </c>
      <c r="EA114" s="118">
        <f t="shared" si="193"/>
        <v>0</v>
      </c>
      <c r="EB114" s="118">
        <f t="shared" si="194"/>
        <v>0</v>
      </c>
      <c r="EC114" s="118">
        <f t="shared" si="195"/>
        <v>0</v>
      </c>
      <c r="ED114" s="118">
        <f t="shared" si="196"/>
        <v>0</v>
      </c>
      <c r="EE114" s="118">
        <f t="shared" si="197"/>
        <v>0</v>
      </c>
      <c r="EF114" s="118">
        <f t="shared" si="198"/>
        <v>0</v>
      </c>
      <c r="EG114" s="118">
        <f t="shared" si="199"/>
        <v>0</v>
      </c>
      <c r="EH114" s="118">
        <f t="shared" si="200"/>
        <v>0</v>
      </c>
      <c r="EI114" s="118">
        <f t="shared" si="201"/>
        <v>0</v>
      </c>
      <c r="EJ114" s="118">
        <f t="shared" si="202"/>
        <v>0</v>
      </c>
      <c r="EK114" s="118">
        <f t="shared" si="203"/>
        <v>0</v>
      </c>
      <c r="EL114" s="118">
        <f t="shared" si="204"/>
        <v>0</v>
      </c>
      <c r="EM114" s="118">
        <f t="shared" si="205"/>
        <v>0</v>
      </c>
      <c r="EN114" s="118">
        <f t="shared" si="206"/>
        <v>0</v>
      </c>
      <c r="EO114" s="118">
        <f t="shared" si="207"/>
        <v>0</v>
      </c>
      <c r="EP114" s="118">
        <f t="shared" si="208"/>
        <v>0</v>
      </c>
      <c r="EQ114" s="118">
        <f t="shared" si="209"/>
        <v>0</v>
      </c>
      <c r="ER114" s="118">
        <f t="shared" si="210"/>
        <v>0</v>
      </c>
      <c r="ES114" s="118">
        <f t="shared" si="211"/>
        <v>0</v>
      </c>
      <c r="ET114" s="177">
        <f t="shared" si="212"/>
        <v>0</v>
      </c>
      <c r="EU114" s="72"/>
      <c r="EV114" s="117">
        <f t="shared" si="213"/>
        <v>2505.1573290974998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4"/>
        <v>0</v>
      </c>
    </row>
    <row r="115" spans="109:193">
      <c r="DE115" s="117">
        <f t="shared" si="171"/>
        <v>2582.63642175</v>
      </c>
      <c r="DF115" s="118">
        <f t="shared" si="172"/>
        <v>0</v>
      </c>
      <c r="DG115" s="118">
        <f t="shared" si="173"/>
        <v>0</v>
      </c>
      <c r="DH115" s="118">
        <f t="shared" si="174"/>
        <v>0</v>
      </c>
      <c r="DI115" s="118">
        <f t="shared" si="175"/>
        <v>0</v>
      </c>
      <c r="DJ115" s="118">
        <f t="shared" si="176"/>
        <v>0</v>
      </c>
      <c r="DK115" s="118">
        <f t="shared" si="177"/>
        <v>0</v>
      </c>
      <c r="DL115" s="118">
        <f t="shared" si="178"/>
        <v>0</v>
      </c>
      <c r="DM115" s="118">
        <f t="shared" si="179"/>
        <v>0</v>
      </c>
      <c r="DN115" s="118">
        <f t="shared" si="180"/>
        <v>0</v>
      </c>
      <c r="DO115" s="118">
        <f t="shared" si="181"/>
        <v>0</v>
      </c>
      <c r="DP115" s="118">
        <f t="shared" si="182"/>
        <v>0</v>
      </c>
      <c r="DQ115" s="118">
        <f t="shared" si="183"/>
        <v>0</v>
      </c>
      <c r="DR115" s="118">
        <f t="shared" si="184"/>
        <v>0</v>
      </c>
      <c r="DS115" s="118">
        <f t="shared" si="185"/>
        <v>0</v>
      </c>
      <c r="DT115" s="118">
        <f t="shared" si="186"/>
        <v>0</v>
      </c>
      <c r="DU115" s="118">
        <f t="shared" si="187"/>
        <v>0</v>
      </c>
      <c r="DV115" s="118">
        <f t="shared" si="188"/>
        <v>0</v>
      </c>
      <c r="DW115" s="118">
        <f t="shared" si="189"/>
        <v>0</v>
      </c>
      <c r="DX115" s="118">
        <f t="shared" si="190"/>
        <v>0</v>
      </c>
      <c r="DY115" s="118">
        <f t="shared" si="191"/>
        <v>0</v>
      </c>
      <c r="DZ115" s="118">
        <f t="shared" si="192"/>
        <v>0</v>
      </c>
      <c r="EA115" s="118">
        <f t="shared" si="193"/>
        <v>0</v>
      </c>
      <c r="EB115" s="118">
        <f t="shared" si="194"/>
        <v>0</v>
      </c>
      <c r="EC115" s="118">
        <f t="shared" si="195"/>
        <v>0</v>
      </c>
      <c r="ED115" s="118">
        <f t="shared" si="196"/>
        <v>0</v>
      </c>
      <c r="EE115" s="118">
        <f t="shared" si="197"/>
        <v>0</v>
      </c>
      <c r="EF115" s="118">
        <f t="shared" si="198"/>
        <v>0</v>
      </c>
      <c r="EG115" s="118">
        <f t="shared" si="199"/>
        <v>0</v>
      </c>
      <c r="EH115" s="118">
        <f t="shared" si="200"/>
        <v>0</v>
      </c>
      <c r="EI115" s="118">
        <f t="shared" si="201"/>
        <v>0</v>
      </c>
      <c r="EJ115" s="118">
        <f t="shared" si="202"/>
        <v>0</v>
      </c>
      <c r="EK115" s="118">
        <f t="shared" si="203"/>
        <v>0</v>
      </c>
      <c r="EL115" s="118">
        <f t="shared" si="204"/>
        <v>0</v>
      </c>
      <c r="EM115" s="118">
        <f t="shared" si="205"/>
        <v>0</v>
      </c>
      <c r="EN115" s="118">
        <f t="shared" si="206"/>
        <v>0</v>
      </c>
      <c r="EO115" s="118">
        <f t="shared" si="207"/>
        <v>0</v>
      </c>
      <c r="EP115" s="118">
        <f t="shared" si="208"/>
        <v>0</v>
      </c>
      <c r="EQ115" s="118">
        <f t="shared" si="209"/>
        <v>0</v>
      </c>
      <c r="ER115" s="118">
        <f t="shared" si="210"/>
        <v>0</v>
      </c>
      <c r="ES115" s="118">
        <f t="shared" si="211"/>
        <v>0</v>
      </c>
      <c r="ET115" s="177">
        <f t="shared" si="212"/>
        <v>0</v>
      </c>
      <c r="EU115" s="72"/>
      <c r="EV115" s="117">
        <f t="shared" si="213"/>
        <v>2582.63642175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4"/>
        <v>0</v>
      </c>
    </row>
    <row r="116" spans="109:193">
      <c r="DE116" s="117">
        <f t="shared" si="171"/>
        <v>2662.5117749999999</v>
      </c>
      <c r="DF116" s="118">
        <f t="shared" si="172"/>
        <v>0</v>
      </c>
      <c r="DG116" s="118">
        <f t="shared" si="173"/>
        <v>0</v>
      </c>
      <c r="DH116" s="118">
        <f t="shared" si="174"/>
        <v>0</v>
      </c>
      <c r="DI116" s="118">
        <f t="shared" si="175"/>
        <v>0</v>
      </c>
      <c r="DJ116" s="118">
        <f t="shared" si="176"/>
        <v>0</v>
      </c>
      <c r="DK116" s="118">
        <f t="shared" si="177"/>
        <v>0</v>
      </c>
      <c r="DL116" s="118">
        <f t="shared" si="178"/>
        <v>0</v>
      </c>
      <c r="DM116" s="118">
        <f t="shared" si="179"/>
        <v>0</v>
      </c>
      <c r="DN116" s="118">
        <f t="shared" si="180"/>
        <v>0</v>
      </c>
      <c r="DO116" s="118">
        <f t="shared" si="181"/>
        <v>0</v>
      </c>
      <c r="DP116" s="118">
        <f t="shared" si="182"/>
        <v>0</v>
      </c>
      <c r="DQ116" s="118">
        <f t="shared" si="183"/>
        <v>0</v>
      </c>
      <c r="DR116" s="118">
        <f t="shared" si="184"/>
        <v>0</v>
      </c>
      <c r="DS116" s="118">
        <f t="shared" si="185"/>
        <v>0</v>
      </c>
      <c r="DT116" s="118">
        <f t="shared" si="186"/>
        <v>0</v>
      </c>
      <c r="DU116" s="118">
        <f t="shared" si="187"/>
        <v>0</v>
      </c>
      <c r="DV116" s="118">
        <f t="shared" si="188"/>
        <v>0</v>
      </c>
      <c r="DW116" s="118">
        <f t="shared" si="189"/>
        <v>0</v>
      </c>
      <c r="DX116" s="118">
        <f t="shared" si="190"/>
        <v>0</v>
      </c>
      <c r="DY116" s="118">
        <f t="shared" si="191"/>
        <v>0</v>
      </c>
      <c r="DZ116" s="118">
        <f t="shared" si="192"/>
        <v>0</v>
      </c>
      <c r="EA116" s="118">
        <f t="shared" si="193"/>
        <v>0</v>
      </c>
      <c r="EB116" s="118">
        <f t="shared" si="194"/>
        <v>0</v>
      </c>
      <c r="EC116" s="118">
        <f t="shared" si="195"/>
        <v>0</v>
      </c>
      <c r="ED116" s="118">
        <f t="shared" si="196"/>
        <v>0</v>
      </c>
      <c r="EE116" s="118">
        <f t="shared" si="197"/>
        <v>0</v>
      </c>
      <c r="EF116" s="118">
        <f t="shared" si="198"/>
        <v>0</v>
      </c>
      <c r="EG116" s="118">
        <f t="shared" si="199"/>
        <v>0</v>
      </c>
      <c r="EH116" s="118">
        <f t="shared" si="200"/>
        <v>0</v>
      </c>
      <c r="EI116" s="118">
        <f t="shared" si="201"/>
        <v>0</v>
      </c>
      <c r="EJ116" s="118">
        <f t="shared" si="202"/>
        <v>0</v>
      </c>
      <c r="EK116" s="118">
        <f t="shared" si="203"/>
        <v>0</v>
      </c>
      <c r="EL116" s="118">
        <f t="shared" si="204"/>
        <v>0</v>
      </c>
      <c r="EM116" s="118">
        <f t="shared" si="205"/>
        <v>0</v>
      </c>
      <c r="EN116" s="118">
        <f t="shared" si="206"/>
        <v>0</v>
      </c>
      <c r="EO116" s="118">
        <f t="shared" si="207"/>
        <v>0</v>
      </c>
      <c r="EP116" s="118">
        <f t="shared" si="208"/>
        <v>0</v>
      </c>
      <c r="EQ116" s="118">
        <f t="shared" si="209"/>
        <v>0</v>
      </c>
      <c r="ER116" s="118">
        <f t="shared" si="210"/>
        <v>0</v>
      </c>
      <c r="ES116" s="118">
        <f t="shared" si="211"/>
        <v>0</v>
      </c>
      <c r="ET116" s="177">
        <f t="shared" si="212"/>
        <v>0</v>
      </c>
      <c r="EU116" s="72"/>
      <c r="EV116" s="117">
        <f t="shared" si="213"/>
        <v>2662.5117749999999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4"/>
        <v>0</v>
      </c>
    </row>
    <row r="117" spans="109:193">
      <c r="DE117" s="117">
        <f t="shared" si="171"/>
        <v>2744.8575000000001</v>
      </c>
      <c r="DF117" s="118">
        <f t="shared" si="172"/>
        <v>0</v>
      </c>
      <c r="DG117" s="118">
        <f t="shared" si="173"/>
        <v>0</v>
      </c>
      <c r="DH117" s="118">
        <f t="shared" si="174"/>
        <v>0</v>
      </c>
      <c r="DI117" s="118">
        <f t="shared" si="175"/>
        <v>0</v>
      </c>
      <c r="DJ117" s="118">
        <f t="shared" si="176"/>
        <v>0</v>
      </c>
      <c r="DK117" s="118">
        <f t="shared" si="177"/>
        <v>0</v>
      </c>
      <c r="DL117" s="118">
        <f t="shared" si="178"/>
        <v>0</v>
      </c>
      <c r="DM117" s="118">
        <f t="shared" si="179"/>
        <v>0</v>
      </c>
      <c r="DN117" s="118">
        <f t="shared" si="180"/>
        <v>0</v>
      </c>
      <c r="DO117" s="118">
        <f t="shared" si="181"/>
        <v>0</v>
      </c>
      <c r="DP117" s="118">
        <f t="shared" si="182"/>
        <v>0</v>
      </c>
      <c r="DQ117" s="118">
        <f t="shared" si="183"/>
        <v>0</v>
      </c>
      <c r="DR117" s="118">
        <f t="shared" si="184"/>
        <v>0</v>
      </c>
      <c r="DS117" s="118">
        <f t="shared" si="185"/>
        <v>0</v>
      </c>
      <c r="DT117" s="118">
        <f t="shared" si="186"/>
        <v>0</v>
      </c>
      <c r="DU117" s="118">
        <f t="shared" si="187"/>
        <v>0</v>
      </c>
      <c r="DV117" s="118">
        <f t="shared" si="188"/>
        <v>0</v>
      </c>
      <c r="DW117" s="118">
        <f t="shared" si="189"/>
        <v>0</v>
      </c>
      <c r="DX117" s="118">
        <f t="shared" si="190"/>
        <v>0</v>
      </c>
      <c r="DY117" s="118">
        <f t="shared" si="191"/>
        <v>0</v>
      </c>
      <c r="DZ117" s="118">
        <f t="shared" si="192"/>
        <v>0</v>
      </c>
      <c r="EA117" s="118">
        <f t="shared" si="193"/>
        <v>0</v>
      </c>
      <c r="EB117" s="118">
        <f t="shared" si="194"/>
        <v>0</v>
      </c>
      <c r="EC117" s="118">
        <f t="shared" si="195"/>
        <v>0</v>
      </c>
      <c r="ED117" s="118">
        <f t="shared" si="196"/>
        <v>0</v>
      </c>
      <c r="EE117" s="118">
        <f t="shared" si="197"/>
        <v>0</v>
      </c>
      <c r="EF117" s="118">
        <f t="shared" si="198"/>
        <v>0</v>
      </c>
      <c r="EG117" s="118">
        <f t="shared" si="199"/>
        <v>0</v>
      </c>
      <c r="EH117" s="118">
        <f t="shared" si="200"/>
        <v>0</v>
      </c>
      <c r="EI117" s="118">
        <f t="shared" si="201"/>
        <v>0</v>
      </c>
      <c r="EJ117" s="118">
        <f t="shared" si="202"/>
        <v>0</v>
      </c>
      <c r="EK117" s="118">
        <f t="shared" si="203"/>
        <v>0</v>
      </c>
      <c r="EL117" s="118">
        <f t="shared" si="204"/>
        <v>0</v>
      </c>
      <c r="EM117" s="118">
        <f t="shared" si="205"/>
        <v>0</v>
      </c>
      <c r="EN117" s="118">
        <f t="shared" si="206"/>
        <v>0</v>
      </c>
      <c r="EO117" s="118">
        <f t="shared" si="207"/>
        <v>0</v>
      </c>
      <c r="EP117" s="118">
        <f t="shared" si="208"/>
        <v>0</v>
      </c>
      <c r="EQ117" s="118">
        <f t="shared" si="209"/>
        <v>0</v>
      </c>
      <c r="ER117" s="118">
        <f t="shared" si="210"/>
        <v>0</v>
      </c>
      <c r="ES117" s="118">
        <f t="shared" si="211"/>
        <v>0</v>
      </c>
      <c r="ET117" s="177">
        <f t="shared" si="212"/>
        <v>0</v>
      </c>
      <c r="EU117" s="72"/>
      <c r="EV117" s="117">
        <f t="shared" si="213"/>
        <v>2744.8575000000001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4"/>
        <v>0</v>
      </c>
    </row>
    <row r="118" spans="109:193">
      <c r="DE118" s="117">
        <f t="shared" si="171"/>
        <v>2829.75</v>
      </c>
      <c r="DF118" s="118">
        <f t="shared" si="172"/>
        <v>0</v>
      </c>
      <c r="DG118" s="118">
        <f t="shared" si="173"/>
        <v>0</v>
      </c>
      <c r="DH118" s="118">
        <f t="shared" si="174"/>
        <v>0</v>
      </c>
      <c r="DI118" s="118">
        <f t="shared" si="175"/>
        <v>0</v>
      </c>
      <c r="DJ118" s="118">
        <f t="shared" si="176"/>
        <v>0</v>
      </c>
      <c r="DK118" s="118">
        <f t="shared" si="177"/>
        <v>0</v>
      </c>
      <c r="DL118" s="118">
        <f t="shared" si="178"/>
        <v>0</v>
      </c>
      <c r="DM118" s="118">
        <f t="shared" si="179"/>
        <v>0</v>
      </c>
      <c r="DN118" s="118">
        <f t="shared" si="180"/>
        <v>0</v>
      </c>
      <c r="DO118" s="118">
        <f t="shared" si="181"/>
        <v>0</v>
      </c>
      <c r="DP118" s="118">
        <f t="shared" si="182"/>
        <v>0</v>
      </c>
      <c r="DQ118" s="118">
        <f t="shared" si="183"/>
        <v>0</v>
      </c>
      <c r="DR118" s="118">
        <f t="shared" si="184"/>
        <v>0</v>
      </c>
      <c r="DS118" s="118">
        <f t="shared" si="185"/>
        <v>0</v>
      </c>
      <c r="DT118" s="118">
        <f t="shared" si="186"/>
        <v>0</v>
      </c>
      <c r="DU118" s="118">
        <f t="shared" si="187"/>
        <v>0</v>
      </c>
      <c r="DV118" s="118">
        <f t="shared" si="188"/>
        <v>0</v>
      </c>
      <c r="DW118" s="118">
        <f t="shared" si="189"/>
        <v>0</v>
      </c>
      <c r="DX118" s="118">
        <f t="shared" si="190"/>
        <v>0</v>
      </c>
      <c r="DY118" s="118">
        <f t="shared" si="191"/>
        <v>0</v>
      </c>
      <c r="DZ118" s="118">
        <f t="shared" si="192"/>
        <v>0</v>
      </c>
      <c r="EA118" s="118">
        <f t="shared" si="193"/>
        <v>0</v>
      </c>
      <c r="EB118" s="118">
        <f t="shared" si="194"/>
        <v>0</v>
      </c>
      <c r="EC118" s="118">
        <f t="shared" si="195"/>
        <v>0</v>
      </c>
      <c r="ED118" s="118">
        <f t="shared" si="196"/>
        <v>0</v>
      </c>
      <c r="EE118" s="118">
        <f t="shared" si="197"/>
        <v>0</v>
      </c>
      <c r="EF118" s="118">
        <f t="shared" si="198"/>
        <v>0</v>
      </c>
      <c r="EG118" s="118">
        <f t="shared" si="199"/>
        <v>0</v>
      </c>
      <c r="EH118" s="118">
        <f t="shared" si="200"/>
        <v>0</v>
      </c>
      <c r="EI118" s="118">
        <f t="shared" si="201"/>
        <v>0</v>
      </c>
      <c r="EJ118" s="118">
        <f t="shared" si="202"/>
        <v>0</v>
      </c>
      <c r="EK118" s="118">
        <f t="shared" si="203"/>
        <v>0</v>
      </c>
      <c r="EL118" s="118">
        <f t="shared" si="204"/>
        <v>0</v>
      </c>
      <c r="EM118" s="118">
        <f t="shared" si="205"/>
        <v>0</v>
      </c>
      <c r="EN118" s="118">
        <f t="shared" si="206"/>
        <v>0</v>
      </c>
      <c r="EO118" s="118">
        <f t="shared" si="207"/>
        <v>0</v>
      </c>
      <c r="EP118" s="118">
        <f t="shared" si="208"/>
        <v>0</v>
      </c>
      <c r="EQ118" s="118">
        <f t="shared" si="209"/>
        <v>0</v>
      </c>
      <c r="ER118" s="118">
        <f t="shared" si="210"/>
        <v>0</v>
      </c>
      <c r="ES118" s="118">
        <f t="shared" si="211"/>
        <v>0</v>
      </c>
      <c r="ET118" s="177">
        <f t="shared" si="212"/>
        <v>0</v>
      </c>
      <c r="EU118" s="72"/>
      <c r="EV118" s="117">
        <f t="shared" si="213"/>
        <v>2829.75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4"/>
        <v>0</v>
      </c>
    </row>
    <row r="119" spans="109:193">
      <c r="DE119" s="117">
        <f t="shared" si="171"/>
        <v>2914.6424999999999</v>
      </c>
      <c r="DF119" s="118">
        <f t="shared" si="172"/>
        <v>0</v>
      </c>
      <c r="DG119" s="118">
        <f t="shared" si="173"/>
        <v>0</v>
      </c>
      <c r="DH119" s="118">
        <f t="shared" si="174"/>
        <v>0</v>
      </c>
      <c r="DI119" s="118">
        <f t="shared" si="175"/>
        <v>0</v>
      </c>
      <c r="DJ119" s="118">
        <f t="shared" si="176"/>
        <v>0</v>
      </c>
      <c r="DK119" s="118">
        <f t="shared" si="177"/>
        <v>0</v>
      </c>
      <c r="DL119" s="118">
        <f t="shared" si="178"/>
        <v>0</v>
      </c>
      <c r="DM119" s="118">
        <f t="shared" si="179"/>
        <v>0</v>
      </c>
      <c r="DN119" s="118">
        <f t="shared" si="180"/>
        <v>0</v>
      </c>
      <c r="DO119" s="118">
        <f t="shared" si="181"/>
        <v>0</v>
      </c>
      <c r="DP119" s="118">
        <f t="shared" si="182"/>
        <v>0</v>
      </c>
      <c r="DQ119" s="118">
        <f t="shared" si="183"/>
        <v>0</v>
      </c>
      <c r="DR119" s="118">
        <f t="shared" si="184"/>
        <v>0</v>
      </c>
      <c r="DS119" s="118">
        <f t="shared" si="185"/>
        <v>0</v>
      </c>
      <c r="DT119" s="118">
        <f t="shared" si="186"/>
        <v>0</v>
      </c>
      <c r="DU119" s="118">
        <f t="shared" si="187"/>
        <v>0</v>
      </c>
      <c r="DV119" s="118">
        <f t="shared" si="188"/>
        <v>0</v>
      </c>
      <c r="DW119" s="118">
        <f t="shared" si="189"/>
        <v>0</v>
      </c>
      <c r="DX119" s="118">
        <f t="shared" si="190"/>
        <v>0</v>
      </c>
      <c r="DY119" s="118">
        <f t="shared" si="191"/>
        <v>0</v>
      </c>
      <c r="DZ119" s="118">
        <f t="shared" si="192"/>
        <v>0</v>
      </c>
      <c r="EA119" s="118">
        <f t="shared" si="193"/>
        <v>0</v>
      </c>
      <c r="EB119" s="118">
        <f t="shared" si="194"/>
        <v>0</v>
      </c>
      <c r="EC119" s="118">
        <f t="shared" si="195"/>
        <v>0</v>
      </c>
      <c r="ED119" s="118">
        <f t="shared" si="196"/>
        <v>0</v>
      </c>
      <c r="EE119" s="118">
        <f t="shared" si="197"/>
        <v>0</v>
      </c>
      <c r="EF119" s="118">
        <f t="shared" si="198"/>
        <v>0</v>
      </c>
      <c r="EG119" s="118">
        <f t="shared" si="199"/>
        <v>0</v>
      </c>
      <c r="EH119" s="118">
        <f t="shared" si="200"/>
        <v>0</v>
      </c>
      <c r="EI119" s="118">
        <f t="shared" si="201"/>
        <v>0</v>
      </c>
      <c r="EJ119" s="118">
        <f t="shared" si="202"/>
        <v>0</v>
      </c>
      <c r="EK119" s="118">
        <f t="shared" si="203"/>
        <v>0</v>
      </c>
      <c r="EL119" s="118">
        <f t="shared" si="204"/>
        <v>0</v>
      </c>
      <c r="EM119" s="118">
        <f t="shared" si="205"/>
        <v>0</v>
      </c>
      <c r="EN119" s="118">
        <f t="shared" si="206"/>
        <v>0</v>
      </c>
      <c r="EO119" s="118">
        <f t="shared" si="207"/>
        <v>0</v>
      </c>
      <c r="EP119" s="118">
        <f t="shared" si="208"/>
        <v>0</v>
      </c>
      <c r="EQ119" s="118">
        <f t="shared" si="209"/>
        <v>0</v>
      </c>
      <c r="ER119" s="118">
        <f t="shared" si="210"/>
        <v>0</v>
      </c>
      <c r="ES119" s="118">
        <f t="shared" si="211"/>
        <v>0</v>
      </c>
      <c r="ET119" s="177">
        <f t="shared" si="212"/>
        <v>0</v>
      </c>
      <c r="EU119" s="72"/>
      <c r="EV119" s="117">
        <f t="shared" si="213"/>
        <v>2914.6424999999999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4"/>
        <v>0</v>
      </c>
    </row>
    <row r="120" spans="109:193">
      <c r="DE120" s="117">
        <f t="shared" si="171"/>
        <v>3002.0817750000001</v>
      </c>
      <c r="DF120" s="118">
        <f t="shared" si="172"/>
        <v>0</v>
      </c>
      <c r="DG120" s="118">
        <f t="shared" si="173"/>
        <v>0</v>
      </c>
      <c r="DH120" s="118">
        <f t="shared" si="174"/>
        <v>0</v>
      </c>
      <c r="DI120" s="118">
        <f t="shared" si="175"/>
        <v>0</v>
      </c>
      <c r="DJ120" s="118">
        <f t="shared" si="176"/>
        <v>0</v>
      </c>
      <c r="DK120" s="118">
        <f t="shared" si="177"/>
        <v>0</v>
      </c>
      <c r="DL120" s="118">
        <f t="shared" si="178"/>
        <v>0</v>
      </c>
      <c r="DM120" s="118">
        <f t="shared" si="179"/>
        <v>0</v>
      </c>
      <c r="DN120" s="118">
        <f t="shared" si="180"/>
        <v>0</v>
      </c>
      <c r="DO120" s="118">
        <f t="shared" si="181"/>
        <v>0</v>
      </c>
      <c r="DP120" s="118">
        <f t="shared" si="182"/>
        <v>0</v>
      </c>
      <c r="DQ120" s="118">
        <f t="shared" si="183"/>
        <v>0</v>
      </c>
      <c r="DR120" s="118">
        <f t="shared" si="184"/>
        <v>0</v>
      </c>
      <c r="DS120" s="118">
        <f t="shared" si="185"/>
        <v>0</v>
      </c>
      <c r="DT120" s="118">
        <f t="shared" si="186"/>
        <v>0</v>
      </c>
      <c r="DU120" s="118">
        <f t="shared" si="187"/>
        <v>0</v>
      </c>
      <c r="DV120" s="118">
        <f t="shared" si="188"/>
        <v>0</v>
      </c>
      <c r="DW120" s="118">
        <f t="shared" si="189"/>
        <v>0</v>
      </c>
      <c r="DX120" s="118">
        <f t="shared" si="190"/>
        <v>0</v>
      </c>
      <c r="DY120" s="118">
        <f t="shared" si="191"/>
        <v>0</v>
      </c>
      <c r="DZ120" s="118">
        <f t="shared" si="192"/>
        <v>0</v>
      </c>
      <c r="EA120" s="118">
        <f t="shared" si="193"/>
        <v>0</v>
      </c>
      <c r="EB120" s="118">
        <f t="shared" si="194"/>
        <v>0</v>
      </c>
      <c r="EC120" s="118">
        <f t="shared" si="195"/>
        <v>0</v>
      </c>
      <c r="ED120" s="118">
        <f t="shared" si="196"/>
        <v>0</v>
      </c>
      <c r="EE120" s="118">
        <f t="shared" si="197"/>
        <v>0</v>
      </c>
      <c r="EF120" s="118">
        <f t="shared" si="198"/>
        <v>0</v>
      </c>
      <c r="EG120" s="118">
        <f t="shared" si="199"/>
        <v>0</v>
      </c>
      <c r="EH120" s="118">
        <f t="shared" si="200"/>
        <v>0</v>
      </c>
      <c r="EI120" s="118">
        <f t="shared" si="201"/>
        <v>0</v>
      </c>
      <c r="EJ120" s="118">
        <f t="shared" si="202"/>
        <v>0</v>
      </c>
      <c r="EK120" s="118">
        <f t="shared" si="203"/>
        <v>0</v>
      </c>
      <c r="EL120" s="118">
        <f t="shared" si="204"/>
        <v>0</v>
      </c>
      <c r="EM120" s="118">
        <f t="shared" si="205"/>
        <v>0</v>
      </c>
      <c r="EN120" s="118">
        <f t="shared" si="206"/>
        <v>0</v>
      </c>
      <c r="EO120" s="118">
        <f t="shared" si="207"/>
        <v>0</v>
      </c>
      <c r="EP120" s="118">
        <f t="shared" si="208"/>
        <v>0</v>
      </c>
      <c r="EQ120" s="118">
        <f t="shared" si="209"/>
        <v>0</v>
      </c>
      <c r="ER120" s="118">
        <f t="shared" si="210"/>
        <v>0</v>
      </c>
      <c r="ES120" s="118">
        <f t="shared" si="211"/>
        <v>0</v>
      </c>
      <c r="ET120" s="177">
        <f t="shared" si="212"/>
        <v>0</v>
      </c>
      <c r="EU120" s="72"/>
      <c r="EV120" s="117">
        <f t="shared" si="213"/>
        <v>3002.0817750000001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4"/>
        <v>0</v>
      </c>
    </row>
    <row r="121" spans="109:193">
      <c r="DE121" s="117">
        <f t="shared" si="171"/>
        <v>3092.1442282500002</v>
      </c>
      <c r="DF121" s="118">
        <f t="shared" si="172"/>
        <v>0</v>
      </c>
      <c r="DG121" s="118">
        <f t="shared" si="173"/>
        <v>0</v>
      </c>
      <c r="DH121" s="118">
        <f t="shared" si="174"/>
        <v>0</v>
      </c>
      <c r="DI121" s="118">
        <f t="shared" si="175"/>
        <v>0</v>
      </c>
      <c r="DJ121" s="118">
        <f t="shared" si="176"/>
        <v>0</v>
      </c>
      <c r="DK121" s="118">
        <f t="shared" si="177"/>
        <v>0</v>
      </c>
      <c r="DL121" s="118">
        <f t="shared" si="178"/>
        <v>0</v>
      </c>
      <c r="DM121" s="118">
        <f t="shared" si="179"/>
        <v>0</v>
      </c>
      <c r="DN121" s="118">
        <f t="shared" si="180"/>
        <v>0</v>
      </c>
      <c r="DO121" s="118">
        <f t="shared" si="181"/>
        <v>0</v>
      </c>
      <c r="DP121" s="118">
        <f t="shared" si="182"/>
        <v>0</v>
      </c>
      <c r="DQ121" s="118">
        <f t="shared" si="183"/>
        <v>0</v>
      </c>
      <c r="DR121" s="118">
        <f t="shared" si="184"/>
        <v>0</v>
      </c>
      <c r="DS121" s="118">
        <f t="shared" si="185"/>
        <v>0</v>
      </c>
      <c r="DT121" s="118">
        <f t="shared" si="186"/>
        <v>0</v>
      </c>
      <c r="DU121" s="118">
        <f t="shared" si="187"/>
        <v>0</v>
      </c>
      <c r="DV121" s="118">
        <f t="shared" si="188"/>
        <v>0</v>
      </c>
      <c r="DW121" s="118">
        <f t="shared" si="189"/>
        <v>0</v>
      </c>
      <c r="DX121" s="118">
        <f t="shared" si="190"/>
        <v>0</v>
      </c>
      <c r="DY121" s="118">
        <f t="shared" si="191"/>
        <v>0</v>
      </c>
      <c r="DZ121" s="118">
        <f t="shared" si="192"/>
        <v>0</v>
      </c>
      <c r="EA121" s="118">
        <f t="shared" si="193"/>
        <v>0</v>
      </c>
      <c r="EB121" s="118">
        <f t="shared" si="194"/>
        <v>0</v>
      </c>
      <c r="EC121" s="118">
        <f t="shared" si="195"/>
        <v>0</v>
      </c>
      <c r="ED121" s="118">
        <f t="shared" si="196"/>
        <v>0</v>
      </c>
      <c r="EE121" s="118">
        <f t="shared" si="197"/>
        <v>0</v>
      </c>
      <c r="EF121" s="118">
        <f t="shared" si="198"/>
        <v>0</v>
      </c>
      <c r="EG121" s="118">
        <f t="shared" si="199"/>
        <v>0</v>
      </c>
      <c r="EH121" s="118">
        <f t="shared" si="200"/>
        <v>0</v>
      </c>
      <c r="EI121" s="118">
        <f t="shared" si="201"/>
        <v>0</v>
      </c>
      <c r="EJ121" s="118">
        <f t="shared" si="202"/>
        <v>0</v>
      </c>
      <c r="EK121" s="118">
        <f t="shared" si="203"/>
        <v>0</v>
      </c>
      <c r="EL121" s="118">
        <f t="shared" si="204"/>
        <v>0</v>
      </c>
      <c r="EM121" s="118">
        <f t="shared" si="205"/>
        <v>0</v>
      </c>
      <c r="EN121" s="118">
        <f t="shared" si="206"/>
        <v>0</v>
      </c>
      <c r="EO121" s="118">
        <f t="shared" si="207"/>
        <v>0</v>
      </c>
      <c r="EP121" s="118">
        <f t="shared" si="208"/>
        <v>0</v>
      </c>
      <c r="EQ121" s="118">
        <f t="shared" si="209"/>
        <v>0</v>
      </c>
      <c r="ER121" s="118">
        <f t="shared" si="210"/>
        <v>0</v>
      </c>
      <c r="ES121" s="118">
        <f t="shared" si="211"/>
        <v>0</v>
      </c>
      <c r="ET121" s="177">
        <f t="shared" si="212"/>
        <v>0</v>
      </c>
      <c r="EU121" s="72"/>
      <c r="EV121" s="117">
        <f t="shared" si="213"/>
        <v>3092.1442282500002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4"/>
        <v>0</v>
      </c>
    </row>
    <row r="122" spans="109:193">
      <c r="DE122" s="117">
        <f t="shared" si="171"/>
        <v>3184.9085550975001</v>
      </c>
      <c r="DF122" s="118">
        <f t="shared" si="172"/>
        <v>0</v>
      </c>
      <c r="DG122" s="118">
        <f t="shared" si="173"/>
        <v>0</v>
      </c>
      <c r="DH122" s="118">
        <f t="shared" si="174"/>
        <v>0</v>
      </c>
      <c r="DI122" s="118">
        <f t="shared" si="175"/>
        <v>0</v>
      </c>
      <c r="DJ122" s="118">
        <f t="shared" si="176"/>
        <v>0</v>
      </c>
      <c r="DK122" s="118">
        <f t="shared" si="177"/>
        <v>0</v>
      </c>
      <c r="DL122" s="118">
        <f t="shared" si="178"/>
        <v>0</v>
      </c>
      <c r="DM122" s="118">
        <f t="shared" si="179"/>
        <v>0</v>
      </c>
      <c r="DN122" s="118">
        <f t="shared" si="180"/>
        <v>0</v>
      </c>
      <c r="DO122" s="118">
        <f t="shared" si="181"/>
        <v>0</v>
      </c>
      <c r="DP122" s="118">
        <f t="shared" si="182"/>
        <v>0</v>
      </c>
      <c r="DQ122" s="118">
        <f t="shared" si="183"/>
        <v>0</v>
      </c>
      <c r="DR122" s="118">
        <f t="shared" si="184"/>
        <v>0</v>
      </c>
      <c r="DS122" s="118">
        <f t="shared" si="185"/>
        <v>0</v>
      </c>
      <c r="DT122" s="118">
        <f t="shared" si="186"/>
        <v>0</v>
      </c>
      <c r="DU122" s="118">
        <f t="shared" si="187"/>
        <v>0</v>
      </c>
      <c r="DV122" s="118">
        <f t="shared" si="188"/>
        <v>0</v>
      </c>
      <c r="DW122" s="118">
        <f t="shared" si="189"/>
        <v>0</v>
      </c>
      <c r="DX122" s="118">
        <f t="shared" si="190"/>
        <v>0</v>
      </c>
      <c r="DY122" s="118">
        <f t="shared" si="191"/>
        <v>0</v>
      </c>
      <c r="DZ122" s="118">
        <f t="shared" si="192"/>
        <v>0</v>
      </c>
      <c r="EA122" s="118">
        <f t="shared" si="193"/>
        <v>0</v>
      </c>
      <c r="EB122" s="118">
        <f t="shared" si="194"/>
        <v>0</v>
      </c>
      <c r="EC122" s="118">
        <f t="shared" si="195"/>
        <v>0</v>
      </c>
      <c r="ED122" s="118">
        <f t="shared" si="196"/>
        <v>0</v>
      </c>
      <c r="EE122" s="118">
        <f t="shared" si="197"/>
        <v>0</v>
      </c>
      <c r="EF122" s="118">
        <f t="shared" si="198"/>
        <v>0</v>
      </c>
      <c r="EG122" s="118">
        <f t="shared" si="199"/>
        <v>0</v>
      </c>
      <c r="EH122" s="118">
        <f t="shared" si="200"/>
        <v>0</v>
      </c>
      <c r="EI122" s="118">
        <f t="shared" si="201"/>
        <v>0</v>
      </c>
      <c r="EJ122" s="118">
        <f t="shared" si="202"/>
        <v>0</v>
      </c>
      <c r="EK122" s="118">
        <f t="shared" si="203"/>
        <v>0</v>
      </c>
      <c r="EL122" s="118">
        <f t="shared" si="204"/>
        <v>0</v>
      </c>
      <c r="EM122" s="118">
        <f t="shared" si="205"/>
        <v>0</v>
      </c>
      <c r="EN122" s="118">
        <f t="shared" si="206"/>
        <v>0</v>
      </c>
      <c r="EO122" s="118">
        <f t="shared" si="207"/>
        <v>0</v>
      </c>
      <c r="EP122" s="118">
        <f t="shared" si="208"/>
        <v>0</v>
      </c>
      <c r="EQ122" s="118">
        <f t="shared" si="209"/>
        <v>0</v>
      </c>
      <c r="ER122" s="118">
        <f t="shared" si="210"/>
        <v>0</v>
      </c>
      <c r="ES122" s="118">
        <f t="shared" si="211"/>
        <v>0</v>
      </c>
      <c r="ET122" s="177">
        <f t="shared" si="212"/>
        <v>0</v>
      </c>
      <c r="EU122" s="72"/>
      <c r="EV122" s="117">
        <f t="shared" si="213"/>
        <v>3184.9085550975001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4"/>
        <v>0</v>
      </c>
    </row>
    <row r="123" spans="109:193">
      <c r="DE123" s="117">
        <f t="shared" si="171"/>
        <v>3280.4558117504253</v>
      </c>
      <c r="DF123" s="118">
        <f t="shared" si="172"/>
        <v>0</v>
      </c>
      <c r="DG123" s="118">
        <f t="shared" si="173"/>
        <v>0</v>
      </c>
      <c r="DH123" s="118">
        <f t="shared" si="174"/>
        <v>0</v>
      </c>
      <c r="DI123" s="118">
        <f t="shared" si="175"/>
        <v>0</v>
      </c>
      <c r="DJ123" s="118">
        <f t="shared" si="176"/>
        <v>0</v>
      </c>
      <c r="DK123" s="118">
        <f t="shared" si="177"/>
        <v>0</v>
      </c>
      <c r="DL123" s="118">
        <f t="shared" si="178"/>
        <v>0</v>
      </c>
      <c r="DM123" s="118">
        <f t="shared" si="179"/>
        <v>0</v>
      </c>
      <c r="DN123" s="118">
        <f t="shared" si="180"/>
        <v>0</v>
      </c>
      <c r="DO123" s="118">
        <f t="shared" si="181"/>
        <v>0</v>
      </c>
      <c r="DP123" s="118">
        <f t="shared" si="182"/>
        <v>0</v>
      </c>
      <c r="DQ123" s="118">
        <f t="shared" si="183"/>
        <v>0</v>
      </c>
      <c r="DR123" s="118">
        <f t="shared" si="184"/>
        <v>0</v>
      </c>
      <c r="DS123" s="118">
        <f t="shared" si="185"/>
        <v>0</v>
      </c>
      <c r="DT123" s="118">
        <f t="shared" si="186"/>
        <v>0</v>
      </c>
      <c r="DU123" s="118">
        <f t="shared" si="187"/>
        <v>0</v>
      </c>
      <c r="DV123" s="118">
        <f t="shared" si="188"/>
        <v>0</v>
      </c>
      <c r="DW123" s="118">
        <f t="shared" si="189"/>
        <v>0</v>
      </c>
      <c r="DX123" s="118">
        <f t="shared" si="190"/>
        <v>0</v>
      </c>
      <c r="DY123" s="118">
        <f t="shared" si="191"/>
        <v>0</v>
      </c>
      <c r="DZ123" s="118">
        <f t="shared" si="192"/>
        <v>0</v>
      </c>
      <c r="EA123" s="118">
        <f t="shared" si="193"/>
        <v>0</v>
      </c>
      <c r="EB123" s="118">
        <f t="shared" si="194"/>
        <v>0</v>
      </c>
      <c r="EC123" s="118">
        <f t="shared" si="195"/>
        <v>0</v>
      </c>
      <c r="ED123" s="118">
        <f t="shared" si="196"/>
        <v>0</v>
      </c>
      <c r="EE123" s="118">
        <f t="shared" si="197"/>
        <v>0</v>
      </c>
      <c r="EF123" s="118">
        <f t="shared" si="198"/>
        <v>0</v>
      </c>
      <c r="EG123" s="118">
        <f t="shared" si="199"/>
        <v>0</v>
      </c>
      <c r="EH123" s="118">
        <f t="shared" si="200"/>
        <v>0</v>
      </c>
      <c r="EI123" s="118">
        <f t="shared" si="201"/>
        <v>0</v>
      </c>
      <c r="EJ123" s="118">
        <f t="shared" si="202"/>
        <v>0</v>
      </c>
      <c r="EK123" s="118">
        <f t="shared" si="203"/>
        <v>0</v>
      </c>
      <c r="EL123" s="118">
        <f t="shared" si="204"/>
        <v>0</v>
      </c>
      <c r="EM123" s="118">
        <f t="shared" si="205"/>
        <v>0</v>
      </c>
      <c r="EN123" s="118">
        <f t="shared" si="206"/>
        <v>0</v>
      </c>
      <c r="EO123" s="118">
        <f t="shared" si="207"/>
        <v>0</v>
      </c>
      <c r="EP123" s="118">
        <f t="shared" si="208"/>
        <v>0</v>
      </c>
      <c r="EQ123" s="118">
        <f t="shared" si="209"/>
        <v>0</v>
      </c>
      <c r="ER123" s="118">
        <f t="shared" si="210"/>
        <v>0</v>
      </c>
      <c r="ES123" s="118">
        <f t="shared" si="211"/>
        <v>0</v>
      </c>
      <c r="ET123" s="177">
        <f t="shared" si="212"/>
        <v>0</v>
      </c>
      <c r="EU123" s="72"/>
      <c r="EV123" s="117">
        <f t="shared" si="213"/>
        <v>3280.4558117504253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4"/>
        <v>0</v>
      </c>
    </row>
    <row r="124" spans="109:193">
      <c r="DE124" s="117">
        <f t="shared" si="171"/>
        <v>3378.869486102938</v>
      </c>
      <c r="DF124" s="118">
        <f t="shared" si="172"/>
        <v>0</v>
      </c>
      <c r="DG124" s="118">
        <f t="shared" si="173"/>
        <v>0</v>
      </c>
      <c r="DH124" s="118">
        <f t="shared" si="174"/>
        <v>0</v>
      </c>
      <c r="DI124" s="118">
        <f t="shared" si="175"/>
        <v>0</v>
      </c>
      <c r="DJ124" s="118">
        <f t="shared" si="176"/>
        <v>0</v>
      </c>
      <c r="DK124" s="118">
        <f t="shared" si="177"/>
        <v>0</v>
      </c>
      <c r="DL124" s="118">
        <f t="shared" si="178"/>
        <v>0</v>
      </c>
      <c r="DM124" s="118">
        <f t="shared" si="179"/>
        <v>0</v>
      </c>
      <c r="DN124" s="118">
        <f t="shared" si="180"/>
        <v>0</v>
      </c>
      <c r="DO124" s="118">
        <f t="shared" si="181"/>
        <v>0</v>
      </c>
      <c r="DP124" s="118">
        <f t="shared" si="182"/>
        <v>0</v>
      </c>
      <c r="DQ124" s="118">
        <f t="shared" si="183"/>
        <v>0</v>
      </c>
      <c r="DR124" s="118">
        <f t="shared" si="184"/>
        <v>0</v>
      </c>
      <c r="DS124" s="118">
        <f t="shared" si="185"/>
        <v>0</v>
      </c>
      <c r="DT124" s="118">
        <f t="shared" si="186"/>
        <v>0</v>
      </c>
      <c r="DU124" s="118">
        <f t="shared" si="187"/>
        <v>0</v>
      </c>
      <c r="DV124" s="118">
        <f t="shared" si="188"/>
        <v>0</v>
      </c>
      <c r="DW124" s="118">
        <f t="shared" si="189"/>
        <v>0</v>
      </c>
      <c r="DX124" s="118">
        <f t="shared" si="190"/>
        <v>0</v>
      </c>
      <c r="DY124" s="118">
        <f t="shared" si="191"/>
        <v>0</v>
      </c>
      <c r="DZ124" s="118">
        <f t="shared" si="192"/>
        <v>0</v>
      </c>
      <c r="EA124" s="118">
        <f t="shared" si="193"/>
        <v>0</v>
      </c>
      <c r="EB124" s="118">
        <f t="shared" si="194"/>
        <v>0</v>
      </c>
      <c r="EC124" s="118">
        <f t="shared" si="195"/>
        <v>0</v>
      </c>
      <c r="ED124" s="118">
        <f t="shared" si="196"/>
        <v>0</v>
      </c>
      <c r="EE124" s="118">
        <f t="shared" si="197"/>
        <v>0</v>
      </c>
      <c r="EF124" s="118">
        <f t="shared" si="198"/>
        <v>0</v>
      </c>
      <c r="EG124" s="118">
        <f t="shared" si="199"/>
        <v>0</v>
      </c>
      <c r="EH124" s="118">
        <f t="shared" si="200"/>
        <v>0</v>
      </c>
      <c r="EI124" s="118">
        <f t="shared" si="201"/>
        <v>0</v>
      </c>
      <c r="EJ124" s="118">
        <f t="shared" si="202"/>
        <v>0</v>
      </c>
      <c r="EK124" s="118">
        <f t="shared" si="203"/>
        <v>0</v>
      </c>
      <c r="EL124" s="118">
        <f t="shared" si="204"/>
        <v>0</v>
      </c>
      <c r="EM124" s="118">
        <f t="shared" si="205"/>
        <v>0</v>
      </c>
      <c r="EN124" s="118">
        <f t="shared" si="206"/>
        <v>0</v>
      </c>
      <c r="EO124" s="118">
        <f t="shared" si="207"/>
        <v>0</v>
      </c>
      <c r="EP124" s="118">
        <f t="shared" si="208"/>
        <v>0</v>
      </c>
      <c r="EQ124" s="118">
        <f t="shared" si="209"/>
        <v>0</v>
      </c>
      <c r="ER124" s="118">
        <f t="shared" si="210"/>
        <v>0</v>
      </c>
      <c r="ES124" s="118">
        <f t="shared" si="211"/>
        <v>0</v>
      </c>
      <c r="ET124" s="177">
        <f t="shared" si="212"/>
        <v>0</v>
      </c>
      <c r="EU124" s="72"/>
      <c r="EV124" s="117">
        <f t="shared" si="213"/>
        <v>3378.869486102938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4"/>
        <v>0</v>
      </c>
    </row>
    <row r="125" spans="109:193">
      <c r="DE125" s="117">
        <f t="shared" si="171"/>
        <v>3480.2355706860262</v>
      </c>
      <c r="DF125" s="118">
        <f t="shared" si="172"/>
        <v>0</v>
      </c>
      <c r="DG125" s="118">
        <f t="shared" si="173"/>
        <v>0</v>
      </c>
      <c r="DH125" s="118">
        <f t="shared" si="174"/>
        <v>0</v>
      </c>
      <c r="DI125" s="118">
        <f t="shared" si="175"/>
        <v>0</v>
      </c>
      <c r="DJ125" s="118">
        <f t="shared" si="176"/>
        <v>0</v>
      </c>
      <c r="DK125" s="118">
        <f t="shared" si="177"/>
        <v>0</v>
      </c>
      <c r="DL125" s="118">
        <f t="shared" si="178"/>
        <v>0</v>
      </c>
      <c r="DM125" s="118">
        <f t="shared" si="179"/>
        <v>0</v>
      </c>
      <c r="DN125" s="118">
        <f t="shared" si="180"/>
        <v>0</v>
      </c>
      <c r="DO125" s="118">
        <f t="shared" si="181"/>
        <v>0</v>
      </c>
      <c r="DP125" s="118">
        <f t="shared" si="182"/>
        <v>0</v>
      </c>
      <c r="DQ125" s="118">
        <f t="shared" si="183"/>
        <v>0</v>
      </c>
      <c r="DR125" s="118">
        <f t="shared" si="184"/>
        <v>0</v>
      </c>
      <c r="DS125" s="118">
        <f t="shared" si="185"/>
        <v>0</v>
      </c>
      <c r="DT125" s="118">
        <f t="shared" si="186"/>
        <v>0</v>
      </c>
      <c r="DU125" s="118">
        <f t="shared" si="187"/>
        <v>0</v>
      </c>
      <c r="DV125" s="118">
        <f t="shared" si="188"/>
        <v>0</v>
      </c>
      <c r="DW125" s="118">
        <f t="shared" si="189"/>
        <v>0</v>
      </c>
      <c r="DX125" s="118">
        <f t="shared" si="190"/>
        <v>0</v>
      </c>
      <c r="DY125" s="118">
        <f t="shared" si="191"/>
        <v>0</v>
      </c>
      <c r="DZ125" s="118">
        <f t="shared" si="192"/>
        <v>0</v>
      </c>
      <c r="EA125" s="118">
        <f t="shared" si="193"/>
        <v>0</v>
      </c>
      <c r="EB125" s="118">
        <f t="shared" si="194"/>
        <v>0</v>
      </c>
      <c r="EC125" s="118">
        <f t="shared" si="195"/>
        <v>0</v>
      </c>
      <c r="ED125" s="118">
        <f t="shared" si="196"/>
        <v>0</v>
      </c>
      <c r="EE125" s="118">
        <f t="shared" si="197"/>
        <v>0</v>
      </c>
      <c r="EF125" s="118">
        <f t="shared" si="198"/>
        <v>0</v>
      </c>
      <c r="EG125" s="118">
        <f t="shared" si="199"/>
        <v>0</v>
      </c>
      <c r="EH125" s="118">
        <f t="shared" si="200"/>
        <v>0</v>
      </c>
      <c r="EI125" s="118">
        <f t="shared" si="201"/>
        <v>0</v>
      </c>
      <c r="EJ125" s="118">
        <f t="shared" si="202"/>
        <v>0</v>
      </c>
      <c r="EK125" s="118">
        <f t="shared" si="203"/>
        <v>0</v>
      </c>
      <c r="EL125" s="118">
        <f t="shared" si="204"/>
        <v>0</v>
      </c>
      <c r="EM125" s="118">
        <f t="shared" si="205"/>
        <v>0</v>
      </c>
      <c r="EN125" s="118">
        <f t="shared" si="206"/>
        <v>0</v>
      </c>
      <c r="EO125" s="118">
        <f t="shared" si="207"/>
        <v>0</v>
      </c>
      <c r="EP125" s="118">
        <f t="shared" si="208"/>
        <v>0</v>
      </c>
      <c r="EQ125" s="118">
        <f t="shared" si="209"/>
        <v>0</v>
      </c>
      <c r="ER125" s="118">
        <f t="shared" si="210"/>
        <v>0</v>
      </c>
      <c r="ES125" s="118">
        <f t="shared" si="211"/>
        <v>0</v>
      </c>
      <c r="ET125" s="177">
        <f t="shared" si="212"/>
        <v>0</v>
      </c>
      <c r="EU125" s="72"/>
      <c r="EV125" s="117">
        <f t="shared" si="213"/>
        <v>3480.2355706860262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4"/>
        <v>0</v>
      </c>
    </row>
    <row r="126" spans="109:193">
      <c r="DE126" s="117">
        <f t="shared" si="171"/>
        <v>3584.6426378066071</v>
      </c>
      <c r="DF126" s="118">
        <f t="shared" si="172"/>
        <v>0</v>
      </c>
      <c r="DG126" s="118">
        <f t="shared" si="173"/>
        <v>0</v>
      </c>
      <c r="DH126" s="118">
        <f t="shared" si="174"/>
        <v>0</v>
      </c>
      <c r="DI126" s="118">
        <f t="shared" si="175"/>
        <v>0</v>
      </c>
      <c r="DJ126" s="118">
        <f t="shared" si="176"/>
        <v>0</v>
      </c>
      <c r="DK126" s="118">
        <f t="shared" si="177"/>
        <v>0</v>
      </c>
      <c r="DL126" s="118">
        <f t="shared" si="178"/>
        <v>0</v>
      </c>
      <c r="DM126" s="118">
        <f t="shared" si="179"/>
        <v>0</v>
      </c>
      <c r="DN126" s="118">
        <f t="shared" si="180"/>
        <v>0</v>
      </c>
      <c r="DO126" s="118">
        <f t="shared" si="181"/>
        <v>0</v>
      </c>
      <c r="DP126" s="118">
        <f t="shared" si="182"/>
        <v>0</v>
      </c>
      <c r="DQ126" s="118">
        <f t="shared" si="183"/>
        <v>0</v>
      </c>
      <c r="DR126" s="118">
        <f t="shared" si="184"/>
        <v>0</v>
      </c>
      <c r="DS126" s="118">
        <f t="shared" si="185"/>
        <v>0</v>
      </c>
      <c r="DT126" s="118">
        <f t="shared" si="186"/>
        <v>0</v>
      </c>
      <c r="DU126" s="118">
        <f t="shared" si="187"/>
        <v>0</v>
      </c>
      <c r="DV126" s="118">
        <f t="shared" si="188"/>
        <v>0</v>
      </c>
      <c r="DW126" s="118">
        <f t="shared" si="189"/>
        <v>0</v>
      </c>
      <c r="DX126" s="118">
        <f t="shared" si="190"/>
        <v>0</v>
      </c>
      <c r="DY126" s="118">
        <f t="shared" si="191"/>
        <v>0</v>
      </c>
      <c r="DZ126" s="118">
        <f t="shared" si="192"/>
        <v>0</v>
      </c>
      <c r="EA126" s="118">
        <f t="shared" si="193"/>
        <v>0</v>
      </c>
      <c r="EB126" s="118">
        <f t="shared" si="194"/>
        <v>0</v>
      </c>
      <c r="EC126" s="118">
        <f t="shared" si="195"/>
        <v>0</v>
      </c>
      <c r="ED126" s="118">
        <f t="shared" si="196"/>
        <v>0</v>
      </c>
      <c r="EE126" s="118">
        <f t="shared" si="197"/>
        <v>0</v>
      </c>
      <c r="EF126" s="118">
        <f t="shared" si="198"/>
        <v>0</v>
      </c>
      <c r="EG126" s="118">
        <f t="shared" si="199"/>
        <v>0</v>
      </c>
      <c r="EH126" s="118">
        <f t="shared" si="200"/>
        <v>0</v>
      </c>
      <c r="EI126" s="118">
        <f t="shared" si="201"/>
        <v>0</v>
      </c>
      <c r="EJ126" s="118">
        <f t="shared" si="202"/>
        <v>0</v>
      </c>
      <c r="EK126" s="118">
        <f t="shared" si="203"/>
        <v>0</v>
      </c>
      <c r="EL126" s="118">
        <f t="shared" si="204"/>
        <v>0</v>
      </c>
      <c r="EM126" s="118">
        <f t="shared" si="205"/>
        <v>0</v>
      </c>
      <c r="EN126" s="118">
        <f t="shared" si="206"/>
        <v>0</v>
      </c>
      <c r="EO126" s="118">
        <f t="shared" si="207"/>
        <v>0</v>
      </c>
      <c r="EP126" s="118">
        <f t="shared" si="208"/>
        <v>0</v>
      </c>
      <c r="EQ126" s="118">
        <f t="shared" si="209"/>
        <v>0</v>
      </c>
      <c r="ER126" s="118">
        <f t="shared" si="210"/>
        <v>0</v>
      </c>
      <c r="ES126" s="118">
        <f t="shared" si="211"/>
        <v>0</v>
      </c>
      <c r="ET126" s="177">
        <f t="shared" si="212"/>
        <v>0</v>
      </c>
      <c r="EU126" s="72"/>
      <c r="EV126" s="117">
        <f t="shared" si="213"/>
        <v>3584.6426378066071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4"/>
        <v>0</v>
      </c>
    </row>
    <row r="127" spans="109:193">
      <c r="DE127" s="117">
        <f t="shared" si="171"/>
        <v>3692.1819169408054</v>
      </c>
      <c r="DF127" s="118">
        <f t="shared" si="172"/>
        <v>0</v>
      </c>
      <c r="DG127" s="118">
        <f t="shared" si="173"/>
        <v>0</v>
      </c>
      <c r="DH127" s="118">
        <f t="shared" si="174"/>
        <v>0</v>
      </c>
      <c r="DI127" s="118">
        <f t="shared" si="175"/>
        <v>0</v>
      </c>
      <c r="DJ127" s="118">
        <f t="shared" si="176"/>
        <v>0</v>
      </c>
      <c r="DK127" s="118">
        <f t="shared" si="177"/>
        <v>0</v>
      </c>
      <c r="DL127" s="118">
        <f t="shared" si="178"/>
        <v>0</v>
      </c>
      <c r="DM127" s="118">
        <f t="shared" si="179"/>
        <v>0</v>
      </c>
      <c r="DN127" s="118">
        <f t="shared" si="180"/>
        <v>0</v>
      </c>
      <c r="DO127" s="118">
        <f t="shared" si="181"/>
        <v>0</v>
      </c>
      <c r="DP127" s="118">
        <f t="shared" si="182"/>
        <v>0</v>
      </c>
      <c r="DQ127" s="118">
        <f t="shared" si="183"/>
        <v>0</v>
      </c>
      <c r="DR127" s="118">
        <f t="shared" si="184"/>
        <v>0</v>
      </c>
      <c r="DS127" s="118">
        <f t="shared" si="185"/>
        <v>0</v>
      </c>
      <c r="DT127" s="118">
        <f t="shared" si="186"/>
        <v>0</v>
      </c>
      <c r="DU127" s="118">
        <f t="shared" si="187"/>
        <v>0</v>
      </c>
      <c r="DV127" s="118">
        <f t="shared" si="188"/>
        <v>0</v>
      </c>
      <c r="DW127" s="118">
        <f t="shared" si="189"/>
        <v>0</v>
      </c>
      <c r="DX127" s="118">
        <f t="shared" si="190"/>
        <v>0</v>
      </c>
      <c r="DY127" s="118">
        <f t="shared" si="191"/>
        <v>0</v>
      </c>
      <c r="DZ127" s="118">
        <f t="shared" si="192"/>
        <v>0</v>
      </c>
      <c r="EA127" s="118">
        <f t="shared" si="193"/>
        <v>0</v>
      </c>
      <c r="EB127" s="118">
        <f t="shared" si="194"/>
        <v>0</v>
      </c>
      <c r="EC127" s="118">
        <f t="shared" si="195"/>
        <v>0</v>
      </c>
      <c r="ED127" s="118">
        <f t="shared" si="196"/>
        <v>0</v>
      </c>
      <c r="EE127" s="118">
        <f t="shared" si="197"/>
        <v>0</v>
      </c>
      <c r="EF127" s="118">
        <f t="shared" si="198"/>
        <v>0</v>
      </c>
      <c r="EG127" s="118">
        <f t="shared" si="199"/>
        <v>0</v>
      </c>
      <c r="EH127" s="118">
        <f t="shared" si="200"/>
        <v>0</v>
      </c>
      <c r="EI127" s="118">
        <f t="shared" si="201"/>
        <v>0</v>
      </c>
      <c r="EJ127" s="118">
        <f t="shared" si="202"/>
        <v>0</v>
      </c>
      <c r="EK127" s="118">
        <f t="shared" si="203"/>
        <v>0</v>
      </c>
      <c r="EL127" s="118">
        <f t="shared" si="204"/>
        <v>0</v>
      </c>
      <c r="EM127" s="118">
        <f t="shared" si="205"/>
        <v>0</v>
      </c>
      <c r="EN127" s="118">
        <f t="shared" si="206"/>
        <v>0</v>
      </c>
      <c r="EO127" s="118">
        <f t="shared" si="207"/>
        <v>0</v>
      </c>
      <c r="EP127" s="118">
        <f t="shared" si="208"/>
        <v>0</v>
      </c>
      <c r="EQ127" s="118">
        <f t="shared" si="209"/>
        <v>0</v>
      </c>
      <c r="ER127" s="118">
        <f t="shared" si="210"/>
        <v>0</v>
      </c>
      <c r="ES127" s="118">
        <f t="shared" si="211"/>
        <v>0</v>
      </c>
      <c r="ET127" s="177">
        <f t="shared" si="212"/>
        <v>0</v>
      </c>
      <c r="EU127" s="72"/>
      <c r="EV127" s="117">
        <f t="shared" si="213"/>
        <v>3692.1819169408054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4"/>
        <v>0</v>
      </c>
    </row>
    <row r="128" spans="109:193">
      <c r="DE128" s="117">
        <f t="shared" si="171"/>
        <v>3802.9473744490297</v>
      </c>
      <c r="DF128" s="118">
        <f t="shared" si="172"/>
        <v>0</v>
      </c>
      <c r="DG128" s="118">
        <f t="shared" si="173"/>
        <v>0</v>
      </c>
      <c r="DH128" s="118">
        <f t="shared" si="174"/>
        <v>0</v>
      </c>
      <c r="DI128" s="118">
        <f t="shared" si="175"/>
        <v>0</v>
      </c>
      <c r="DJ128" s="118">
        <f t="shared" si="176"/>
        <v>0</v>
      </c>
      <c r="DK128" s="118">
        <f t="shared" si="177"/>
        <v>0</v>
      </c>
      <c r="DL128" s="118">
        <f t="shared" si="178"/>
        <v>0</v>
      </c>
      <c r="DM128" s="118">
        <f t="shared" si="179"/>
        <v>0</v>
      </c>
      <c r="DN128" s="118">
        <f t="shared" si="180"/>
        <v>0</v>
      </c>
      <c r="DO128" s="118">
        <f t="shared" si="181"/>
        <v>0</v>
      </c>
      <c r="DP128" s="118">
        <f t="shared" si="182"/>
        <v>0</v>
      </c>
      <c r="DQ128" s="118">
        <f t="shared" si="183"/>
        <v>0</v>
      </c>
      <c r="DR128" s="118">
        <f t="shared" si="184"/>
        <v>0</v>
      </c>
      <c r="DS128" s="118">
        <f t="shared" si="185"/>
        <v>0</v>
      </c>
      <c r="DT128" s="118">
        <f t="shared" si="186"/>
        <v>0</v>
      </c>
      <c r="DU128" s="118">
        <f t="shared" si="187"/>
        <v>0</v>
      </c>
      <c r="DV128" s="118">
        <f t="shared" si="188"/>
        <v>0</v>
      </c>
      <c r="DW128" s="118">
        <f t="shared" si="189"/>
        <v>0</v>
      </c>
      <c r="DX128" s="118">
        <f t="shared" si="190"/>
        <v>0</v>
      </c>
      <c r="DY128" s="118">
        <f t="shared" si="191"/>
        <v>0</v>
      </c>
      <c r="DZ128" s="118">
        <f t="shared" si="192"/>
        <v>0</v>
      </c>
      <c r="EA128" s="118">
        <f t="shared" si="193"/>
        <v>0</v>
      </c>
      <c r="EB128" s="118">
        <f t="shared" si="194"/>
        <v>0</v>
      </c>
      <c r="EC128" s="118">
        <f t="shared" si="195"/>
        <v>0</v>
      </c>
      <c r="ED128" s="118">
        <f t="shared" si="196"/>
        <v>0</v>
      </c>
      <c r="EE128" s="118">
        <f t="shared" si="197"/>
        <v>0</v>
      </c>
      <c r="EF128" s="118">
        <f t="shared" si="198"/>
        <v>0</v>
      </c>
      <c r="EG128" s="118">
        <f t="shared" si="199"/>
        <v>0</v>
      </c>
      <c r="EH128" s="118">
        <f t="shared" si="200"/>
        <v>0</v>
      </c>
      <c r="EI128" s="118">
        <f t="shared" si="201"/>
        <v>0</v>
      </c>
      <c r="EJ128" s="118">
        <f t="shared" si="202"/>
        <v>0</v>
      </c>
      <c r="EK128" s="118">
        <f t="shared" si="203"/>
        <v>0</v>
      </c>
      <c r="EL128" s="118">
        <f t="shared" si="204"/>
        <v>0</v>
      </c>
      <c r="EM128" s="118">
        <f t="shared" si="205"/>
        <v>0</v>
      </c>
      <c r="EN128" s="118">
        <f t="shared" si="206"/>
        <v>0</v>
      </c>
      <c r="EO128" s="118">
        <f t="shared" si="207"/>
        <v>0</v>
      </c>
      <c r="EP128" s="118">
        <f t="shared" si="208"/>
        <v>0</v>
      </c>
      <c r="EQ128" s="118">
        <f t="shared" si="209"/>
        <v>0</v>
      </c>
      <c r="ER128" s="118">
        <f t="shared" si="210"/>
        <v>0</v>
      </c>
      <c r="ES128" s="118">
        <f t="shared" si="211"/>
        <v>0</v>
      </c>
      <c r="ET128" s="177">
        <f t="shared" si="212"/>
        <v>0</v>
      </c>
      <c r="EU128" s="72"/>
      <c r="EV128" s="117">
        <f t="shared" si="213"/>
        <v>3802.9473744490297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4"/>
        <v>0</v>
      </c>
    </row>
    <row r="129" spans="109:193">
      <c r="DE129" s="117">
        <f t="shared" si="171"/>
        <v>3917.0357956825005</v>
      </c>
      <c r="DF129" s="118">
        <f t="shared" si="172"/>
        <v>0</v>
      </c>
      <c r="DG129" s="118">
        <f t="shared" si="173"/>
        <v>0</v>
      </c>
      <c r="DH129" s="118">
        <f t="shared" si="174"/>
        <v>0</v>
      </c>
      <c r="DI129" s="118">
        <f t="shared" si="175"/>
        <v>0</v>
      </c>
      <c r="DJ129" s="118">
        <f t="shared" si="176"/>
        <v>0</v>
      </c>
      <c r="DK129" s="118">
        <f t="shared" si="177"/>
        <v>0</v>
      </c>
      <c r="DL129" s="118">
        <f t="shared" si="178"/>
        <v>0</v>
      </c>
      <c r="DM129" s="118">
        <f t="shared" si="179"/>
        <v>0</v>
      </c>
      <c r="DN129" s="118">
        <f t="shared" si="180"/>
        <v>0</v>
      </c>
      <c r="DO129" s="118">
        <f t="shared" si="181"/>
        <v>0</v>
      </c>
      <c r="DP129" s="118">
        <f t="shared" si="182"/>
        <v>0</v>
      </c>
      <c r="DQ129" s="118">
        <f t="shared" si="183"/>
        <v>0</v>
      </c>
      <c r="DR129" s="118">
        <f t="shared" si="184"/>
        <v>0</v>
      </c>
      <c r="DS129" s="118">
        <f t="shared" si="185"/>
        <v>0</v>
      </c>
      <c r="DT129" s="118">
        <f t="shared" si="186"/>
        <v>0</v>
      </c>
      <c r="DU129" s="118">
        <f t="shared" si="187"/>
        <v>0</v>
      </c>
      <c r="DV129" s="118">
        <f t="shared" si="188"/>
        <v>0</v>
      </c>
      <c r="DW129" s="118">
        <f t="shared" si="189"/>
        <v>0</v>
      </c>
      <c r="DX129" s="118">
        <f t="shared" si="190"/>
        <v>0</v>
      </c>
      <c r="DY129" s="118">
        <f t="shared" si="191"/>
        <v>0</v>
      </c>
      <c r="DZ129" s="118">
        <f t="shared" si="192"/>
        <v>0</v>
      </c>
      <c r="EA129" s="118">
        <f t="shared" si="193"/>
        <v>0</v>
      </c>
      <c r="EB129" s="118">
        <f t="shared" si="194"/>
        <v>0</v>
      </c>
      <c r="EC129" s="118">
        <f t="shared" si="195"/>
        <v>0</v>
      </c>
      <c r="ED129" s="118">
        <f t="shared" si="196"/>
        <v>0</v>
      </c>
      <c r="EE129" s="118">
        <f t="shared" si="197"/>
        <v>0</v>
      </c>
      <c r="EF129" s="118">
        <f t="shared" si="198"/>
        <v>0</v>
      </c>
      <c r="EG129" s="118">
        <f t="shared" si="199"/>
        <v>0</v>
      </c>
      <c r="EH129" s="118">
        <f t="shared" si="200"/>
        <v>0</v>
      </c>
      <c r="EI129" s="118">
        <f t="shared" si="201"/>
        <v>0</v>
      </c>
      <c r="EJ129" s="118">
        <f t="shared" si="202"/>
        <v>0</v>
      </c>
      <c r="EK129" s="118">
        <f t="shared" si="203"/>
        <v>0</v>
      </c>
      <c r="EL129" s="118">
        <f t="shared" si="204"/>
        <v>0</v>
      </c>
      <c r="EM129" s="118">
        <f t="shared" si="205"/>
        <v>0</v>
      </c>
      <c r="EN129" s="118">
        <f t="shared" si="206"/>
        <v>0</v>
      </c>
      <c r="EO129" s="118">
        <f t="shared" si="207"/>
        <v>0</v>
      </c>
      <c r="EP129" s="118">
        <f t="shared" si="208"/>
        <v>0</v>
      </c>
      <c r="EQ129" s="118">
        <f t="shared" si="209"/>
        <v>0</v>
      </c>
      <c r="ER129" s="118">
        <f t="shared" si="210"/>
        <v>0</v>
      </c>
      <c r="ES129" s="118">
        <f t="shared" si="211"/>
        <v>0</v>
      </c>
      <c r="ET129" s="177">
        <f t="shared" si="212"/>
        <v>0</v>
      </c>
      <c r="EU129" s="72"/>
      <c r="EV129" s="117">
        <f t="shared" si="213"/>
        <v>3917.0357956825005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4"/>
        <v>0</v>
      </c>
    </row>
    <row r="130" spans="109:193">
      <c r="DE130" s="117">
        <f t="shared" si="171"/>
        <v>4034.5468695529757</v>
      </c>
      <c r="DF130" s="118">
        <f t="shared" si="172"/>
        <v>0</v>
      </c>
      <c r="DG130" s="118">
        <f t="shared" si="173"/>
        <v>0</v>
      </c>
      <c r="DH130" s="118">
        <f t="shared" si="174"/>
        <v>0</v>
      </c>
      <c r="DI130" s="118">
        <f t="shared" si="175"/>
        <v>0</v>
      </c>
      <c r="DJ130" s="118">
        <f t="shared" si="176"/>
        <v>0</v>
      </c>
      <c r="DK130" s="118">
        <f t="shared" si="177"/>
        <v>0</v>
      </c>
      <c r="DL130" s="118">
        <f t="shared" si="178"/>
        <v>0</v>
      </c>
      <c r="DM130" s="118">
        <f t="shared" si="179"/>
        <v>0</v>
      </c>
      <c r="DN130" s="118">
        <f t="shared" si="180"/>
        <v>0</v>
      </c>
      <c r="DO130" s="118">
        <f t="shared" si="181"/>
        <v>0</v>
      </c>
      <c r="DP130" s="118">
        <f t="shared" si="182"/>
        <v>0</v>
      </c>
      <c r="DQ130" s="118">
        <f t="shared" si="183"/>
        <v>0</v>
      </c>
      <c r="DR130" s="118">
        <f t="shared" si="184"/>
        <v>0</v>
      </c>
      <c r="DS130" s="118">
        <f t="shared" si="185"/>
        <v>0</v>
      </c>
      <c r="DT130" s="118">
        <f t="shared" si="186"/>
        <v>0</v>
      </c>
      <c r="DU130" s="118">
        <f t="shared" si="187"/>
        <v>0</v>
      </c>
      <c r="DV130" s="118">
        <f t="shared" si="188"/>
        <v>0</v>
      </c>
      <c r="DW130" s="118">
        <f t="shared" si="189"/>
        <v>0</v>
      </c>
      <c r="DX130" s="118">
        <f t="shared" si="190"/>
        <v>0</v>
      </c>
      <c r="DY130" s="118">
        <f t="shared" si="191"/>
        <v>0</v>
      </c>
      <c r="DZ130" s="118">
        <f t="shared" si="192"/>
        <v>0</v>
      </c>
      <c r="EA130" s="118">
        <f t="shared" si="193"/>
        <v>0</v>
      </c>
      <c r="EB130" s="118">
        <f t="shared" si="194"/>
        <v>0</v>
      </c>
      <c r="EC130" s="118">
        <f t="shared" si="195"/>
        <v>0</v>
      </c>
      <c r="ED130" s="118">
        <f t="shared" si="196"/>
        <v>0</v>
      </c>
      <c r="EE130" s="118">
        <f t="shared" si="197"/>
        <v>0</v>
      </c>
      <c r="EF130" s="118">
        <f t="shared" si="198"/>
        <v>0</v>
      </c>
      <c r="EG130" s="118">
        <f t="shared" si="199"/>
        <v>0</v>
      </c>
      <c r="EH130" s="118">
        <f t="shared" si="200"/>
        <v>0</v>
      </c>
      <c r="EI130" s="118">
        <f t="shared" si="201"/>
        <v>0</v>
      </c>
      <c r="EJ130" s="118">
        <f t="shared" si="202"/>
        <v>0</v>
      </c>
      <c r="EK130" s="118">
        <f t="shared" si="203"/>
        <v>0</v>
      </c>
      <c r="EL130" s="118">
        <f t="shared" si="204"/>
        <v>0</v>
      </c>
      <c r="EM130" s="118">
        <f t="shared" si="205"/>
        <v>0</v>
      </c>
      <c r="EN130" s="118">
        <f t="shared" si="206"/>
        <v>0</v>
      </c>
      <c r="EO130" s="118">
        <f t="shared" si="207"/>
        <v>0</v>
      </c>
      <c r="EP130" s="118">
        <f t="shared" si="208"/>
        <v>0</v>
      </c>
      <c r="EQ130" s="118">
        <f t="shared" si="209"/>
        <v>0</v>
      </c>
      <c r="ER130" s="118">
        <f t="shared" si="210"/>
        <v>0</v>
      </c>
      <c r="ES130" s="118">
        <f t="shared" si="211"/>
        <v>0</v>
      </c>
      <c r="ET130" s="177">
        <f t="shared" si="212"/>
        <v>0</v>
      </c>
      <c r="EU130" s="72"/>
      <c r="EV130" s="117">
        <f t="shared" si="213"/>
        <v>4034.5468695529757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4"/>
        <v>0</v>
      </c>
    </row>
    <row r="131" spans="109:193">
      <c r="DE131" s="117">
        <f t="shared" si="171"/>
        <v>4155.5832756395648</v>
      </c>
      <c r="DF131" s="118">
        <f t="shared" si="172"/>
        <v>0</v>
      </c>
      <c r="DG131" s="118">
        <f t="shared" si="173"/>
        <v>0</v>
      </c>
      <c r="DH131" s="118">
        <f t="shared" si="174"/>
        <v>0</v>
      </c>
      <c r="DI131" s="118">
        <f t="shared" si="175"/>
        <v>0</v>
      </c>
      <c r="DJ131" s="118">
        <f t="shared" si="176"/>
        <v>0</v>
      </c>
      <c r="DK131" s="118">
        <f t="shared" si="177"/>
        <v>0</v>
      </c>
      <c r="DL131" s="118">
        <f t="shared" si="178"/>
        <v>0</v>
      </c>
      <c r="DM131" s="118">
        <f t="shared" si="179"/>
        <v>0</v>
      </c>
      <c r="DN131" s="118">
        <f t="shared" si="180"/>
        <v>0</v>
      </c>
      <c r="DO131" s="118">
        <f t="shared" si="181"/>
        <v>0</v>
      </c>
      <c r="DP131" s="118">
        <f t="shared" si="182"/>
        <v>0</v>
      </c>
      <c r="DQ131" s="118">
        <f t="shared" si="183"/>
        <v>0</v>
      </c>
      <c r="DR131" s="118">
        <f t="shared" si="184"/>
        <v>0</v>
      </c>
      <c r="DS131" s="118">
        <f t="shared" si="185"/>
        <v>0</v>
      </c>
      <c r="DT131" s="118">
        <f t="shared" si="186"/>
        <v>0</v>
      </c>
      <c r="DU131" s="118">
        <f t="shared" si="187"/>
        <v>0</v>
      </c>
      <c r="DV131" s="118">
        <f t="shared" si="188"/>
        <v>0</v>
      </c>
      <c r="DW131" s="118">
        <f t="shared" si="189"/>
        <v>0</v>
      </c>
      <c r="DX131" s="118">
        <f t="shared" si="190"/>
        <v>0</v>
      </c>
      <c r="DY131" s="118">
        <f t="shared" si="191"/>
        <v>0</v>
      </c>
      <c r="DZ131" s="118">
        <f t="shared" si="192"/>
        <v>0</v>
      </c>
      <c r="EA131" s="118">
        <f t="shared" si="193"/>
        <v>0</v>
      </c>
      <c r="EB131" s="118">
        <f t="shared" si="194"/>
        <v>0</v>
      </c>
      <c r="EC131" s="118">
        <f t="shared" si="195"/>
        <v>0</v>
      </c>
      <c r="ED131" s="118">
        <f t="shared" si="196"/>
        <v>0</v>
      </c>
      <c r="EE131" s="118">
        <f t="shared" si="197"/>
        <v>0</v>
      </c>
      <c r="EF131" s="118">
        <f t="shared" si="198"/>
        <v>0</v>
      </c>
      <c r="EG131" s="118">
        <f t="shared" si="199"/>
        <v>0</v>
      </c>
      <c r="EH131" s="118">
        <f t="shared" si="200"/>
        <v>0</v>
      </c>
      <c r="EI131" s="118">
        <f t="shared" si="201"/>
        <v>0</v>
      </c>
      <c r="EJ131" s="118">
        <f t="shared" si="202"/>
        <v>0</v>
      </c>
      <c r="EK131" s="118">
        <f t="shared" si="203"/>
        <v>0</v>
      </c>
      <c r="EL131" s="118">
        <f t="shared" si="204"/>
        <v>0</v>
      </c>
      <c r="EM131" s="118">
        <f t="shared" si="205"/>
        <v>0</v>
      </c>
      <c r="EN131" s="118">
        <f t="shared" si="206"/>
        <v>0</v>
      </c>
      <c r="EO131" s="118">
        <f t="shared" si="207"/>
        <v>0</v>
      </c>
      <c r="EP131" s="118">
        <f t="shared" si="208"/>
        <v>0</v>
      </c>
      <c r="EQ131" s="118">
        <f t="shared" si="209"/>
        <v>0</v>
      </c>
      <c r="ER131" s="118">
        <f t="shared" si="210"/>
        <v>0</v>
      </c>
      <c r="ES131" s="118">
        <f t="shared" si="211"/>
        <v>0</v>
      </c>
      <c r="ET131" s="177">
        <f t="shared" si="212"/>
        <v>0</v>
      </c>
      <c r="EU131" s="72"/>
      <c r="EV131" s="117">
        <f t="shared" si="213"/>
        <v>4155.5832756395648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4"/>
        <v>0</v>
      </c>
    </row>
    <row r="132" spans="109:193">
      <c r="DE132" s="117">
        <f t="shared" si="171"/>
        <v>4280.2507739087523</v>
      </c>
      <c r="DF132" s="118">
        <f t="shared" si="172"/>
        <v>0</v>
      </c>
      <c r="DG132" s="118">
        <f t="shared" si="173"/>
        <v>0</v>
      </c>
      <c r="DH132" s="118">
        <f t="shared" si="174"/>
        <v>0</v>
      </c>
      <c r="DI132" s="118">
        <f t="shared" si="175"/>
        <v>0</v>
      </c>
      <c r="DJ132" s="118">
        <f t="shared" si="176"/>
        <v>0</v>
      </c>
      <c r="DK132" s="118">
        <f t="shared" si="177"/>
        <v>0</v>
      </c>
      <c r="DL132" s="118">
        <f t="shared" si="178"/>
        <v>0</v>
      </c>
      <c r="DM132" s="118">
        <f t="shared" si="179"/>
        <v>0</v>
      </c>
      <c r="DN132" s="118">
        <f t="shared" si="180"/>
        <v>0</v>
      </c>
      <c r="DO132" s="118">
        <f t="shared" si="181"/>
        <v>0</v>
      </c>
      <c r="DP132" s="118">
        <f t="shared" si="182"/>
        <v>0</v>
      </c>
      <c r="DQ132" s="118">
        <f t="shared" si="183"/>
        <v>0</v>
      </c>
      <c r="DR132" s="118">
        <f t="shared" si="184"/>
        <v>0</v>
      </c>
      <c r="DS132" s="118">
        <f t="shared" si="185"/>
        <v>0</v>
      </c>
      <c r="DT132" s="118">
        <f t="shared" si="186"/>
        <v>0</v>
      </c>
      <c r="DU132" s="118">
        <f t="shared" si="187"/>
        <v>0</v>
      </c>
      <c r="DV132" s="118">
        <f t="shared" si="188"/>
        <v>0</v>
      </c>
      <c r="DW132" s="118">
        <f t="shared" si="189"/>
        <v>0</v>
      </c>
      <c r="DX132" s="118">
        <f t="shared" si="190"/>
        <v>0</v>
      </c>
      <c r="DY132" s="118">
        <f t="shared" si="191"/>
        <v>0</v>
      </c>
      <c r="DZ132" s="118">
        <f t="shared" si="192"/>
        <v>0</v>
      </c>
      <c r="EA132" s="118">
        <f t="shared" si="193"/>
        <v>0</v>
      </c>
      <c r="EB132" s="118">
        <f t="shared" si="194"/>
        <v>0</v>
      </c>
      <c r="EC132" s="118">
        <f t="shared" si="195"/>
        <v>0</v>
      </c>
      <c r="ED132" s="118">
        <f t="shared" si="196"/>
        <v>0</v>
      </c>
      <c r="EE132" s="118">
        <f t="shared" si="197"/>
        <v>0</v>
      </c>
      <c r="EF132" s="118">
        <f t="shared" si="198"/>
        <v>0</v>
      </c>
      <c r="EG132" s="118">
        <f t="shared" si="199"/>
        <v>0</v>
      </c>
      <c r="EH132" s="118">
        <f t="shared" si="200"/>
        <v>0</v>
      </c>
      <c r="EI132" s="118">
        <f t="shared" si="201"/>
        <v>0</v>
      </c>
      <c r="EJ132" s="118">
        <f t="shared" si="202"/>
        <v>0</v>
      </c>
      <c r="EK132" s="118">
        <f t="shared" si="203"/>
        <v>0</v>
      </c>
      <c r="EL132" s="118">
        <f t="shared" si="204"/>
        <v>0</v>
      </c>
      <c r="EM132" s="118">
        <f t="shared" si="205"/>
        <v>0</v>
      </c>
      <c r="EN132" s="118">
        <f t="shared" si="206"/>
        <v>0</v>
      </c>
      <c r="EO132" s="118">
        <f t="shared" si="207"/>
        <v>0</v>
      </c>
      <c r="EP132" s="118">
        <f t="shared" si="208"/>
        <v>0</v>
      </c>
      <c r="EQ132" s="118">
        <f t="shared" si="209"/>
        <v>0</v>
      </c>
      <c r="ER132" s="118">
        <f t="shared" si="210"/>
        <v>0</v>
      </c>
      <c r="ES132" s="118">
        <f t="shared" si="211"/>
        <v>0</v>
      </c>
      <c r="ET132" s="177">
        <f t="shared" si="212"/>
        <v>0</v>
      </c>
      <c r="EU132" s="72"/>
      <c r="EV132" s="117">
        <f t="shared" si="213"/>
        <v>4280.2507739087523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4"/>
        <v>0</v>
      </c>
    </row>
    <row r="133" spans="109:193">
      <c r="DE133" s="117">
        <f t="shared" si="171"/>
        <v>4408.658297126015</v>
      </c>
      <c r="DF133" s="118">
        <f t="shared" si="172"/>
        <v>0</v>
      </c>
      <c r="DG133" s="118">
        <f t="shared" si="173"/>
        <v>0</v>
      </c>
      <c r="DH133" s="118">
        <f t="shared" si="174"/>
        <v>0</v>
      </c>
      <c r="DI133" s="118">
        <f t="shared" si="175"/>
        <v>0</v>
      </c>
      <c r="DJ133" s="118">
        <f t="shared" si="176"/>
        <v>0</v>
      </c>
      <c r="DK133" s="118">
        <f t="shared" si="177"/>
        <v>0</v>
      </c>
      <c r="DL133" s="118">
        <f t="shared" si="178"/>
        <v>0</v>
      </c>
      <c r="DM133" s="118">
        <f t="shared" si="179"/>
        <v>0</v>
      </c>
      <c r="DN133" s="118">
        <f t="shared" si="180"/>
        <v>0</v>
      </c>
      <c r="DO133" s="118">
        <f t="shared" si="181"/>
        <v>0</v>
      </c>
      <c r="DP133" s="118">
        <f t="shared" si="182"/>
        <v>0</v>
      </c>
      <c r="DQ133" s="118">
        <f t="shared" si="183"/>
        <v>0</v>
      </c>
      <c r="DR133" s="118">
        <f t="shared" si="184"/>
        <v>0</v>
      </c>
      <c r="DS133" s="118">
        <f t="shared" si="185"/>
        <v>0</v>
      </c>
      <c r="DT133" s="118">
        <f t="shared" si="186"/>
        <v>0</v>
      </c>
      <c r="DU133" s="118">
        <f t="shared" si="187"/>
        <v>0</v>
      </c>
      <c r="DV133" s="118">
        <f t="shared" si="188"/>
        <v>0</v>
      </c>
      <c r="DW133" s="118">
        <f t="shared" si="189"/>
        <v>0</v>
      </c>
      <c r="DX133" s="118">
        <f t="shared" si="190"/>
        <v>0</v>
      </c>
      <c r="DY133" s="118">
        <f t="shared" si="191"/>
        <v>0</v>
      </c>
      <c r="DZ133" s="118">
        <f t="shared" si="192"/>
        <v>0</v>
      </c>
      <c r="EA133" s="118">
        <f t="shared" si="193"/>
        <v>0</v>
      </c>
      <c r="EB133" s="118">
        <f t="shared" si="194"/>
        <v>0</v>
      </c>
      <c r="EC133" s="118">
        <f t="shared" si="195"/>
        <v>0</v>
      </c>
      <c r="ED133" s="118">
        <f t="shared" si="196"/>
        <v>0</v>
      </c>
      <c r="EE133" s="118">
        <f t="shared" si="197"/>
        <v>0</v>
      </c>
      <c r="EF133" s="118">
        <f t="shared" si="198"/>
        <v>0</v>
      </c>
      <c r="EG133" s="118">
        <f t="shared" si="199"/>
        <v>0</v>
      </c>
      <c r="EH133" s="118">
        <f t="shared" si="200"/>
        <v>0</v>
      </c>
      <c r="EI133" s="118">
        <f t="shared" si="201"/>
        <v>0</v>
      </c>
      <c r="EJ133" s="118">
        <f t="shared" si="202"/>
        <v>0</v>
      </c>
      <c r="EK133" s="118">
        <f t="shared" si="203"/>
        <v>0</v>
      </c>
      <c r="EL133" s="118">
        <f t="shared" si="204"/>
        <v>0</v>
      </c>
      <c r="EM133" s="118">
        <f t="shared" si="205"/>
        <v>0</v>
      </c>
      <c r="EN133" s="118">
        <f t="shared" si="206"/>
        <v>0</v>
      </c>
      <c r="EO133" s="118">
        <f t="shared" si="207"/>
        <v>0</v>
      </c>
      <c r="EP133" s="118">
        <f t="shared" si="208"/>
        <v>0</v>
      </c>
      <c r="EQ133" s="118">
        <f t="shared" si="209"/>
        <v>0</v>
      </c>
      <c r="ER133" s="118">
        <f t="shared" si="210"/>
        <v>0</v>
      </c>
      <c r="ES133" s="118">
        <f t="shared" si="211"/>
        <v>0</v>
      </c>
      <c r="ET133" s="177">
        <f t="shared" si="212"/>
        <v>0</v>
      </c>
      <c r="EU133" s="72"/>
      <c r="EV133" s="117">
        <f t="shared" si="213"/>
        <v>4408.658297126015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4"/>
        <v>0</v>
      </c>
    </row>
    <row r="134" spans="109:193">
      <c r="DE134" s="167">
        <f t="shared" si="171"/>
        <v>4540.9180460397956</v>
      </c>
      <c r="DF134" s="168">
        <f t="shared" si="172"/>
        <v>0</v>
      </c>
      <c r="DG134" s="168">
        <f t="shared" si="173"/>
        <v>0</v>
      </c>
      <c r="DH134" s="168">
        <f t="shared" si="174"/>
        <v>0</v>
      </c>
      <c r="DI134" s="168">
        <f t="shared" si="175"/>
        <v>0</v>
      </c>
      <c r="DJ134" s="168">
        <f t="shared" si="176"/>
        <v>0</v>
      </c>
      <c r="DK134" s="168">
        <f t="shared" si="177"/>
        <v>0</v>
      </c>
      <c r="DL134" s="168">
        <f t="shared" si="178"/>
        <v>0</v>
      </c>
      <c r="DM134" s="168">
        <f t="shared" si="179"/>
        <v>0</v>
      </c>
      <c r="DN134" s="168">
        <f t="shared" si="180"/>
        <v>0</v>
      </c>
      <c r="DO134" s="168">
        <f t="shared" si="181"/>
        <v>0</v>
      </c>
      <c r="DP134" s="168">
        <f t="shared" si="182"/>
        <v>0</v>
      </c>
      <c r="DQ134" s="168">
        <f t="shared" si="183"/>
        <v>0</v>
      </c>
      <c r="DR134" s="168">
        <f t="shared" si="184"/>
        <v>0</v>
      </c>
      <c r="DS134" s="168">
        <f t="shared" si="185"/>
        <v>0</v>
      </c>
      <c r="DT134" s="168">
        <f t="shared" si="186"/>
        <v>0</v>
      </c>
      <c r="DU134" s="168">
        <f t="shared" si="187"/>
        <v>0</v>
      </c>
      <c r="DV134" s="168">
        <f t="shared" si="188"/>
        <v>0</v>
      </c>
      <c r="DW134" s="168">
        <f t="shared" si="189"/>
        <v>0</v>
      </c>
      <c r="DX134" s="168">
        <f t="shared" si="190"/>
        <v>0</v>
      </c>
      <c r="DY134" s="168">
        <f t="shared" si="191"/>
        <v>0</v>
      </c>
      <c r="DZ134" s="168">
        <f t="shared" si="192"/>
        <v>0</v>
      </c>
      <c r="EA134" s="168">
        <f t="shared" si="193"/>
        <v>0</v>
      </c>
      <c r="EB134" s="168">
        <f t="shared" si="194"/>
        <v>0</v>
      </c>
      <c r="EC134" s="168">
        <f t="shared" si="195"/>
        <v>0</v>
      </c>
      <c r="ED134" s="168">
        <f t="shared" si="196"/>
        <v>0</v>
      </c>
      <c r="EE134" s="168">
        <f t="shared" si="197"/>
        <v>0</v>
      </c>
      <c r="EF134" s="168">
        <f t="shared" si="198"/>
        <v>0</v>
      </c>
      <c r="EG134" s="168">
        <f t="shared" si="199"/>
        <v>0</v>
      </c>
      <c r="EH134" s="168">
        <f t="shared" si="200"/>
        <v>0</v>
      </c>
      <c r="EI134" s="168">
        <f t="shared" si="201"/>
        <v>0</v>
      </c>
      <c r="EJ134" s="168">
        <f t="shared" si="202"/>
        <v>0</v>
      </c>
      <c r="EK134" s="168">
        <f t="shared" si="203"/>
        <v>0</v>
      </c>
      <c r="EL134" s="168">
        <f t="shared" si="204"/>
        <v>0</v>
      </c>
      <c r="EM134" s="168">
        <f t="shared" si="205"/>
        <v>0</v>
      </c>
      <c r="EN134" s="168">
        <f t="shared" si="206"/>
        <v>0</v>
      </c>
      <c r="EO134" s="168">
        <f t="shared" si="207"/>
        <v>0</v>
      </c>
      <c r="EP134" s="168">
        <f t="shared" si="208"/>
        <v>0</v>
      </c>
      <c r="EQ134" s="168">
        <f t="shared" si="209"/>
        <v>0</v>
      </c>
      <c r="ER134" s="168">
        <f t="shared" si="210"/>
        <v>0</v>
      </c>
      <c r="ES134" s="168">
        <f t="shared" si="211"/>
        <v>0</v>
      </c>
      <c r="ET134" s="191">
        <f t="shared" si="212"/>
        <v>0</v>
      </c>
      <c r="EU134" s="72"/>
      <c r="EV134" s="167">
        <f t="shared" si="213"/>
        <v>4540.9180460397956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4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77" priority="453">
      <formula>AC3&gt;0</formula>
    </cfRule>
  </conditionalFormatting>
  <conditionalFormatting sqref="AD3 AD27:AD42">
    <cfRule type="expression" dxfId="476" priority="454">
      <formula>AC3&lt;0</formula>
    </cfRule>
  </conditionalFormatting>
  <conditionalFormatting sqref="M3:N34">
    <cfRule type="cellIs" dxfId="475" priority="455" operator="greaterThan">
      <formula>0</formula>
    </cfRule>
  </conditionalFormatting>
  <conditionalFormatting sqref="M3:N34">
    <cfRule type="cellIs" dxfId="474" priority="456" operator="lessThan">
      <formula>0</formula>
    </cfRule>
  </conditionalFormatting>
  <conditionalFormatting sqref="B73:B74 B17:B18 B20:B30 AC3:AC17">
    <cfRule type="cellIs" dxfId="473" priority="457" operator="greaterThan">
      <formula>0</formula>
    </cfRule>
  </conditionalFormatting>
  <conditionalFormatting sqref="B73:B74 B17:B18 B20:B30 AC3:AC17">
    <cfRule type="cellIs" dxfId="472" priority="458" operator="lessThan">
      <formula>0</formula>
    </cfRule>
  </conditionalFormatting>
  <conditionalFormatting sqref="BA61:BA76">
    <cfRule type="cellIs" dxfId="471" priority="459" operator="greaterThan">
      <formula>0</formula>
    </cfRule>
  </conditionalFormatting>
  <conditionalFormatting sqref="BA61:BA76">
    <cfRule type="cellIs" dxfId="470" priority="460" operator="lessThan">
      <formula>0</formula>
    </cfRule>
  </conditionalFormatting>
  <conditionalFormatting sqref="BA6:BA8">
    <cfRule type="cellIs" dxfId="469" priority="461" operator="greaterThan">
      <formula>0</formula>
    </cfRule>
  </conditionalFormatting>
  <conditionalFormatting sqref="BA6:BA8">
    <cfRule type="cellIs" dxfId="468" priority="462" operator="lessThan">
      <formula>0</formula>
    </cfRule>
  </conditionalFormatting>
  <conditionalFormatting sqref="B43 B17:B18 B41 B20:B30 Q3 AC3:AC42">
    <cfRule type="cellIs" dxfId="467" priority="463" operator="greaterThan">
      <formula>0</formula>
    </cfRule>
  </conditionalFormatting>
  <conditionalFormatting sqref="B43 B17:B18 B41 B20:B30 Q3 AC3:AC42">
    <cfRule type="cellIs" dxfId="466" priority="464" operator="lessThan">
      <formula>0</formula>
    </cfRule>
  </conditionalFormatting>
  <conditionalFormatting sqref="B30">
    <cfRule type="cellIs" dxfId="465" priority="465" operator="greaterThan">
      <formula>0</formula>
    </cfRule>
  </conditionalFormatting>
  <conditionalFormatting sqref="B30">
    <cfRule type="cellIs" dxfId="464" priority="466" operator="lessThan">
      <formula>0</formula>
    </cfRule>
  </conditionalFormatting>
  <conditionalFormatting sqref="B75">
    <cfRule type="cellIs" dxfId="463" priority="467" operator="greaterThan">
      <formula>0</formula>
    </cfRule>
  </conditionalFormatting>
  <conditionalFormatting sqref="B75">
    <cfRule type="cellIs" dxfId="462" priority="468" operator="lessThan">
      <formula>0</formula>
    </cfRule>
  </conditionalFormatting>
  <conditionalFormatting sqref="BA9">
    <cfRule type="cellIs" dxfId="461" priority="469" operator="greaterThan">
      <formula>0</formula>
    </cfRule>
  </conditionalFormatting>
  <conditionalFormatting sqref="BA9">
    <cfRule type="cellIs" dxfId="460" priority="470" operator="lessThan">
      <formula>0</formula>
    </cfRule>
  </conditionalFormatting>
  <conditionalFormatting sqref="AU14:AU16">
    <cfRule type="cellIs" dxfId="459" priority="471" operator="greaterThan">
      <formula>0</formula>
    </cfRule>
  </conditionalFormatting>
  <conditionalFormatting sqref="AU14:AU16">
    <cfRule type="cellIs" dxfId="458" priority="472" operator="lessThan">
      <formula>0</formula>
    </cfRule>
  </conditionalFormatting>
  <conditionalFormatting sqref="AU28">
    <cfRule type="cellIs" dxfId="457" priority="473" operator="greaterThan">
      <formula>0</formula>
    </cfRule>
  </conditionalFormatting>
  <conditionalFormatting sqref="AU28">
    <cfRule type="cellIs" dxfId="456" priority="474" operator="lessThan">
      <formula>0</formula>
    </cfRule>
  </conditionalFormatting>
  <conditionalFormatting sqref="BA27">
    <cfRule type="cellIs" dxfId="455" priority="475" operator="greaterThan">
      <formula>0</formula>
    </cfRule>
  </conditionalFormatting>
  <conditionalFormatting sqref="BA27">
    <cfRule type="cellIs" dxfId="454" priority="476" operator="lessThan">
      <formula>0</formula>
    </cfRule>
  </conditionalFormatting>
  <conditionalFormatting sqref="BA22">
    <cfRule type="cellIs" dxfId="453" priority="477" operator="greaterThan">
      <formula>0</formula>
    </cfRule>
  </conditionalFormatting>
  <conditionalFormatting sqref="BA22">
    <cfRule type="cellIs" dxfId="452" priority="478" operator="lessThan">
      <formula>0</formula>
    </cfRule>
  </conditionalFormatting>
  <conditionalFormatting sqref="AU16:AU42">
    <cfRule type="cellIs" dxfId="451" priority="479" operator="greaterThan">
      <formula>0</formula>
    </cfRule>
  </conditionalFormatting>
  <conditionalFormatting sqref="AU16:AU42">
    <cfRule type="cellIs" dxfId="450" priority="480" operator="lessThan">
      <formula>0</formula>
    </cfRule>
  </conditionalFormatting>
  <conditionalFormatting sqref="AU24:AU27">
    <cfRule type="cellIs" dxfId="449" priority="481" operator="greaterThan">
      <formula>0</formula>
    </cfRule>
  </conditionalFormatting>
  <conditionalFormatting sqref="AU24:AU27">
    <cfRule type="cellIs" dxfId="448" priority="482" operator="lessThan">
      <formula>0</formula>
    </cfRule>
  </conditionalFormatting>
  <conditionalFormatting sqref="BA10:BA11 BA16:BA18 BA20:BA42">
    <cfRule type="cellIs" dxfId="447" priority="483" operator="greaterThan">
      <formula>0</formula>
    </cfRule>
  </conditionalFormatting>
  <conditionalFormatting sqref="BA10:BA11 BA16:BA18 BA20:BA42">
    <cfRule type="cellIs" dxfId="446" priority="484" operator="lessThan">
      <formula>0</formula>
    </cfRule>
  </conditionalFormatting>
  <conditionalFormatting sqref="BA12:BA15">
    <cfRule type="cellIs" dxfId="445" priority="485" operator="greaterThan">
      <formula>0</formula>
    </cfRule>
  </conditionalFormatting>
  <conditionalFormatting sqref="BA12:BA15">
    <cfRule type="cellIs" dxfId="444" priority="486" operator="lessThan">
      <formula>0</formula>
    </cfRule>
  </conditionalFormatting>
  <conditionalFormatting sqref="BA19">
    <cfRule type="cellIs" dxfId="443" priority="487" operator="greaterThan">
      <formula>0</formula>
    </cfRule>
  </conditionalFormatting>
  <conditionalFormatting sqref="BA19">
    <cfRule type="cellIs" dxfId="442" priority="488" operator="lessThan">
      <formula>0</formula>
    </cfRule>
  </conditionalFormatting>
  <conditionalFormatting sqref="AU29:AU36">
    <cfRule type="cellIs" dxfId="441" priority="489" operator="greaterThan">
      <formula>0</formula>
    </cfRule>
  </conditionalFormatting>
  <conditionalFormatting sqref="AU29:AU36">
    <cfRule type="cellIs" dxfId="440" priority="490" operator="lessThan">
      <formula>0</formula>
    </cfRule>
  </conditionalFormatting>
  <conditionalFormatting sqref="BA23:BA24">
    <cfRule type="cellIs" dxfId="439" priority="491" operator="greaterThan">
      <formula>0</formula>
    </cfRule>
  </conditionalFormatting>
  <conditionalFormatting sqref="BA23:BA24">
    <cfRule type="cellIs" dxfId="438" priority="492" operator="lessThan">
      <formula>0</formula>
    </cfRule>
  </conditionalFormatting>
  <conditionalFormatting sqref="BA25:BA26">
    <cfRule type="cellIs" dxfId="437" priority="493" operator="greaterThan">
      <formula>0</formula>
    </cfRule>
  </conditionalFormatting>
  <conditionalFormatting sqref="BA25:BA26">
    <cfRule type="cellIs" dxfId="436" priority="494" operator="lessThan">
      <formula>0</formula>
    </cfRule>
  </conditionalFormatting>
  <conditionalFormatting sqref="AU61:AU76">
    <cfRule type="cellIs" dxfId="435" priority="495" operator="greaterThan">
      <formula>0</formula>
    </cfRule>
  </conditionalFormatting>
  <conditionalFormatting sqref="AU61:AU76">
    <cfRule type="cellIs" dxfId="434" priority="496" operator="lessThan">
      <formula>0</formula>
    </cfRule>
  </conditionalFormatting>
  <conditionalFormatting sqref="AU50:AU53 AU55:AU68">
    <cfRule type="cellIs" dxfId="433" priority="497" operator="greaterThan">
      <formula>0</formula>
    </cfRule>
  </conditionalFormatting>
  <conditionalFormatting sqref="AU50:AU53 AU55:AU68">
    <cfRule type="cellIs" dxfId="432" priority="498" operator="lessThan">
      <formula>0</formula>
    </cfRule>
  </conditionalFormatting>
  <conditionalFormatting sqref="AU50">
    <cfRule type="cellIs" dxfId="431" priority="499" operator="greaterThan">
      <formula>0</formula>
    </cfRule>
  </conditionalFormatting>
  <conditionalFormatting sqref="AU50">
    <cfRule type="cellIs" dxfId="430" priority="500" operator="lessThan">
      <formula>0</formula>
    </cfRule>
  </conditionalFormatting>
  <conditionalFormatting sqref="AU70">
    <cfRule type="cellIs" dxfId="429" priority="501" operator="greaterThan">
      <formula>0</formula>
    </cfRule>
  </conditionalFormatting>
  <conditionalFormatting sqref="AU70">
    <cfRule type="cellIs" dxfId="428" priority="502" operator="lessThan">
      <formula>0</formula>
    </cfRule>
  </conditionalFormatting>
  <conditionalFormatting sqref="AU35:AU47 AU50">
    <cfRule type="cellIs" dxfId="427" priority="503" operator="greaterThan">
      <formula>0</formula>
    </cfRule>
  </conditionalFormatting>
  <conditionalFormatting sqref="AU35:AU47 AU50">
    <cfRule type="cellIs" dxfId="426" priority="504" operator="lessThan">
      <formula>0</formula>
    </cfRule>
  </conditionalFormatting>
  <conditionalFormatting sqref="AU43:AU47 AU50">
    <cfRule type="cellIs" dxfId="425" priority="505" operator="greaterThan">
      <formula>0</formula>
    </cfRule>
  </conditionalFormatting>
  <conditionalFormatting sqref="AU43:AU47 AU50">
    <cfRule type="cellIs" dxfId="424" priority="506" operator="lessThan">
      <formula>0</formula>
    </cfRule>
  </conditionalFormatting>
  <conditionalFormatting sqref="AU69">
    <cfRule type="cellIs" dxfId="423" priority="507" operator="greaterThan">
      <formula>0</formula>
    </cfRule>
  </conditionalFormatting>
  <conditionalFormatting sqref="AU69">
    <cfRule type="cellIs" dxfId="422" priority="508" operator="lessThan">
      <formula>0</formula>
    </cfRule>
  </conditionalFormatting>
  <conditionalFormatting sqref="AU59">
    <cfRule type="cellIs" dxfId="421" priority="509" operator="greaterThan">
      <formula>0</formula>
    </cfRule>
  </conditionalFormatting>
  <conditionalFormatting sqref="AU59">
    <cfRule type="cellIs" dxfId="420" priority="510" operator="lessThan">
      <formula>0</formula>
    </cfRule>
  </conditionalFormatting>
  <conditionalFormatting sqref="AU47:AU50">
    <cfRule type="cellIs" dxfId="419" priority="511" operator="greaterThan">
      <formula>0</formula>
    </cfRule>
  </conditionalFormatting>
  <conditionalFormatting sqref="AU47:AU50">
    <cfRule type="cellIs" dxfId="418" priority="512" operator="lessThan">
      <formula>0</formula>
    </cfRule>
  </conditionalFormatting>
  <conditionalFormatting sqref="AU59">
    <cfRule type="cellIs" dxfId="417" priority="513" operator="greaterThan">
      <formula>0</formula>
    </cfRule>
  </conditionalFormatting>
  <conditionalFormatting sqref="AU59">
    <cfRule type="cellIs" dxfId="416" priority="514" operator="lessThan">
      <formula>0</formula>
    </cfRule>
  </conditionalFormatting>
  <conditionalFormatting sqref="AU60">
    <cfRule type="cellIs" dxfId="415" priority="515" operator="greaterThan">
      <formula>0</formula>
    </cfRule>
  </conditionalFormatting>
  <conditionalFormatting sqref="AU60">
    <cfRule type="cellIs" dxfId="414" priority="516" operator="lessThan">
      <formula>0</formula>
    </cfRule>
  </conditionalFormatting>
  <conditionalFormatting sqref="AU61:AU63">
    <cfRule type="cellIs" dxfId="413" priority="517" operator="greaterThan">
      <formula>0</formula>
    </cfRule>
  </conditionalFormatting>
  <conditionalFormatting sqref="AU61:AU63">
    <cfRule type="cellIs" dxfId="412" priority="518" operator="lessThan">
      <formula>0</formula>
    </cfRule>
  </conditionalFormatting>
  <conditionalFormatting sqref="AU63">
    <cfRule type="cellIs" dxfId="411" priority="519" operator="greaterThan">
      <formula>0</formula>
    </cfRule>
  </conditionalFormatting>
  <conditionalFormatting sqref="AU63">
    <cfRule type="cellIs" dxfId="410" priority="520" operator="lessThan">
      <formula>0</formula>
    </cfRule>
  </conditionalFormatting>
  <conditionalFormatting sqref="AU64:AU65">
    <cfRule type="cellIs" dxfId="409" priority="521" operator="greaterThan">
      <formula>0</formula>
    </cfRule>
  </conditionalFormatting>
  <conditionalFormatting sqref="AU64:AU65">
    <cfRule type="cellIs" dxfId="408" priority="522" operator="lessThan">
      <formula>0</formula>
    </cfRule>
  </conditionalFormatting>
  <conditionalFormatting sqref="AU52:AU54">
    <cfRule type="cellIs" dxfId="407" priority="523" operator="greaterThan">
      <formula>0</formula>
    </cfRule>
  </conditionalFormatting>
  <conditionalFormatting sqref="AU52:AU54">
    <cfRule type="cellIs" dxfId="406" priority="524" operator="lessThan">
      <formula>0</formula>
    </cfRule>
  </conditionalFormatting>
  <conditionalFormatting sqref="AU65">
    <cfRule type="cellIs" dxfId="405" priority="525" operator="greaterThan">
      <formula>0</formula>
    </cfRule>
  </conditionalFormatting>
  <conditionalFormatting sqref="AU65">
    <cfRule type="cellIs" dxfId="404" priority="526" operator="lessThan">
      <formula>0</formula>
    </cfRule>
  </conditionalFormatting>
  <conditionalFormatting sqref="AU64">
    <cfRule type="cellIs" dxfId="403" priority="527" operator="greaterThan">
      <formula>0</formula>
    </cfRule>
  </conditionalFormatting>
  <conditionalFormatting sqref="AU64">
    <cfRule type="cellIs" dxfId="402" priority="528" operator="lessThan">
      <formula>0</formula>
    </cfRule>
  </conditionalFormatting>
  <conditionalFormatting sqref="AU54">
    <cfRule type="cellIs" dxfId="401" priority="529" operator="greaterThan">
      <formula>0</formula>
    </cfRule>
  </conditionalFormatting>
  <conditionalFormatting sqref="AU54">
    <cfRule type="cellIs" dxfId="400" priority="530" operator="lessThan">
      <formula>0</formula>
    </cfRule>
  </conditionalFormatting>
  <conditionalFormatting sqref="AU54">
    <cfRule type="cellIs" dxfId="399" priority="531" operator="greaterThan">
      <formula>0</formula>
    </cfRule>
  </conditionalFormatting>
  <conditionalFormatting sqref="AU54">
    <cfRule type="cellIs" dxfId="398" priority="532" operator="lessThan">
      <formula>0</formula>
    </cfRule>
  </conditionalFormatting>
  <conditionalFormatting sqref="AU55:AU68">
    <cfRule type="cellIs" dxfId="397" priority="533" operator="greaterThan">
      <formula>0</formula>
    </cfRule>
  </conditionalFormatting>
  <conditionalFormatting sqref="AU55:AU68">
    <cfRule type="cellIs" dxfId="396" priority="534" operator="lessThan">
      <formula>0</formula>
    </cfRule>
  </conditionalFormatting>
  <conditionalFormatting sqref="AU56:AU58">
    <cfRule type="cellIs" dxfId="395" priority="535" operator="greaterThan">
      <formula>0</formula>
    </cfRule>
  </conditionalFormatting>
  <conditionalFormatting sqref="AU56:AU58">
    <cfRule type="cellIs" dxfId="394" priority="536" operator="lessThan">
      <formula>0</formula>
    </cfRule>
  </conditionalFormatting>
  <conditionalFormatting sqref="AU58">
    <cfRule type="cellIs" dxfId="393" priority="537" operator="greaterThan">
      <formula>0</formula>
    </cfRule>
  </conditionalFormatting>
  <conditionalFormatting sqref="AU58">
    <cfRule type="cellIs" dxfId="392" priority="538" operator="lessThan">
      <formula>0</formula>
    </cfRule>
  </conditionalFormatting>
  <conditionalFormatting sqref="AU59:AU60">
    <cfRule type="cellIs" dxfId="391" priority="539" operator="greaterThan">
      <formula>0</formula>
    </cfRule>
  </conditionalFormatting>
  <conditionalFormatting sqref="AU59:AU60">
    <cfRule type="cellIs" dxfId="390" priority="540" operator="lessThan">
      <formula>0</formula>
    </cfRule>
  </conditionalFormatting>
  <conditionalFormatting sqref="BA28:BA29 BA34:BA36 BA38:BA68">
    <cfRule type="cellIs" dxfId="389" priority="541" operator="greaterThan">
      <formula>0</formula>
    </cfRule>
  </conditionalFormatting>
  <conditionalFormatting sqref="BA28:BA29 BA34:BA36 BA38:BA68">
    <cfRule type="cellIs" dxfId="388" priority="542" operator="lessThan">
      <formula>0</formula>
    </cfRule>
  </conditionalFormatting>
  <conditionalFormatting sqref="BA30:BA33">
    <cfRule type="cellIs" dxfId="387" priority="543" operator="greaterThan">
      <formula>0</formula>
    </cfRule>
  </conditionalFormatting>
  <conditionalFormatting sqref="BA30:BA33">
    <cfRule type="cellIs" dxfId="386" priority="544" operator="lessThan">
      <formula>0</formula>
    </cfRule>
  </conditionalFormatting>
  <conditionalFormatting sqref="BA57">
    <cfRule type="cellIs" dxfId="385" priority="545" operator="greaterThan">
      <formula>0</formula>
    </cfRule>
  </conditionalFormatting>
  <conditionalFormatting sqref="BA57">
    <cfRule type="cellIs" dxfId="384" priority="546" operator="lessThan">
      <formula>0</formula>
    </cfRule>
  </conditionalFormatting>
  <conditionalFormatting sqref="BA37">
    <cfRule type="cellIs" dxfId="383" priority="547" operator="greaterThan">
      <formula>0</formula>
    </cfRule>
  </conditionalFormatting>
  <conditionalFormatting sqref="BA37">
    <cfRule type="cellIs" dxfId="382" priority="548" operator="lessThan">
      <formula>0</formula>
    </cfRule>
  </conditionalFormatting>
  <conditionalFormatting sqref="AU5:AU14">
    <cfRule type="cellIs" dxfId="381" priority="549" operator="greaterThan">
      <formula>0</formula>
    </cfRule>
  </conditionalFormatting>
  <conditionalFormatting sqref="AU5:AU14">
    <cfRule type="cellIs" dxfId="380" priority="550" operator="lessThan">
      <formula>0</formula>
    </cfRule>
  </conditionalFormatting>
  <conditionalFormatting sqref="AU13">
    <cfRule type="cellIs" dxfId="379" priority="551" operator="greaterThan">
      <formula>0</formula>
    </cfRule>
  </conditionalFormatting>
  <conditionalFormatting sqref="AU13">
    <cfRule type="cellIs" dxfId="378" priority="552" operator="lessThan">
      <formula>0</formula>
    </cfRule>
  </conditionalFormatting>
  <conditionalFormatting sqref="B65:B72">
    <cfRule type="cellIs" dxfId="377" priority="553" operator="greaterThan">
      <formula>0</formula>
    </cfRule>
  </conditionalFormatting>
  <conditionalFormatting sqref="B65:B72">
    <cfRule type="cellIs" dxfId="376" priority="554" operator="lessThan">
      <formula>0</formula>
    </cfRule>
  </conditionalFormatting>
  <conditionalFormatting sqref="BG3:BG76">
    <cfRule type="cellIs" dxfId="375" priority="555" operator="greaterThan">
      <formula>0</formula>
    </cfRule>
  </conditionalFormatting>
  <conditionalFormatting sqref="BG3:BG76">
    <cfRule type="cellIs" dxfId="374" priority="556" operator="lessThan">
      <formula>0</formula>
    </cfRule>
  </conditionalFormatting>
  <conditionalFormatting sqref="AU21">
    <cfRule type="cellIs" dxfId="373" priority="557" operator="greaterThan">
      <formula>0</formula>
    </cfRule>
  </conditionalFormatting>
  <conditionalFormatting sqref="AU21">
    <cfRule type="cellIs" dxfId="372" priority="558" operator="lessThan">
      <formula>0</formula>
    </cfRule>
  </conditionalFormatting>
  <conditionalFormatting sqref="AU21">
    <cfRule type="cellIs" dxfId="371" priority="559" operator="greaterThan">
      <formula>0</formula>
    </cfRule>
  </conditionalFormatting>
  <conditionalFormatting sqref="AU21">
    <cfRule type="cellIs" dxfId="370" priority="560" operator="lessThan">
      <formula>0</formula>
    </cfRule>
  </conditionalFormatting>
  <conditionalFormatting sqref="AU14">
    <cfRule type="cellIs" dxfId="369" priority="561" operator="greaterThan">
      <formula>0</formula>
    </cfRule>
  </conditionalFormatting>
  <conditionalFormatting sqref="AU14">
    <cfRule type="cellIs" dxfId="368" priority="562" operator="lessThan">
      <formula>0</formula>
    </cfRule>
  </conditionalFormatting>
  <conditionalFormatting sqref="AU22">
    <cfRule type="cellIs" dxfId="367" priority="563" operator="greaterThan">
      <formula>0</formula>
    </cfRule>
  </conditionalFormatting>
  <conditionalFormatting sqref="AU22">
    <cfRule type="cellIs" dxfId="366" priority="564" operator="lessThan">
      <formula>0</formula>
    </cfRule>
  </conditionalFormatting>
  <conditionalFormatting sqref="AU22">
    <cfRule type="cellIs" dxfId="365" priority="565" operator="greaterThan">
      <formula>0</formula>
    </cfRule>
  </conditionalFormatting>
  <conditionalFormatting sqref="AU22">
    <cfRule type="cellIs" dxfId="364" priority="566" operator="lessThan">
      <formula>0</formula>
    </cfRule>
  </conditionalFormatting>
  <conditionalFormatting sqref="B64">
    <cfRule type="cellIs" dxfId="363" priority="567" operator="greaterThan">
      <formula>0</formula>
    </cfRule>
  </conditionalFormatting>
  <conditionalFormatting sqref="B64">
    <cfRule type="cellIs" dxfId="362" priority="568" operator="lessThan">
      <formula>0</formula>
    </cfRule>
  </conditionalFormatting>
  <conditionalFormatting sqref="B41 B43:B72 AC3:AC42">
    <cfRule type="cellIs" dxfId="361" priority="569" operator="greaterThan">
      <formula>0</formula>
    </cfRule>
  </conditionalFormatting>
  <conditionalFormatting sqref="B41 B43:B72 AC3:AC42">
    <cfRule type="cellIs" dxfId="360" priority="570" operator="lessThan">
      <formula>0</formula>
    </cfRule>
  </conditionalFormatting>
  <conditionalFormatting sqref="B41 B43:B72">
    <cfRule type="cellIs" dxfId="359" priority="571" operator="greaterThan">
      <formula>0</formula>
    </cfRule>
  </conditionalFormatting>
  <conditionalFormatting sqref="B41 B43:B72">
    <cfRule type="cellIs" dxfId="358" priority="572" operator="lessThan">
      <formula>0</formula>
    </cfRule>
  </conditionalFormatting>
  <conditionalFormatting sqref="B29">
    <cfRule type="cellIs" dxfId="357" priority="573" operator="greaterThan">
      <formula>0</formula>
    </cfRule>
  </conditionalFormatting>
  <conditionalFormatting sqref="B29">
    <cfRule type="cellIs" dxfId="356" priority="574" operator="lessThan">
      <formula>0</formula>
    </cfRule>
  </conditionalFormatting>
  <conditionalFormatting sqref="AU3">
    <cfRule type="cellIs" dxfId="355" priority="575" operator="greaterThan">
      <formula>0</formula>
    </cfRule>
  </conditionalFormatting>
  <conditionalFormatting sqref="AU3">
    <cfRule type="cellIs" dxfId="354" priority="576" operator="lessThan">
      <formula>0</formula>
    </cfRule>
  </conditionalFormatting>
  <conditionalFormatting sqref="AU4">
    <cfRule type="cellIs" dxfId="353" priority="577" operator="greaterThan">
      <formula>0</formula>
    </cfRule>
  </conditionalFormatting>
  <conditionalFormatting sqref="AU4">
    <cfRule type="cellIs" dxfId="352" priority="578" operator="lessThan">
      <formula>0</formula>
    </cfRule>
  </conditionalFormatting>
  <conditionalFormatting sqref="BA3">
    <cfRule type="cellIs" dxfId="351" priority="579" operator="greaterThan">
      <formula>0</formula>
    </cfRule>
  </conditionalFormatting>
  <conditionalFormatting sqref="BA3">
    <cfRule type="cellIs" dxfId="350" priority="580" operator="lessThan">
      <formula>0</formula>
    </cfRule>
  </conditionalFormatting>
  <conditionalFormatting sqref="Q3 AC3:AC42">
    <cfRule type="cellIs" dxfId="349" priority="581" operator="greaterThan">
      <formula>0</formula>
    </cfRule>
  </conditionalFormatting>
  <conditionalFormatting sqref="Q3 AC3:AC42">
    <cfRule type="cellIs" dxfId="348" priority="582" operator="lessThan">
      <formula>0</formula>
    </cfRule>
  </conditionalFormatting>
  <conditionalFormatting sqref="N37">
    <cfRule type="cellIs" dxfId="347" priority="583" operator="lessThan">
      <formula>0</formula>
    </cfRule>
  </conditionalFormatting>
  <conditionalFormatting sqref="N37">
    <cfRule type="cellIs" dxfId="346" priority="584" operator="greaterThan">
      <formula>0</formula>
    </cfRule>
  </conditionalFormatting>
  <conditionalFormatting sqref="I3:I37">
    <cfRule type="cellIs" dxfId="345" priority="451" operator="lessThan">
      <formula>0</formula>
    </cfRule>
    <cfRule type="cellIs" dxfId="344" priority="452" operator="greaterThan">
      <formula>0</formula>
    </cfRule>
  </conditionalFormatting>
  <conditionalFormatting sqref="I41:I72">
    <cfRule type="cellIs" dxfId="343" priority="449" operator="lessThan">
      <formula>0</formula>
    </cfRule>
    <cfRule type="cellIs" dxfId="342" priority="450" operator="greaterThan">
      <formula>0</formula>
    </cfRule>
  </conditionalFormatting>
  <conditionalFormatting sqref="I76">
    <cfRule type="cellIs" dxfId="341" priority="447" operator="lessThan">
      <formula>0</formula>
    </cfRule>
    <cfRule type="cellIs" dxfId="340" priority="448" operator="greaterThan">
      <formula>0</formula>
    </cfRule>
  </conditionalFormatting>
  <conditionalFormatting sqref="B5:B6">
    <cfRule type="cellIs" dxfId="339" priority="443" operator="greaterThan">
      <formula>0</formula>
    </cfRule>
  </conditionalFormatting>
  <conditionalFormatting sqref="B5:B6">
    <cfRule type="cellIs" dxfId="338" priority="444" operator="lessThan">
      <formula>0</formula>
    </cfRule>
  </conditionalFormatting>
  <conditionalFormatting sqref="B5:B6">
    <cfRule type="cellIs" dxfId="337" priority="445" operator="greaterThan">
      <formula>0</formula>
    </cfRule>
  </conditionalFormatting>
  <conditionalFormatting sqref="B5:B6">
    <cfRule type="cellIs" dxfId="336" priority="446" operator="lessThan">
      <formula>0</formula>
    </cfRule>
  </conditionalFormatting>
  <conditionalFormatting sqref="AB43">
    <cfRule type="cellIs" dxfId="335" priority="438" operator="greaterThan">
      <formula>0</formula>
    </cfRule>
  </conditionalFormatting>
  <conditionalFormatting sqref="AB43">
    <cfRule type="cellIs" dxfId="334" priority="439" operator="lessThan">
      <formula>0</formula>
    </cfRule>
  </conditionalFormatting>
  <conditionalFormatting sqref="N38">
    <cfRule type="cellIs" dxfId="333" priority="437" operator="lessThan">
      <formula>0</formula>
    </cfRule>
  </conditionalFormatting>
  <conditionalFormatting sqref="N39">
    <cfRule type="cellIs" dxfId="332" priority="436" operator="lessThan">
      <formula>0</formula>
    </cfRule>
  </conditionalFormatting>
  <conditionalFormatting sqref="AA3:AA42">
    <cfRule type="cellIs" dxfId="331" priority="434" operator="equal">
      <formula>0</formula>
    </cfRule>
  </conditionalFormatting>
  <conditionalFormatting sqref="B42">
    <cfRule type="cellIs" dxfId="330" priority="426" operator="greaterThan">
      <formula>0</formula>
    </cfRule>
  </conditionalFormatting>
  <conditionalFormatting sqref="B42">
    <cfRule type="cellIs" dxfId="329" priority="427" operator="lessThan">
      <formula>0</formula>
    </cfRule>
  </conditionalFormatting>
  <conditionalFormatting sqref="B42">
    <cfRule type="cellIs" dxfId="328" priority="428" operator="greaterThan">
      <formula>0</formula>
    </cfRule>
  </conditionalFormatting>
  <conditionalFormatting sqref="B42">
    <cfRule type="cellIs" dxfId="327" priority="429" operator="lessThan">
      <formula>0</formula>
    </cfRule>
  </conditionalFormatting>
  <conditionalFormatting sqref="B42">
    <cfRule type="cellIs" dxfId="326" priority="430" operator="greaterThan">
      <formula>0</formula>
    </cfRule>
  </conditionalFormatting>
  <conditionalFormatting sqref="B42">
    <cfRule type="cellIs" dxfId="325" priority="431" operator="lessThan">
      <formula>0</formula>
    </cfRule>
  </conditionalFormatting>
  <conditionalFormatting sqref="P3">
    <cfRule type="expression" dxfId="324" priority="425">
      <formula>$L$18-$R3&lt;0</formula>
    </cfRule>
  </conditionalFormatting>
  <conditionalFormatting sqref="P3">
    <cfRule type="expression" dxfId="323" priority="423">
      <formula>$L$18-$R3&gt;0</formula>
    </cfRule>
  </conditionalFormatting>
  <conditionalFormatting sqref="BA5">
    <cfRule type="cellIs" dxfId="322" priority="417" operator="greaterThan">
      <formula>0</formula>
    </cfRule>
  </conditionalFormatting>
  <conditionalFormatting sqref="BA5">
    <cfRule type="cellIs" dxfId="321" priority="418" operator="lessThan">
      <formula>0</formula>
    </cfRule>
  </conditionalFormatting>
  <conditionalFormatting sqref="BA4">
    <cfRule type="cellIs" dxfId="320" priority="415" operator="greaterThan">
      <formula>0</formula>
    </cfRule>
  </conditionalFormatting>
  <conditionalFormatting sqref="BA4">
    <cfRule type="cellIs" dxfId="319" priority="416" operator="lessThan">
      <formula>0</formula>
    </cfRule>
  </conditionalFormatting>
  <conditionalFormatting sqref="AB3:AB42">
    <cfRule type="expression" dxfId="318" priority="414">
      <formula>$L$18-$AD3&gt;0</formula>
    </cfRule>
  </conditionalFormatting>
  <conditionalFormatting sqref="AB3:AB42">
    <cfRule type="expression" dxfId="317" priority="413">
      <formula>$L$18-$AD3&lt;0</formula>
    </cfRule>
  </conditionalFormatting>
  <conditionalFormatting sqref="M3:M34">
    <cfRule type="dataBar" priority="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16" priority="411" operator="equal">
      <formula>0</formula>
    </cfRule>
  </conditionalFormatting>
  <conditionalFormatting sqref="B14">
    <cfRule type="cellIs" dxfId="315" priority="404" operator="greaterThan">
      <formula>0</formula>
    </cfRule>
  </conditionalFormatting>
  <conditionalFormatting sqref="B14">
    <cfRule type="cellIs" dxfId="314" priority="405" operator="lessThan">
      <formula>0</formula>
    </cfRule>
  </conditionalFormatting>
  <conditionalFormatting sqref="B14">
    <cfRule type="cellIs" dxfId="313" priority="406" operator="greaterThan">
      <formula>0</formula>
    </cfRule>
  </conditionalFormatting>
  <conditionalFormatting sqref="B14">
    <cfRule type="cellIs" dxfId="312" priority="407" operator="lessThan">
      <formula>0</formula>
    </cfRule>
  </conditionalFormatting>
  <conditionalFormatting sqref="B13">
    <cfRule type="cellIs" dxfId="311" priority="400" operator="greaterThan">
      <formula>0</formula>
    </cfRule>
  </conditionalFormatting>
  <conditionalFormatting sqref="B13">
    <cfRule type="cellIs" dxfId="310" priority="401" operator="lessThan">
      <formula>0</formula>
    </cfRule>
  </conditionalFormatting>
  <conditionalFormatting sqref="B13">
    <cfRule type="cellIs" dxfId="309" priority="402" operator="greaterThan">
      <formula>0</formula>
    </cfRule>
  </conditionalFormatting>
  <conditionalFormatting sqref="B13">
    <cfRule type="cellIs" dxfId="308" priority="403" operator="lessThan">
      <formula>0</formula>
    </cfRule>
  </conditionalFormatting>
  <conditionalFormatting sqref="B17:B18">
    <cfRule type="cellIs" dxfId="307" priority="396" operator="greaterThan">
      <formula>0</formula>
    </cfRule>
  </conditionalFormatting>
  <conditionalFormatting sqref="B17:B18">
    <cfRule type="cellIs" dxfId="306" priority="397" operator="lessThan">
      <formula>0</formula>
    </cfRule>
  </conditionalFormatting>
  <conditionalFormatting sqref="B17:B18">
    <cfRule type="cellIs" dxfId="305" priority="398" operator="greaterThan">
      <formula>0</formula>
    </cfRule>
  </conditionalFormatting>
  <conditionalFormatting sqref="B17:B18">
    <cfRule type="cellIs" dxfId="304" priority="399" operator="lessThan">
      <formula>0</formula>
    </cfRule>
  </conditionalFormatting>
  <conditionalFormatting sqref="B13:B14">
    <cfRule type="cellIs" dxfId="303" priority="392" operator="greaterThan">
      <formula>0</formula>
    </cfRule>
  </conditionalFormatting>
  <conditionalFormatting sqref="B13:B14">
    <cfRule type="cellIs" dxfId="302" priority="393" operator="lessThan">
      <formula>0</formula>
    </cfRule>
  </conditionalFormatting>
  <conditionalFormatting sqref="B13:B14">
    <cfRule type="cellIs" dxfId="301" priority="394" operator="greaterThan">
      <formula>0</formula>
    </cfRule>
  </conditionalFormatting>
  <conditionalFormatting sqref="B13:B14">
    <cfRule type="cellIs" dxfId="300" priority="395" operator="lessThan">
      <formula>0</formula>
    </cfRule>
  </conditionalFormatting>
  <conditionalFormatting sqref="B5:B6">
    <cfRule type="cellIs" dxfId="299" priority="388" operator="greaterThan">
      <formula>0</formula>
    </cfRule>
  </conditionalFormatting>
  <conditionalFormatting sqref="B5:B6">
    <cfRule type="cellIs" dxfId="298" priority="389" operator="lessThan">
      <formula>0</formula>
    </cfRule>
  </conditionalFormatting>
  <conditionalFormatting sqref="B5:B6">
    <cfRule type="cellIs" dxfId="297" priority="390" operator="greaterThan">
      <formula>0</formula>
    </cfRule>
  </conditionalFormatting>
  <conditionalFormatting sqref="B5:B6">
    <cfRule type="cellIs" dxfId="296" priority="391" operator="lessThan">
      <formula>0</formula>
    </cfRule>
  </conditionalFormatting>
  <conditionalFormatting sqref="B12">
    <cfRule type="cellIs" dxfId="295" priority="328" operator="greaterThan">
      <formula>0</formula>
    </cfRule>
  </conditionalFormatting>
  <conditionalFormatting sqref="B12">
    <cfRule type="cellIs" dxfId="294" priority="329" operator="lessThan">
      <formula>0</formula>
    </cfRule>
  </conditionalFormatting>
  <conditionalFormatting sqref="B12">
    <cfRule type="cellIs" dxfId="293" priority="330" operator="greaterThan">
      <formula>0</formula>
    </cfRule>
  </conditionalFormatting>
  <conditionalFormatting sqref="B12">
    <cfRule type="cellIs" dxfId="292" priority="331" operator="lessThan">
      <formula>0</formula>
    </cfRule>
  </conditionalFormatting>
  <conditionalFormatting sqref="B15:B16">
    <cfRule type="cellIs" dxfId="291" priority="384" operator="greaterThan">
      <formula>0</formula>
    </cfRule>
  </conditionalFormatting>
  <conditionalFormatting sqref="B15:B16">
    <cfRule type="cellIs" dxfId="290" priority="385" operator="lessThan">
      <formula>0</formula>
    </cfRule>
  </conditionalFormatting>
  <conditionalFormatting sqref="B15:B16">
    <cfRule type="cellIs" dxfId="289" priority="386" operator="greaterThan">
      <formula>0</formula>
    </cfRule>
  </conditionalFormatting>
  <conditionalFormatting sqref="B15:B16">
    <cfRule type="cellIs" dxfId="288" priority="387" operator="lessThan">
      <formula>0</formula>
    </cfRule>
  </conditionalFormatting>
  <conditionalFormatting sqref="B16">
    <cfRule type="cellIs" dxfId="287" priority="380" operator="greaterThan">
      <formula>0</formula>
    </cfRule>
  </conditionalFormatting>
  <conditionalFormatting sqref="B16">
    <cfRule type="cellIs" dxfId="286" priority="381" operator="lessThan">
      <formula>0</formula>
    </cfRule>
  </conditionalFormatting>
  <conditionalFormatting sqref="B16">
    <cfRule type="cellIs" dxfId="285" priority="382" operator="greaterThan">
      <formula>0</formula>
    </cfRule>
  </conditionalFormatting>
  <conditionalFormatting sqref="B16">
    <cfRule type="cellIs" dxfId="284" priority="383" operator="lessThan">
      <formula>0</formula>
    </cfRule>
  </conditionalFormatting>
  <conditionalFormatting sqref="B16">
    <cfRule type="cellIs" dxfId="283" priority="376" operator="greaterThan">
      <formula>0</formula>
    </cfRule>
  </conditionalFormatting>
  <conditionalFormatting sqref="B16">
    <cfRule type="cellIs" dxfId="282" priority="377" operator="lessThan">
      <formula>0</formula>
    </cfRule>
  </conditionalFormatting>
  <conditionalFormatting sqref="B16">
    <cfRule type="cellIs" dxfId="281" priority="378" operator="greaterThan">
      <formula>0</formula>
    </cfRule>
  </conditionalFormatting>
  <conditionalFormatting sqref="B16">
    <cfRule type="cellIs" dxfId="280" priority="379" operator="lessThan">
      <formula>0</formula>
    </cfRule>
  </conditionalFormatting>
  <conditionalFormatting sqref="B15">
    <cfRule type="cellIs" dxfId="279" priority="372" operator="greaterThan">
      <formula>0</formula>
    </cfRule>
  </conditionalFormatting>
  <conditionalFormatting sqref="B15">
    <cfRule type="cellIs" dxfId="278" priority="373" operator="lessThan">
      <formula>0</formula>
    </cfRule>
  </conditionalFormatting>
  <conditionalFormatting sqref="B15">
    <cfRule type="cellIs" dxfId="277" priority="374" operator="greaterThan">
      <formula>0</formula>
    </cfRule>
  </conditionalFormatting>
  <conditionalFormatting sqref="B15">
    <cfRule type="cellIs" dxfId="276" priority="375" operator="lessThan">
      <formula>0</formula>
    </cfRule>
  </conditionalFormatting>
  <conditionalFormatting sqref="B15:B16">
    <cfRule type="cellIs" dxfId="275" priority="368" operator="greaterThan">
      <formula>0</formula>
    </cfRule>
  </conditionalFormatting>
  <conditionalFormatting sqref="B15:B16">
    <cfRule type="cellIs" dxfId="274" priority="369" operator="lessThan">
      <formula>0</formula>
    </cfRule>
  </conditionalFormatting>
  <conditionalFormatting sqref="B15:B16">
    <cfRule type="cellIs" dxfId="273" priority="370" operator="greaterThan">
      <formula>0</formula>
    </cfRule>
  </conditionalFormatting>
  <conditionalFormatting sqref="B15:B16">
    <cfRule type="cellIs" dxfId="272" priority="371" operator="lessThan">
      <formula>0</formula>
    </cfRule>
  </conditionalFormatting>
  <conditionalFormatting sqref="B15:B16">
    <cfRule type="cellIs" dxfId="271" priority="364" operator="greaterThan">
      <formula>0</formula>
    </cfRule>
  </conditionalFormatting>
  <conditionalFormatting sqref="B15:B16">
    <cfRule type="cellIs" dxfId="270" priority="365" operator="lessThan">
      <formula>0</formula>
    </cfRule>
  </conditionalFormatting>
  <conditionalFormatting sqref="B15:B16">
    <cfRule type="cellIs" dxfId="269" priority="366" operator="greaterThan">
      <formula>0</formula>
    </cfRule>
  </conditionalFormatting>
  <conditionalFormatting sqref="B15:B16">
    <cfRule type="cellIs" dxfId="268" priority="367" operator="lessThan">
      <formula>0</formula>
    </cfRule>
  </conditionalFormatting>
  <conditionalFormatting sqref="B11:B12">
    <cfRule type="cellIs" dxfId="267" priority="360" operator="greaterThan">
      <formula>0</formula>
    </cfRule>
  </conditionalFormatting>
  <conditionalFormatting sqref="B11:B12">
    <cfRule type="cellIs" dxfId="266" priority="361" operator="lessThan">
      <formula>0</formula>
    </cfRule>
  </conditionalFormatting>
  <conditionalFormatting sqref="B11:B12">
    <cfRule type="cellIs" dxfId="265" priority="362" operator="greaterThan">
      <formula>0</formula>
    </cfRule>
  </conditionalFormatting>
  <conditionalFormatting sqref="B11:B12">
    <cfRule type="cellIs" dxfId="264" priority="363" operator="lessThan">
      <formula>0</formula>
    </cfRule>
  </conditionalFormatting>
  <conditionalFormatting sqref="B11">
    <cfRule type="cellIs" dxfId="263" priority="356" operator="greaterThan">
      <formula>0</formula>
    </cfRule>
  </conditionalFormatting>
  <conditionalFormatting sqref="B11">
    <cfRule type="cellIs" dxfId="262" priority="357" operator="lessThan">
      <formula>0</formula>
    </cfRule>
  </conditionalFormatting>
  <conditionalFormatting sqref="B11">
    <cfRule type="cellIs" dxfId="261" priority="358" operator="greaterThan">
      <formula>0</formula>
    </cfRule>
  </conditionalFormatting>
  <conditionalFormatting sqref="B11">
    <cfRule type="cellIs" dxfId="260" priority="359" operator="lessThan">
      <formula>0</formula>
    </cfRule>
  </conditionalFormatting>
  <conditionalFormatting sqref="B12">
    <cfRule type="cellIs" dxfId="259" priority="352" operator="greaterThan">
      <formula>0</formula>
    </cfRule>
  </conditionalFormatting>
  <conditionalFormatting sqref="B12">
    <cfRule type="cellIs" dxfId="258" priority="353" operator="lessThan">
      <formula>0</formula>
    </cfRule>
  </conditionalFormatting>
  <conditionalFormatting sqref="B12">
    <cfRule type="cellIs" dxfId="257" priority="354" operator="greaterThan">
      <formula>0</formula>
    </cfRule>
  </conditionalFormatting>
  <conditionalFormatting sqref="B12">
    <cfRule type="cellIs" dxfId="256" priority="355" operator="lessThan">
      <formula>0</formula>
    </cfRule>
  </conditionalFormatting>
  <conditionalFormatting sqref="B5:B6">
    <cfRule type="cellIs" dxfId="255" priority="348" operator="greaterThan">
      <formula>0</formula>
    </cfRule>
  </conditionalFormatting>
  <conditionalFormatting sqref="B5:B6">
    <cfRule type="cellIs" dxfId="254" priority="349" operator="lessThan">
      <formula>0</formula>
    </cfRule>
  </conditionalFormatting>
  <conditionalFormatting sqref="B5:B6">
    <cfRule type="cellIs" dxfId="253" priority="350" operator="greaterThan">
      <formula>0</formula>
    </cfRule>
  </conditionalFormatting>
  <conditionalFormatting sqref="B5:B6">
    <cfRule type="cellIs" dxfId="252" priority="351" operator="lessThan">
      <formula>0</formula>
    </cfRule>
  </conditionalFormatting>
  <conditionalFormatting sqref="B5:B6">
    <cfRule type="cellIs" dxfId="251" priority="344" operator="greaterThan">
      <formula>0</formula>
    </cfRule>
  </conditionalFormatting>
  <conditionalFormatting sqref="B5:B6">
    <cfRule type="cellIs" dxfId="250" priority="345" operator="lessThan">
      <formula>0</formula>
    </cfRule>
  </conditionalFormatting>
  <conditionalFormatting sqref="B5:B6">
    <cfRule type="cellIs" dxfId="249" priority="346" operator="greaterThan">
      <formula>0</formula>
    </cfRule>
  </conditionalFormatting>
  <conditionalFormatting sqref="B5:B6">
    <cfRule type="cellIs" dxfId="248" priority="347" operator="lessThan">
      <formula>0</formula>
    </cfRule>
  </conditionalFormatting>
  <conditionalFormatting sqref="B5:B6">
    <cfRule type="cellIs" dxfId="247" priority="340" operator="greaterThan">
      <formula>0</formula>
    </cfRule>
  </conditionalFormatting>
  <conditionalFormatting sqref="B5:B6">
    <cfRule type="cellIs" dxfId="246" priority="341" operator="lessThan">
      <formula>0</formula>
    </cfRule>
  </conditionalFormatting>
  <conditionalFormatting sqref="B5:B6">
    <cfRule type="cellIs" dxfId="245" priority="342" operator="greaterThan">
      <formula>0</formula>
    </cfRule>
  </conditionalFormatting>
  <conditionalFormatting sqref="B5:B6">
    <cfRule type="cellIs" dxfId="244" priority="343" operator="lessThan">
      <formula>0</formula>
    </cfRule>
  </conditionalFormatting>
  <conditionalFormatting sqref="B11:B12">
    <cfRule type="cellIs" dxfId="243" priority="336" operator="greaterThan">
      <formula>0</formula>
    </cfRule>
  </conditionalFormatting>
  <conditionalFormatting sqref="B11:B12">
    <cfRule type="cellIs" dxfId="242" priority="337" operator="lessThan">
      <formula>0</formula>
    </cfRule>
  </conditionalFormatting>
  <conditionalFormatting sqref="B11:B12">
    <cfRule type="cellIs" dxfId="241" priority="338" operator="greaterThan">
      <formula>0</formula>
    </cfRule>
  </conditionalFormatting>
  <conditionalFormatting sqref="B11:B12">
    <cfRule type="cellIs" dxfId="240" priority="339" operator="lessThan">
      <formula>0</formula>
    </cfRule>
  </conditionalFormatting>
  <conditionalFormatting sqref="B12">
    <cfRule type="cellIs" dxfId="239" priority="332" operator="greaterThan">
      <formula>0</formula>
    </cfRule>
  </conditionalFormatting>
  <conditionalFormatting sqref="B12">
    <cfRule type="cellIs" dxfId="238" priority="333" operator="lessThan">
      <formula>0</formula>
    </cfRule>
  </conditionalFormatting>
  <conditionalFormatting sqref="B12">
    <cfRule type="cellIs" dxfId="237" priority="334" operator="greaterThan">
      <formula>0</formula>
    </cfRule>
  </conditionalFormatting>
  <conditionalFormatting sqref="B12">
    <cfRule type="cellIs" dxfId="236" priority="335" operator="lessThan">
      <formula>0</formula>
    </cfRule>
  </conditionalFormatting>
  <conditionalFormatting sqref="B11">
    <cfRule type="cellIs" dxfId="235" priority="324" operator="greaterThan">
      <formula>0</formula>
    </cfRule>
  </conditionalFormatting>
  <conditionalFormatting sqref="B11">
    <cfRule type="cellIs" dxfId="234" priority="325" operator="lessThan">
      <formula>0</formula>
    </cfRule>
  </conditionalFormatting>
  <conditionalFormatting sqref="B11">
    <cfRule type="cellIs" dxfId="233" priority="326" operator="greaterThan">
      <formula>0</formula>
    </cfRule>
  </conditionalFormatting>
  <conditionalFormatting sqref="B11">
    <cfRule type="cellIs" dxfId="232" priority="327" operator="lessThan">
      <formula>0</formula>
    </cfRule>
  </conditionalFormatting>
  <conditionalFormatting sqref="B11:B12">
    <cfRule type="cellIs" dxfId="231" priority="320" operator="greaterThan">
      <formula>0</formula>
    </cfRule>
  </conditionalFormatting>
  <conditionalFormatting sqref="B11:B12">
    <cfRule type="cellIs" dxfId="230" priority="321" operator="lessThan">
      <formula>0</formula>
    </cfRule>
  </conditionalFormatting>
  <conditionalFormatting sqref="B11:B12">
    <cfRule type="cellIs" dxfId="229" priority="322" operator="greaterThan">
      <formula>0</formula>
    </cfRule>
  </conditionalFormatting>
  <conditionalFormatting sqref="B11:B12">
    <cfRule type="cellIs" dxfId="228" priority="323" operator="lessThan">
      <formula>0</formula>
    </cfRule>
  </conditionalFormatting>
  <conditionalFormatting sqref="B11:B12">
    <cfRule type="cellIs" dxfId="227" priority="316" operator="greaterThan">
      <formula>0</formula>
    </cfRule>
  </conditionalFormatting>
  <conditionalFormatting sqref="B11:B12">
    <cfRule type="cellIs" dxfId="226" priority="317" operator="lessThan">
      <formula>0</formula>
    </cfRule>
  </conditionalFormatting>
  <conditionalFormatting sqref="B11:B12">
    <cfRule type="cellIs" dxfId="225" priority="318" operator="greaterThan">
      <formula>0</formula>
    </cfRule>
  </conditionalFormatting>
  <conditionalFormatting sqref="B11:B12">
    <cfRule type="cellIs" dxfId="224" priority="319" operator="lessThan">
      <formula>0</formula>
    </cfRule>
  </conditionalFormatting>
  <conditionalFormatting sqref="B40">
    <cfRule type="cellIs" dxfId="223" priority="310" operator="greaterThan">
      <formula>0</formula>
    </cfRule>
  </conditionalFormatting>
  <conditionalFormatting sqref="B40">
    <cfRule type="cellIs" dxfId="222" priority="311" operator="lessThan">
      <formula>0</formula>
    </cfRule>
  </conditionalFormatting>
  <conditionalFormatting sqref="B40">
    <cfRule type="cellIs" dxfId="221" priority="312" operator="greaterThan">
      <formula>0</formula>
    </cfRule>
  </conditionalFormatting>
  <conditionalFormatting sqref="B40">
    <cfRule type="cellIs" dxfId="220" priority="313" operator="lessThan">
      <formula>0</formula>
    </cfRule>
  </conditionalFormatting>
  <conditionalFormatting sqref="B40">
    <cfRule type="cellIs" dxfId="219" priority="314" operator="greaterThan">
      <formula>0</formula>
    </cfRule>
  </conditionalFormatting>
  <conditionalFormatting sqref="B40">
    <cfRule type="cellIs" dxfId="218" priority="315" operator="lessThan">
      <formula>0</formula>
    </cfRule>
  </conditionalFormatting>
  <conditionalFormatting sqref="I38:I40">
    <cfRule type="cellIs" dxfId="217" priority="308" operator="lessThan">
      <formula>0</formula>
    </cfRule>
    <cfRule type="cellIs" dxfId="216" priority="309" operator="greaterThan">
      <formula>0</formula>
    </cfRule>
  </conditionalFormatting>
  <conditionalFormatting sqref="B38">
    <cfRule type="cellIs" dxfId="215" priority="302" operator="greaterThan">
      <formula>0</formula>
    </cfRule>
  </conditionalFormatting>
  <conditionalFormatting sqref="B38">
    <cfRule type="cellIs" dxfId="214" priority="303" operator="lessThan">
      <formula>0</formula>
    </cfRule>
  </conditionalFormatting>
  <conditionalFormatting sqref="B38">
    <cfRule type="cellIs" dxfId="213" priority="304" operator="greaterThan">
      <formula>0</formula>
    </cfRule>
  </conditionalFormatting>
  <conditionalFormatting sqref="B38">
    <cfRule type="cellIs" dxfId="212" priority="305" operator="lessThan">
      <formula>0</formula>
    </cfRule>
  </conditionalFormatting>
  <conditionalFormatting sqref="B38">
    <cfRule type="cellIs" dxfId="211" priority="306" operator="greaterThan">
      <formula>0</formula>
    </cfRule>
  </conditionalFormatting>
  <conditionalFormatting sqref="B38">
    <cfRule type="cellIs" dxfId="210" priority="307" operator="lessThan">
      <formula>0</formula>
    </cfRule>
  </conditionalFormatting>
  <conditionalFormatting sqref="B39">
    <cfRule type="cellIs" dxfId="209" priority="296" operator="greaterThan">
      <formula>0</formula>
    </cfRule>
  </conditionalFormatting>
  <conditionalFormatting sqref="B39">
    <cfRule type="cellIs" dxfId="208" priority="297" operator="lessThan">
      <formula>0</formula>
    </cfRule>
  </conditionalFormatting>
  <conditionalFormatting sqref="B39">
    <cfRule type="cellIs" dxfId="207" priority="298" operator="greaterThan">
      <formula>0</formula>
    </cfRule>
  </conditionalFormatting>
  <conditionalFormatting sqref="B39">
    <cfRule type="cellIs" dxfId="206" priority="299" operator="lessThan">
      <formula>0</formula>
    </cfRule>
  </conditionalFormatting>
  <conditionalFormatting sqref="B39">
    <cfRule type="cellIs" dxfId="205" priority="300" operator="greaterThan">
      <formula>0</formula>
    </cfRule>
  </conditionalFormatting>
  <conditionalFormatting sqref="B39">
    <cfRule type="cellIs" dxfId="204" priority="301" operator="lessThan">
      <formula>0</formula>
    </cfRule>
  </conditionalFormatting>
  <conditionalFormatting sqref="B31:B34 B37">
    <cfRule type="cellIs" dxfId="203" priority="292" operator="greaterThan">
      <formula>0</formula>
    </cfRule>
  </conditionalFormatting>
  <conditionalFormatting sqref="B31:B34 B37">
    <cfRule type="cellIs" dxfId="202" priority="293" operator="lessThan">
      <formula>0</formula>
    </cfRule>
  </conditionalFormatting>
  <conditionalFormatting sqref="B31:B34 B37">
    <cfRule type="cellIs" dxfId="201" priority="294" operator="greaterThan">
      <formula>0</formula>
    </cfRule>
  </conditionalFormatting>
  <conditionalFormatting sqref="B31:B34 B37">
    <cfRule type="cellIs" dxfId="200" priority="295" operator="lessThan">
      <formula>0</formula>
    </cfRule>
  </conditionalFormatting>
  <conditionalFormatting sqref="B35:B36">
    <cfRule type="cellIs" dxfId="199" priority="284" operator="greaterThan">
      <formula>0</formula>
    </cfRule>
  </conditionalFormatting>
  <conditionalFormatting sqref="B35:B36">
    <cfRule type="cellIs" dxfId="198" priority="285" operator="lessThan">
      <formula>0</formula>
    </cfRule>
  </conditionalFormatting>
  <conditionalFormatting sqref="B35:B36">
    <cfRule type="cellIs" dxfId="197" priority="286" operator="greaterThan">
      <formula>0</formula>
    </cfRule>
  </conditionalFormatting>
  <conditionalFormatting sqref="B35:B36">
    <cfRule type="cellIs" dxfId="196" priority="287" operator="lessThan">
      <formula>0</formula>
    </cfRule>
  </conditionalFormatting>
  <conditionalFormatting sqref="B36">
    <cfRule type="cellIs" dxfId="195" priority="288" operator="greaterThan">
      <formula>0</formula>
    </cfRule>
  </conditionalFormatting>
  <conditionalFormatting sqref="B36">
    <cfRule type="cellIs" dxfId="194" priority="289" operator="lessThan">
      <formula>0</formula>
    </cfRule>
  </conditionalFormatting>
  <conditionalFormatting sqref="B35">
    <cfRule type="cellIs" dxfId="193" priority="290" operator="greaterThan">
      <formula>0</formula>
    </cfRule>
  </conditionalFormatting>
  <conditionalFormatting sqref="B35">
    <cfRule type="cellIs" dxfId="192" priority="291" operator="lessThan">
      <formula>0</formula>
    </cfRule>
  </conditionalFormatting>
  <conditionalFormatting sqref="B4">
    <cfRule type="cellIs" dxfId="191" priority="274" operator="greaterThan">
      <formula>0</formula>
    </cfRule>
  </conditionalFormatting>
  <conditionalFormatting sqref="B4">
    <cfRule type="cellIs" dxfId="190" priority="275" operator="lessThan">
      <formula>0</formula>
    </cfRule>
  </conditionalFormatting>
  <conditionalFormatting sqref="B4">
    <cfRule type="cellIs" dxfId="189" priority="276" operator="greaterThan">
      <formula>0</formula>
    </cfRule>
  </conditionalFormatting>
  <conditionalFormatting sqref="B4">
    <cfRule type="cellIs" dxfId="188" priority="277" operator="lessThan">
      <formula>0</formula>
    </cfRule>
  </conditionalFormatting>
  <conditionalFormatting sqref="B4">
    <cfRule type="cellIs" dxfId="187" priority="270" operator="greaterThan">
      <formula>0</formula>
    </cfRule>
  </conditionalFormatting>
  <conditionalFormatting sqref="B4">
    <cfRule type="cellIs" dxfId="186" priority="271" operator="lessThan">
      <formula>0</formula>
    </cfRule>
  </conditionalFormatting>
  <conditionalFormatting sqref="B4">
    <cfRule type="cellIs" dxfId="185" priority="272" operator="greaterThan">
      <formula>0</formula>
    </cfRule>
  </conditionalFormatting>
  <conditionalFormatting sqref="B4">
    <cfRule type="cellIs" dxfId="184" priority="273" operator="lessThan">
      <formula>0</formula>
    </cfRule>
  </conditionalFormatting>
  <conditionalFormatting sqref="B4">
    <cfRule type="cellIs" dxfId="183" priority="266" operator="greaterThan">
      <formula>0</formula>
    </cfRule>
  </conditionalFormatting>
  <conditionalFormatting sqref="B4">
    <cfRule type="cellIs" dxfId="182" priority="267" operator="lessThan">
      <formula>0</formula>
    </cfRule>
  </conditionalFormatting>
  <conditionalFormatting sqref="B4">
    <cfRule type="cellIs" dxfId="181" priority="268" operator="greaterThan">
      <formula>0</formula>
    </cfRule>
  </conditionalFormatting>
  <conditionalFormatting sqref="B4">
    <cfRule type="cellIs" dxfId="180" priority="269" operator="lessThan">
      <formula>0</formula>
    </cfRule>
  </conditionalFormatting>
  <conditionalFormatting sqref="B4">
    <cfRule type="cellIs" dxfId="179" priority="262" operator="greaterThan">
      <formula>0</formula>
    </cfRule>
  </conditionalFormatting>
  <conditionalFormatting sqref="B4">
    <cfRule type="cellIs" dxfId="178" priority="263" operator="lessThan">
      <formula>0</formula>
    </cfRule>
  </conditionalFormatting>
  <conditionalFormatting sqref="B4">
    <cfRule type="cellIs" dxfId="177" priority="264" operator="greaterThan">
      <formula>0</formula>
    </cfRule>
  </conditionalFormatting>
  <conditionalFormatting sqref="B4">
    <cfRule type="cellIs" dxfId="176" priority="265" operator="lessThan">
      <formula>0</formula>
    </cfRule>
  </conditionalFormatting>
  <conditionalFormatting sqref="B4">
    <cfRule type="cellIs" dxfId="175" priority="258" operator="greaterThan">
      <formula>0</formula>
    </cfRule>
  </conditionalFormatting>
  <conditionalFormatting sqref="B4">
    <cfRule type="cellIs" dxfId="174" priority="259" operator="lessThan">
      <formula>0</formula>
    </cfRule>
  </conditionalFormatting>
  <conditionalFormatting sqref="B4">
    <cfRule type="cellIs" dxfId="173" priority="260" operator="greaterThan">
      <formula>0</formula>
    </cfRule>
  </conditionalFormatting>
  <conditionalFormatting sqref="B4">
    <cfRule type="cellIs" dxfId="172" priority="261" operator="lessThan">
      <formula>0</formula>
    </cfRule>
  </conditionalFormatting>
  <conditionalFormatting sqref="B4">
    <cfRule type="cellIs" dxfId="171" priority="254" operator="greaterThan">
      <formula>0</formula>
    </cfRule>
  </conditionalFormatting>
  <conditionalFormatting sqref="B4">
    <cfRule type="cellIs" dxfId="170" priority="255" operator="lessThan">
      <formula>0</formula>
    </cfRule>
  </conditionalFormatting>
  <conditionalFormatting sqref="B4">
    <cfRule type="cellIs" dxfId="169" priority="256" operator="greaterThan">
      <formula>0</formula>
    </cfRule>
  </conditionalFormatting>
  <conditionalFormatting sqref="B4">
    <cfRule type="cellIs" dxfId="168" priority="257" operator="lessThan">
      <formula>0</formula>
    </cfRule>
  </conditionalFormatting>
  <conditionalFormatting sqref="B4">
    <cfRule type="cellIs" dxfId="167" priority="250" operator="greaterThan">
      <formula>0</formula>
    </cfRule>
  </conditionalFormatting>
  <conditionalFormatting sqref="B4">
    <cfRule type="cellIs" dxfId="166" priority="251" operator="lessThan">
      <formula>0</formula>
    </cfRule>
  </conditionalFormatting>
  <conditionalFormatting sqref="B4">
    <cfRule type="cellIs" dxfId="165" priority="252" operator="greaterThan">
      <formula>0</formula>
    </cfRule>
  </conditionalFormatting>
  <conditionalFormatting sqref="B4">
    <cfRule type="cellIs" dxfId="164" priority="253" operator="lessThan">
      <formula>0</formula>
    </cfRule>
  </conditionalFormatting>
  <conditionalFormatting sqref="B4">
    <cfRule type="cellIs" dxfId="163" priority="246" operator="greaterThan">
      <formula>0</formula>
    </cfRule>
  </conditionalFormatting>
  <conditionalFormatting sqref="B4">
    <cfRule type="cellIs" dxfId="162" priority="247" operator="lessThan">
      <formula>0</formula>
    </cfRule>
  </conditionalFormatting>
  <conditionalFormatting sqref="B4">
    <cfRule type="cellIs" dxfId="161" priority="248" operator="greaterThan">
      <formula>0</formula>
    </cfRule>
  </conditionalFormatting>
  <conditionalFormatting sqref="B4">
    <cfRule type="cellIs" dxfId="160" priority="249" operator="lessThan">
      <formula>0</formula>
    </cfRule>
  </conditionalFormatting>
  <conditionalFormatting sqref="B4">
    <cfRule type="cellIs" dxfId="159" priority="242" operator="greaterThan">
      <formula>0</formula>
    </cfRule>
  </conditionalFormatting>
  <conditionalFormatting sqref="B4">
    <cfRule type="cellIs" dxfId="158" priority="243" operator="lessThan">
      <formula>0</formula>
    </cfRule>
  </conditionalFormatting>
  <conditionalFormatting sqref="B4">
    <cfRule type="cellIs" dxfId="157" priority="244" operator="greaterThan">
      <formula>0</formula>
    </cfRule>
  </conditionalFormatting>
  <conditionalFormatting sqref="B4">
    <cfRule type="cellIs" dxfId="156" priority="245" operator="lessThan">
      <formula>0</formula>
    </cfRule>
  </conditionalFormatting>
  <conditionalFormatting sqref="B8">
    <cfRule type="cellIs" dxfId="155" priority="238" operator="greaterThan">
      <formula>0</formula>
    </cfRule>
  </conditionalFormatting>
  <conditionalFormatting sqref="B8">
    <cfRule type="cellIs" dxfId="154" priority="239" operator="lessThan">
      <formula>0</formula>
    </cfRule>
  </conditionalFormatting>
  <conditionalFormatting sqref="B8">
    <cfRule type="cellIs" dxfId="153" priority="240" operator="greaterThan">
      <formula>0</formula>
    </cfRule>
  </conditionalFormatting>
  <conditionalFormatting sqref="B8">
    <cfRule type="cellIs" dxfId="152" priority="241" operator="lessThan">
      <formula>0</formula>
    </cfRule>
  </conditionalFormatting>
  <conditionalFormatting sqref="B8">
    <cfRule type="cellIs" dxfId="151" priority="234" operator="greaterThan">
      <formula>0</formula>
    </cfRule>
  </conditionalFormatting>
  <conditionalFormatting sqref="B8">
    <cfRule type="cellIs" dxfId="150" priority="235" operator="lessThan">
      <formula>0</formula>
    </cfRule>
  </conditionalFormatting>
  <conditionalFormatting sqref="B8">
    <cfRule type="cellIs" dxfId="149" priority="236" operator="greaterThan">
      <formula>0</formula>
    </cfRule>
  </conditionalFormatting>
  <conditionalFormatting sqref="B8">
    <cfRule type="cellIs" dxfId="148" priority="237" operator="lessThan">
      <formula>0</formula>
    </cfRule>
  </conditionalFormatting>
  <conditionalFormatting sqref="B6:B7">
    <cfRule type="cellIs" dxfId="147" priority="190" operator="greaterThan">
      <formula>0</formula>
    </cfRule>
  </conditionalFormatting>
  <conditionalFormatting sqref="B6:B7">
    <cfRule type="cellIs" dxfId="146" priority="191" operator="lessThan">
      <formula>0</formula>
    </cfRule>
  </conditionalFormatting>
  <conditionalFormatting sqref="B6:B7">
    <cfRule type="cellIs" dxfId="145" priority="192" operator="greaterThan">
      <formula>0</formula>
    </cfRule>
  </conditionalFormatting>
  <conditionalFormatting sqref="B6:B7">
    <cfRule type="cellIs" dxfId="144" priority="193" operator="lessThan">
      <formula>0</formula>
    </cfRule>
  </conditionalFormatting>
  <conditionalFormatting sqref="B9:B10">
    <cfRule type="cellIs" dxfId="143" priority="230" operator="greaterThan">
      <formula>0</formula>
    </cfRule>
  </conditionalFormatting>
  <conditionalFormatting sqref="B9:B10">
    <cfRule type="cellIs" dxfId="142" priority="231" operator="lessThan">
      <formula>0</formula>
    </cfRule>
  </conditionalFormatting>
  <conditionalFormatting sqref="B9:B10">
    <cfRule type="cellIs" dxfId="141" priority="232" operator="greaterThan">
      <formula>0</formula>
    </cfRule>
  </conditionalFormatting>
  <conditionalFormatting sqref="B9:B10">
    <cfRule type="cellIs" dxfId="140" priority="233" operator="lessThan">
      <formula>0</formula>
    </cfRule>
  </conditionalFormatting>
  <conditionalFormatting sqref="B10">
    <cfRule type="cellIs" dxfId="139" priority="226" operator="greaterThan">
      <formula>0</formula>
    </cfRule>
  </conditionalFormatting>
  <conditionalFormatting sqref="B10">
    <cfRule type="cellIs" dxfId="138" priority="227" operator="lessThan">
      <formula>0</formula>
    </cfRule>
  </conditionalFormatting>
  <conditionalFormatting sqref="B10">
    <cfRule type="cellIs" dxfId="137" priority="228" operator="greaterThan">
      <formula>0</formula>
    </cfRule>
  </conditionalFormatting>
  <conditionalFormatting sqref="B10">
    <cfRule type="cellIs" dxfId="136" priority="229" operator="lessThan">
      <formula>0</formula>
    </cfRule>
  </conditionalFormatting>
  <conditionalFormatting sqref="B10">
    <cfRule type="cellIs" dxfId="135" priority="222" operator="greaterThan">
      <formula>0</formula>
    </cfRule>
  </conditionalFormatting>
  <conditionalFormatting sqref="B10">
    <cfRule type="cellIs" dxfId="134" priority="223" operator="lessThan">
      <formula>0</formula>
    </cfRule>
  </conditionalFormatting>
  <conditionalFormatting sqref="B10">
    <cfRule type="cellIs" dxfId="133" priority="224" operator="greaterThan">
      <formula>0</formula>
    </cfRule>
  </conditionalFormatting>
  <conditionalFormatting sqref="B10">
    <cfRule type="cellIs" dxfId="132" priority="225" operator="lessThan">
      <formula>0</formula>
    </cfRule>
  </conditionalFormatting>
  <conditionalFormatting sqref="B9">
    <cfRule type="cellIs" dxfId="131" priority="218" operator="greaterThan">
      <formula>0</formula>
    </cfRule>
  </conditionalFormatting>
  <conditionalFormatting sqref="B9">
    <cfRule type="cellIs" dxfId="130" priority="219" operator="lessThan">
      <formula>0</formula>
    </cfRule>
  </conditionalFormatting>
  <conditionalFormatting sqref="B9">
    <cfRule type="cellIs" dxfId="129" priority="220" operator="greaterThan">
      <formula>0</formula>
    </cfRule>
  </conditionalFormatting>
  <conditionalFormatting sqref="B9">
    <cfRule type="cellIs" dxfId="128" priority="221" operator="lessThan">
      <formula>0</formula>
    </cfRule>
  </conditionalFormatting>
  <conditionalFormatting sqref="B9:B10">
    <cfRule type="cellIs" dxfId="127" priority="214" operator="greaterThan">
      <formula>0</formula>
    </cfRule>
  </conditionalFormatting>
  <conditionalFormatting sqref="B9:B10">
    <cfRule type="cellIs" dxfId="126" priority="215" operator="lessThan">
      <formula>0</formula>
    </cfRule>
  </conditionalFormatting>
  <conditionalFormatting sqref="B9:B10">
    <cfRule type="cellIs" dxfId="125" priority="216" operator="greaterThan">
      <formula>0</formula>
    </cfRule>
  </conditionalFormatting>
  <conditionalFormatting sqref="B9:B10">
    <cfRule type="cellIs" dxfId="124" priority="217" operator="lessThan">
      <formula>0</formula>
    </cfRule>
  </conditionalFormatting>
  <conditionalFormatting sqref="B9:B10">
    <cfRule type="cellIs" dxfId="123" priority="210" operator="greaterThan">
      <formula>0</formula>
    </cfRule>
  </conditionalFormatting>
  <conditionalFormatting sqref="B9:B10">
    <cfRule type="cellIs" dxfId="122" priority="211" operator="lessThan">
      <formula>0</formula>
    </cfRule>
  </conditionalFormatting>
  <conditionalFormatting sqref="B9:B10">
    <cfRule type="cellIs" dxfId="121" priority="212" operator="greaterThan">
      <formula>0</formula>
    </cfRule>
  </conditionalFormatting>
  <conditionalFormatting sqref="B9:B10">
    <cfRule type="cellIs" dxfId="120" priority="213" operator="lessThan">
      <formula>0</formula>
    </cfRule>
  </conditionalFormatting>
  <conditionalFormatting sqref="B6:B7">
    <cfRule type="cellIs" dxfId="119" priority="206" operator="greaterThan">
      <formula>0</formula>
    </cfRule>
  </conditionalFormatting>
  <conditionalFormatting sqref="B6:B7">
    <cfRule type="cellIs" dxfId="118" priority="207" operator="lessThan">
      <formula>0</formula>
    </cfRule>
  </conditionalFormatting>
  <conditionalFormatting sqref="B6:B7">
    <cfRule type="cellIs" dxfId="117" priority="208" operator="greaterThan">
      <formula>0</formula>
    </cfRule>
  </conditionalFormatting>
  <conditionalFormatting sqref="B6:B7">
    <cfRule type="cellIs" dxfId="116" priority="209" operator="lessThan">
      <formula>0</formula>
    </cfRule>
  </conditionalFormatting>
  <conditionalFormatting sqref="B6:B7">
    <cfRule type="cellIs" dxfId="115" priority="202" operator="greaterThan">
      <formula>0</formula>
    </cfRule>
  </conditionalFormatting>
  <conditionalFormatting sqref="B6:B7">
    <cfRule type="cellIs" dxfId="114" priority="203" operator="lessThan">
      <formula>0</formula>
    </cfRule>
  </conditionalFormatting>
  <conditionalFormatting sqref="B6:B7">
    <cfRule type="cellIs" dxfId="113" priority="204" operator="greaterThan">
      <formula>0</formula>
    </cfRule>
  </conditionalFormatting>
  <conditionalFormatting sqref="B6:B7">
    <cfRule type="cellIs" dxfId="112" priority="205" operator="lessThan">
      <formula>0</formula>
    </cfRule>
  </conditionalFormatting>
  <conditionalFormatting sqref="B6:B7">
    <cfRule type="cellIs" dxfId="111" priority="198" operator="greaterThan">
      <formula>0</formula>
    </cfRule>
  </conditionalFormatting>
  <conditionalFormatting sqref="B6:B7">
    <cfRule type="cellIs" dxfId="110" priority="199" operator="lessThan">
      <formula>0</formula>
    </cfRule>
  </conditionalFormatting>
  <conditionalFormatting sqref="B6:B7">
    <cfRule type="cellIs" dxfId="109" priority="200" operator="greaterThan">
      <formula>0</formula>
    </cfRule>
  </conditionalFormatting>
  <conditionalFormatting sqref="B6:B7">
    <cfRule type="cellIs" dxfId="108" priority="201" operator="lessThan">
      <formula>0</formula>
    </cfRule>
  </conditionalFormatting>
  <conditionalFormatting sqref="B6:B7">
    <cfRule type="cellIs" dxfId="107" priority="194" operator="greaterThan">
      <formula>0</formula>
    </cfRule>
  </conditionalFormatting>
  <conditionalFormatting sqref="B6:B7">
    <cfRule type="cellIs" dxfId="106" priority="195" operator="lessThan">
      <formula>0</formula>
    </cfRule>
  </conditionalFormatting>
  <conditionalFormatting sqref="B6:B7">
    <cfRule type="cellIs" dxfId="105" priority="196" operator="greaterThan">
      <formula>0</formula>
    </cfRule>
  </conditionalFormatting>
  <conditionalFormatting sqref="B6:B7">
    <cfRule type="cellIs" dxfId="104" priority="197" operator="lessThan">
      <formula>0</formula>
    </cfRule>
  </conditionalFormatting>
  <conditionalFormatting sqref="B6:B7">
    <cfRule type="cellIs" dxfId="103" priority="186" operator="greaterThan">
      <formula>0</formula>
    </cfRule>
  </conditionalFormatting>
  <conditionalFormatting sqref="B6:B7">
    <cfRule type="cellIs" dxfId="102" priority="187" operator="lessThan">
      <formula>0</formula>
    </cfRule>
  </conditionalFormatting>
  <conditionalFormatting sqref="B6:B7">
    <cfRule type="cellIs" dxfId="101" priority="188" operator="greaterThan">
      <formula>0</formula>
    </cfRule>
  </conditionalFormatting>
  <conditionalFormatting sqref="B6:B7">
    <cfRule type="cellIs" dxfId="100" priority="189" operator="lessThan">
      <formula>0</formula>
    </cfRule>
  </conditionalFormatting>
  <conditionalFormatting sqref="B6:B7">
    <cfRule type="cellIs" dxfId="99" priority="182" operator="greaterThan">
      <formula>0</formula>
    </cfRule>
  </conditionalFormatting>
  <conditionalFormatting sqref="B6:B7">
    <cfRule type="cellIs" dxfId="98" priority="183" operator="lessThan">
      <formula>0</formula>
    </cfRule>
  </conditionalFormatting>
  <conditionalFormatting sqref="B6:B7">
    <cfRule type="cellIs" dxfId="97" priority="184" operator="greaterThan">
      <formula>0</formula>
    </cfRule>
  </conditionalFormatting>
  <conditionalFormatting sqref="B6:B7">
    <cfRule type="cellIs" dxfId="96" priority="185" operator="lessThan">
      <formula>0</formula>
    </cfRule>
  </conditionalFormatting>
  <conditionalFormatting sqref="B19">
    <cfRule type="cellIs" dxfId="95" priority="176" operator="greaterThan">
      <formula>0</formula>
    </cfRule>
  </conditionalFormatting>
  <conditionalFormatting sqref="B19">
    <cfRule type="cellIs" dxfId="94" priority="177" operator="lessThan">
      <formula>0</formula>
    </cfRule>
  </conditionalFormatting>
  <conditionalFormatting sqref="B19">
    <cfRule type="cellIs" dxfId="93" priority="178" operator="greaterThan">
      <formula>0</formula>
    </cfRule>
  </conditionalFormatting>
  <conditionalFormatting sqref="B19">
    <cfRule type="cellIs" dxfId="92" priority="179" operator="lessThan">
      <formula>0</formula>
    </cfRule>
  </conditionalFormatting>
  <conditionalFormatting sqref="B19">
    <cfRule type="cellIs" dxfId="91" priority="172" operator="greaterThan">
      <formula>0</formula>
    </cfRule>
  </conditionalFormatting>
  <conditionalFormatting sqref="B19">
    <cfRule type="cellIs" dxfId="90" priority="173" operator="lessThan">
      <formula>0</formula>
    </cfRule>
  </conditionalFormatting>
  <conditionalFormatting sqref="B19">
    <cfRule type="cellIs" dxfId="89" priority="174" operator="greaterThan">
      <formula>0</formula>
    </cfRule>
  </conditionalFormatting>
  <conditionalFormatting sqref="B19">
    <cfRule type="cellIs" dxfId="88" priority="175" operator="lessThan">
      <formula>0</formula>
    </cfRule>
  </conditionalFormatting>
  <conditionalFormatting sqref="B3">
    <cfRule type="cellIs" dxfId="87" priority="168" operator="greaterThan">
      <formula>0</formula>
    </cfRule>
  </conditionalFormatting>
  <conditionalFormatting sqref="B3">
    <cfRule type="cellIs" dxfId="86" priority="169" operator="lessThan">
      <formula>0</formula>
    </cfRule>
  </conditionalFormatting>
  <conditionalFormatting sqref="B3">
    <cfRule type="cellIs" dxfId="85" priority="170" operator="greaterThan">
      <formula>0</formula>
    </cfRule>
  </conditionalFormatting>
  <conditionalFormatting sqref="B3">
    <cfRule type="cellIs" dxfId="84" priority="171" operator="lessThan">
      <formula>0</formula>
    </cfRule>
  </conditionalFormatting>
  <conditionalFormatting sqref="B3">
    <cfRule type="cellIs" dxfId="83" priority="164" operator="greaterThan">
      <formula>0</formula>
    </cfRule>
  </conditionalFormatting>
  <conditionalFormatting sqref="B3">
    <cfRule type="cellIs" dxfId="82" priority="165" operator="lessThan">
      <formula>0</formula>
    </cfRule>
  </conditionalFormatting>
  <conditionalFormatting sqref="B3">
    <cfRule type="cellIs" dxfId="81" priority="166" operator="greaterThan">
      <formula>0</formula>
    </cfRule>
  </conditionalFormatting>
  <conditionalFormatting sqref="B3">
    <cfRule type="cellIs" dxfId="80" priority="167" operator="lessThan">
      <formula>0</formula>
    </cfRule>
  </conditionalFormatting>
  <conditionalFormatting sqref="B3">
    <cfRule type="cellIs" dxfId="79" priority="160" operator="greaterThan">
      <formula>0</formula>
    </cfRule>
  </conditionalFormatting>
  <conditionalFormatting sqref="B3">
    <cfRule type="cellIs" dxfId="78" priority="161" operator="lessThan">
      <formula>0</formula>
    </cfRule>
  </conditionalFormatting>
  <conditionalFormatting sqref="B3">
    <cfRule type="cellIs" dxfId="77" priority="162" operator="greaterThan">
      <formula>0</formula>
    </cfRule>
  </conditionalFormatting>
  <conditionalFormatting sqref="B3">
    <cfRule type="cellIs" dxfId="76" priority="163" operator="lessThan">
      <formula>0</formula>
    </cfRule>
  </conditionalFormatting>
  <conditionalFormatting sqref="B3">
    <cfRule type="cellIs" dxfId="75" priority="156" operator="greaterThan">
      <formula>0</formula>
    </cfRule>
  </conditionalFormatting>
  <conditionalFormatting sqref="B3">
    <cfRule type="cellIs" dxfId="74" priority="157" operator="lessThan">
      <formula>0</formula>
    </cfRule>
  </conditionalFormatting>
  <conditionalFormatting sqref="B3">
    <cfRule type="cellIs" dxfId="73" priority="158" operator="greaterThan">
      <formula>0</formula>
    </cfRule>
  </conditionalFormatting>
  <conditionalFormatting sqref="B3">
    <cfRule type="cellIs" dxfId="72" priority="159" operator="lessThan">
      <formula>0</formula>
    </cfRule>
  </conditionalFormatting>
  <conditionalFormatting sqref="B7">
    <cfRule type="cellIs" dxfId="71" priority="152" operator="greaterThan">
      <formula>0</formula>
    </cfRule>
  </conditionalFormatting>
  <conditionalFormatting sqref="B7">
    <cfRule type="cellIs" dxfId="70" priority="153" operator="lessThan">
      <formula>0</formula>
    </cfRule>
  </conditionalFormatting>
  <conditionalFormatting sqref="B7">
    <cfRule type="cellIs" dxfId="69" priority="154" operator="greaterThan">
      <formula>0</formula>
    </cfRule>
  </conditionalFormatting>
  <conditionalFormatting sqref="B7">
    <cfRule type="cellIs" dxfId="68" priority="155" operator="lessThan">
      <formula>0</formula>
    </cfRule>
  </conditionalFormatting>
  <conditionalFormatting sqref="B7">
    <cfRule type="cellIs" dxfId="67" priority="148" operator="greaterThan">
      <formula>0</formula>
    </cfRule>
  </conditionalFormatting>
  <conditionalFormatting sqref="B7">
    <cfRule type="cellIs" dxfId="66" priority="149" operator="lessThan">
      <formula>0</formula>
    </cfRule>
  </conditionalFormatting>
  <conditionalFormatting sqref="B7">
    <cfRule type="cellIs" dxfId="65" priority="150" operator="greaterThan">
      <formula>0</formula>
    </cfRule>
  </conditionalFormatting>
  <conditionalFormatting sqref="B7">
    <cfRule type="cellIs" dxfId="64" priority="151" operator="lessThan">
      <formula>0</formula>
    </cfRule>
  </conditionalFormatting>
  <conditionalFormatting sqref="B7">
    <cfRule type="cellIs" dxfId="63" priority="144" operator="greaterThan">
      <formula>0</formula>
    </cfRule>
  </conditionalFormatting>
  <conditionalFormatting sqref="B7">
    <cfRule type="cellIs" dxfId="62" priority="145" operator="lessThan">
      <formula>0</formula>
    </cfRule>
  </conditionalFormatting>
  <conditionalFormatting sqref="B7">
    <cfRule type="cellIs" dxfId="61" priority="146" operator="greaterThan">
      <formula>0</formula>
    </cfRule>
  </conditionalFormatting>
  <conditionalFormatting sqref="B7">
    <cfRule type="cellIs" dxfId="60" priority="147" operator="lessThan">
      <formula>0</formula>
    </cfRule>
  </conditionalFormatting>
  <conditionalFormatting sqref="B7">
    <cfRule type="cellIs" dxfId="59" priority="140" operator="greaterThan">
      <formula>0</formula>
    </cfRule>
  </conditionalFormatting>
  <conditionalFormatting sqref="B7">
    <cfRule type="cellIs" dxfId="58" priority="141" operator="lessThan">
      <formula>0</formula>
    </cfRule>
  </conditionalFormatting>
  <conditionalFormatting sqref="B7">
    <cfRule type="cellIs" dxfId="57" priority="142" operator="greaterThan">
      <formula>0</formula>
    </cfRule>
  </conditionalFormatting>
  <conditionalFormatting sqref="B7">
    <cfRule type="cellIs" dxfId="56" priority="143" operator="lessThan">
      <formula>0</formula>
    </cfRule>
  </conditionalFormatting>
  <conditionalFormatting sqref="B7">
    <cfRule type="cellIs" dxfId="55" priority="136" operator="greaterThan">
      <formula>0</formula>
    </cfRule>
  </conditionalFormatting>
  <conditionalFormatting sqref="B7">
    <cfRule type="cellIs" dxfId="54" priority="137" operator="lessThan">
      <formula>0</formula>
    </cfRule>
  </conditionalFormatting>
  <conditionalFormatting sqref="B7">
    <cfRule type="cellIs" dxfId="53" priority="138" operator="greaterThan">
      <formula>0</formula>
    </cfRule>
  </conditionalFormatting>
  <conditionalFormatting sqref="B7">
    <cfRule type="cellIs" dxfId="52" priority="139" operator="lessThan">
      <formula>0</formula>
    </cfRule>
  </conditionalFormatting>
  <conditionalFormatting sqref="B7">
    <cfRule type="cellIs" dxfId="51" priority="132" operator="greaterThan">
      <formula>0</formula>
    </cfRule>
  </conditionalFormatting>
  <conditionalFormatting sqref="B7">
    <cfRule type="cellIs" dxfId="50" priority="133" operator="lessThan">
      <formula>0</formula>
    </cfRule>
  </conditionalFormatting>
  <conditionalFormatting sqref="B7">
    <cfRule type="cellIs" dxfId="49" priority="134" operator="greaterThan">
      <formula>0</formula>
    </cfRule>
  </conditionalFormatting>
  <conditionalFormatting sqref="B7">
    <cfRule type="cellIs" dxfId="48" priority="135" operator="lessThan">
      <formula>0</formula>
    </cfRule>
  </conditionalFormatting>
  <conditionalFormatting sqref="B7">
    <cfRule type="cellIs" dxfId="47" priority="128" operator="greaterThan">
      <formula>0</formula>
    </cfRule>
  </conditionalFormatting>
  <conditionalFormatting sqref="B7">
    <cfRule type="cellIs" dxfId="46" priority="129" operator="lessThan">
      <formula>0</formula>
    </cfRule>
  </conditionalFormatting>
  <conditionalFormatting sqref="B7">
    <cfRule type="cellIs" dxfId="45" priority="130" operator="greaterThan">
      <formula>0</formula>
    </cfRule>
  </conditionalFormatting>
  <conditionalFormatting sqref="B7">
    <cfRule type="cellIs" dxfId="44" priority="131" operator="lessThan">
      <formula>0</formula>
    </cfRule>
  </conditionalFormatting>
  <conditionalFormatting sqref="B7">
    <cfRule type="cellIs" dxfId="43" priority="124" operator="greaterThan">
      <formula>0</formula>
    </cfRule>
  </conditionalFormatting>
  <conditionalFormatting sqref="B7">
    <cfRule type="cellIs" dxfId="42" priority="125" operator="lessThan">
      <formula>0</formula>
    </cfRule>
  </conditionalFormatting>
  <conditionalFormatting sqref="B7">
    <cfRule type="cellIs" dxfId="41" priority="126" operator="greaterThan">
      <formula>0</formula>
    </cfRule>
  </conditionalFormatting>
  <conditionalFormatting sqref="B7">
    <cfRule type="cellIs" dxfId="40" priority="127" operator="lessThan">
      <formula>0</formula>
    </cfRule>
  </conditionalFormatting>
  <conditionalFormatting sqref="B7">
    <cfRule type="cellIs" dxfId="39" priority="120" operator="greaterThan">
      <formula>0</formula>
    </cfRule>
  </conditionalFormatting>
  <conditionalFormatting sqref="B7">
    <cfRule type="cellIs" dxfId="38" priority="121" operator="lessThan">
      <formula>0</formula>
    </cfRule>
  </conditionalFormatting>
  <conditionalFormatting sqref="B7">
    <cfRule type="cellIs" dxfId="37" priority="122" operator="greaterThan">
      <formula>0</formula>
    </cfRule>
  </conditionalFormatting>
  <conditionalFormatting sqref="B7">
    <cfRule type="cellIs" dxfId="36" priority="123" operator="lessThan">
      <formula>0</formula>
    </cfRule>
  </conditionalFormatting>
  <conditionalFormatting sqref="AE3:AE6">
    <cfRule type="cellIs" dxfId="35" priority="119" operator="lessThan">
      <formula>0.01</formula>
    </cfRule>
  </conditionalFormatting>
  <conditionalFormatting sqref="S3">
    <cfRule type="cellIs" dxfId="34" priority="118" operator="lessThan">
      <formula>0.01</formula>
    </cfRule>
  </conditionalFormatting>
  <conditionalFormatting sqref="AO3:AO42">
    <cfRule type="expression" dxfId="33" priority="117">
      <formula>$L$18-$R3&lt;0</formula>
    </cfRule>
  </conditionalFormatting>
  <conditionalFormatting sqref="AO3:AO42">
    <cfRule type="expression" dxfId="32" priority="116">
      <formula>$L$18-$R3&gt;0</formula>
    </cfRule>
  </conditionalFormatting>
  <conditionalFormatting sqref="Q3">
    <cfRule type="cellIs" dxfId="31" priority="111" operator="equal">
      <formula>0</formula>
    </cfRule>
  </conditionalFormatting>
  <conditionalFormatting sqref="AC3:AC42">
    <cfRule type="cellIs" dxfId="30" priority="110" operator="equal">
      <formula>0</formula>
    </cfRule>
  </conditionalFormatting>
  <conditionalFormatting sqref="Y3:Y42">
    <cfRule type="cellIs" dxfId="29" priority="107" operator="equal">
      <formula>0</formula>
    </cfRule>
  </conditionalFormatting>
  <conditionalFormatting sqref="Z3:Z42">
    <cfRule type="cellIs" dxfId="28" priority="106" operator="equal">
      <formula>0</formula>
    </cfRule>
  </conditionalFormatting>
  <conditionalFormatting sqref="AH3:AI42">
    <cfRule type="cellIs" dxfId="27" priority="101" operator="equal">
      <formula>0</formula>
    </cfRule>
  </conditionalFormatting>
  <conditionalFormatting sqref="AK3:AK42">
    <cfRule type="cellIs" dxfId="26" priority="100" operator="equal">
      <formula>0</formula>
    </cfRule>
  </conditionalFormatting>
  <conditionalFormatting sqref="AL3:AL42">
    <cfRule type="cellIs" dxfId="25" priority="99" operator="equal">
      <formula>0</formula>
    </cfRule>
  </conditionalFormatting>
  <conditionalFormatting sqref="AD18:AD26">
    <cfRule type="expression" dxfId="24" priority="97">
      <formula>AC18&gt;0</formula>
    </cfRule>
  </conditionalFormatting>
  <conditionalFormatting sqref="AD18:AD26">
    <cfRule type="expression" dxfId="23" priority="98">
      <formula>AC18&lt;0</formula>
    </cfRule>
  </conditionalFormatting>
  <conditionalFormatting sqref="AE7:AE8">
    <cfRule type="cellIs" dxfId="22" priority="96" operator="lessThan">
      <formula>0.01</formula>
    </cfRule>
  </conditionalFormatting>
  <conditionalFormatting sqref="AE9:AE42">
    <cfRule type="cellIs" dxfId="21" priority="62" operator="lessThan">
      <formula>0.01</formula>
    </cfRule>
  </conditionalFormatting>
  <conditionalFormatting sqref="R3">
    <cfRule type="expression" dxfId="20" priority="60">
      <formula>Q3&gt;0</formula>
    </cfRule>
  </conditionalFormatting>
  <conditionalFormatting sqref="R3">
    <cfRule type="expression" dxfId="19" priority="61">
      <formula>Q3&lt;0</formula>
    </cfRule>
  </conditionalFormatting>
  <conditionalFormatting sqref="N36">
    <cfRule type="cellIs" dxfId="18" priority="59" operator="lessThan">
      <formula>0</formula>
    </cfRule>
  </conditionalFormatting>
  <conditionalFormatting sqref="AD3:AD17">
    <cfRule type="expression" dxfId="17" priority="55">
      <formula>AC3&gt;0</formula>
    </cfRule>
  </conditionalFormatting>
  <conditionalFormatting sqref="AD3:AD17">
    <cfRule type="expression" dxfId="16" priority="56">
      <formula>AC3&lt;0</formula>
    </cfRule>
  </conditionalFormatting>
  <conditionalFormatting sqref="Q4:Q42">
    <cfRule type="cellIs" dxfId="15" priority="46" operator="greaterThan">
      <formula>0</formula>
    </cfRule>
  </conditionalFormatting>
  <conditionalFormatting sqref="Q4:Q42">
    <cfRule type="cellIs" dxfId="14" priority="47" operator="lessThan">
      <formula>0</formula>
    </cfRule>
  </conditionalFormatting>
  <conditionalFormatting sqref="Q4:Q42">
    <cfRule type="cellIs" dxfId="13" priority="48" operator="greaterThan">
      <formula>0</formula>
    </cfRule>
  </conditionalFormatting>
  <conditionalFormatting sqref="Q4:Q42">
    <cfRule type="cellIs" dxfId="12" priority="49" operator="lessThan">
      <formula>0</formula>
    </cfRule>
  </conditionalFormatting>
  <conditionalFormatting sqref="P4:P42">
    <cfRule type="expression" dxfId="11" priority="44">
      <formula>$L$18-$R4&lt;0</formula>
    </cfRule>
  </conditionalFormatting>
  <conditionalFormatting sqref="P4:P42">
    <cfRule type="expression" dxfId="10" priority="43">
      <formula>$L$18-$R4&gt;0</formula>
    </cfRule>
  </conditionalFormatting>
  <conditionalFormatting sqref="S4:S42">
    <cfRule type="cellIs" dxfId="9" priority="39" operator="lessThan">
      <formula>0.01</formula>
    </cfRule>
  </conditionalFormatting>
  <conditionalFormatting sqref="Q4:Q42">
    <cfRule type="cellIs" dxfId="8" priority="38" operator="equal">
      <formula>0</formula>
    </cfRule>
  </conditionalFormatting>
  <conditionalFormatting sqref="R3:R42">
    <cfRule type="expression" dxfId="7" priority="34">
      <formula>Q3&gt;0</formula>
    </cfRule>
  </conditionalFormatting>
  <conditionalFormatting sqref="R3:R42">
    <cfRule type="expression" dxfId="6" priority="35">
      <formula>Q3&lt;0</formula>
    </cfRule>
  </conditionalFormatting>
  <conditionalFormatting sqref="AM3">
    <cfRule type="cellIs" dxfId="5" priority="31" operator="equal">
      <formula>0</formula>
    </cfRule>
  </conditionalFormatting>
  <conditionalFormatting sqref="AM4:AM42">
    <cfRule type="cellIs" dxfId="4" priority="30" operator="equal">
      <formula>0</formula>
    </cfRule>
  </conditionalFormatting>
  <conditionalFormatting sqref="AM3:AM42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3" priority="13" operator="equal">
      <formula>0</formula>
    </cfRule>
  </conditionalFormatting>
  <conditionalFormatting sqref="X3:X42">
    <cfRule type="cellIs" dxfId="2" priority="9" operator="equal">
      <formula>0</formula>
    </cfRule>
  </conditionalFormatting>
  <conditionalFormatting sqref="R13">
    <cfRule type="expression" dxfId="1" priority="1">
      <formula>Q13&gt;0</formula>
    </cfRule>
  </conditionalFormatting>
  <conditionalFormatting sqref="R13">
    <cfRule type="expression" dxfId="0" priority="2">
      <formula>Q13&lt;0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topLeftCell="A100" zoomScale="80" zoomScaleNormal="80" workbookViewId="0">
      <selection activeCell="E143" sqref="E143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590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591</v>
      </c>
      <c r="B3" s="20"/>
      <c r="C3" s="19"/>
      <c r="D3" s="20"/>
      <c r="E3" s="406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592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593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594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595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596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597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598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29" t="s">
        <v>599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41" t="s">
        <v>629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630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631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632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633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634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635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636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637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29" t="s">
        <v>638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19" t="s">
        <v>600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601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602</v>
      </c>
      <c r="B24" s="20"/>
      <c r="C24" s="19"/>
      <c r="D24" s="20"/>
      <c r="E24" s="19" t="s">
        <v>618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603</v>
      </c>
      <c r="B25" s="20"/>
      <c r="C25" s="19"/>
      <c r="D25" s="20"/>
      <c r="E25" s="19" t="s">
        <v>619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604</v>
      </c>
      <c r="B26" s="20"/>
      <c r="C26" s="19"/>
      <c r="D26" s="20"/>
      <c r="E26" s="19" t="s">
        <v>620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605</v>
      </c>
      <c r="B27" s="20"/>
      <c r="C27" s="19"/>
      <c r="D27" s="20"/>
      <c r="E27" s="19" t="s">
        <v>621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606</v>
      </c>
      <c r="B28" s="20"/>
      <c r="C28" s="19"/>
      <c r="D28" s="20"/>
      <c r="E28" s="19" t="s">
        <v>622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607</v>
      </c>
      <c r="B29" s="20"/>
      <c r="C29" s="19"/>
      <c r="D29" s="20"/>
      <c r="E29" s="19" t="s">
        <v>623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608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29" t="s">
        <v>609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611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612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613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614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615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616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639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640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641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642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643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644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645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646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647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648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649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650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651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652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653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654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655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656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657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658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659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660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661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662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663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664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665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666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667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668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669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670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673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674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671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672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2024-03-30T16:43:48Z</dcterms:modified>
</cp:coreProperties>
</file>